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<sst xmlns="http://schemas.openxmlformats.org/spreadsheetml/2006/main" uniqueCount="21947">
  <si>
    <t>Program</t>
  </si>
  <si>
    <t>Batch</t>
  </si>
  <si>
    <t>Roll Number</t>
  </si>
  <si>
    <t>First Name</t>
  </si>
  <si>
    <t>Middle Name</t>
  </si>
  <si>
    <t>Last Name</t>
  </si>
  <si>
    <t>Name</t>
  </si>
  <si>
    <t>E-mail Address</t>
  </si>
  <si>
    <t>Campus E-mail Address</t>
  </si>
  <si>
    <t>Mobile</t>
  </si>
  <si>
    <t>Gender</t>
  </si>
  <si>
    <t>DOB</t>
  </si>
  <si>
    <t>Marital Status</t>
  </si>
  <si>
    <t>Language</t>
  </si>
  <si>
    <t>Hobby</t>
  </si>
  <si>
    <t>Blood Group</t>
  </si>
  <si>
    <t>Aadhar Nubmer</t>
  </si>
  <si>
    <t>Father</t>
  </si>
  <si>
    <t>Father Mobile</t>
  </si>
  <si>
    <t>Father Occupation</t>
  </si>
  <si>
    <t>Mother</t>
  </si>
  <si>
    <t>Mother Mobile</t>
  </si>
  <si>
    <t>Mother Occupation</t>
  </si>
  <si>
    <t>Address</t>
  </si>
  <si>
    <t>City</t>
  </si>
  <si>
    <t>State</t>
  </si>
  <si>
    <t>Correspondence Address</t>
  </si>
  <si>
    <t>Correspondence City</t>
  </si>
  <si>
    <t>Correspondence State</t>
  </si>
  <si>
    <t>Current CGPA</t>
  </si>
  <si>
    <t>Backlog</t>
  </si>
  <si>
    <t>SSC School</t>
  </si>
  <si>
    <t>SSC Board</t>
  </si>
  <si>
    <t>SSC Joining Date</t>
  </si>
  <si>
    <t>SSC Passing Date</t>
  </si>
  <si>
    <t>SSC Marks</t>
  </si>
  <si>
    <t>SSC CGPA</t>
  </si>
  <si>
    <t>HSC School</t>
  </si>
  <si>
    <t>HSC Board</t>
  </si>
  <si>
    <t>HSC Joining Date</t>
  </si>
  <si>
    <t>HSC Passing Date</t>
  </si>
  <si>
    <t>HSC Marks</t>
  </si>
  <si>
    <t>HSC CGPA</t>
  </si>
  <si>
    <t>Diploma</t>
  </si>
  <si>
    <t>Diploma College</t>
  </si>
  <si>
    <t>Diploma Joining Date</t>
  </si>
  <si>
    <t>Diploma Passing Date</t>
  </si>
  <si>
    <t>Diploma Marks</t>
  </si>
  <si>
    <t>Diploma CGPA</t>
  </si>
  <si>
    <t>Graduation University</t>
  </si>
  <si>
    <t>Graduation College</t>
  </si>
  <si>
    <t>Graduation Joining Date</t>
  </si>
  <si>
    <t>Graduation Passing Date</t>
  </si>
  <si>
    <t>Graduation Marks</t>
  </si>
  <si>
    <t>Graduation CGPA</t>
  </si>
  <si>
    <t>Post Graduation University</t>
  </si>
  <si>
    <t>Post Graduation College</t>
  </si>
  <si>
    <t>Post Graduation Joining Date</t>
  </si>
  <si>
    <t>Post Graduation Passing Date</t>
  </si>
  <si>
    <t>Post Graduation Marks</t>
  </si>
  <si>
    <t>Post Graduation CGPA</t>
  </si>
  <si>
    <t>Technical Skills</t>
  </si>
  <si>
    <t>Work Experience</t>
  </si>
  <si>
    <t>Total Experience</t>
  </si>
  <si>
    <t>Project / Internship Detail</t>
  </si>
  <si>
    <t>Total(weeks)</t>
  </si>
  <si>
    <t>Certifications Details(if any)</t>
  </si>
  <si>
    <t>Profile Picture</t>
  </si>
  <si>
    <t>Intern Counter</t>
  </si>
  <si>
    <t>Job Counter</t>
  </si>
  <si>
    <t>MBA-ACM</t>
  </si>
  <si>
    <t>2024-2026</t>
  </si>
  <si>
    <t>P24700049</t>
  </si>
  <si>
    <t>AASHIRWAD</t>
  </si>
  <si>
    <t>ASHOKRAO</t>
  </si>
  <si>
    <t>GHUGE</t>
  </si>
  <si>
    <t>Aashirwad Ashokrao Ghuge</t>
  </si>
  <si>
    <t>aashirwadghuge@gmail.com</t>
  </si>
  <si>
    <t>p24700049@student.nicmar.ac.in</t>
  </si>
  <si>
    <t>Male</t>
  </si>
  <si>
    <t>23-Jan-2000</t>
  </si>
  <si>
    <t>Single</t>
  </si>
  <si>
    <t>ENGLISH,HINDI</t>
  </si>
  <si>
    <t>Music</t>
  </si>
  <si>
    <t>A+</t>
  </si>
  <si>
    <t>9657 8471 4368</t>
  </si>
  <si>
    <t>ASHOKRAO GHUGE</t>
  </si>
  <si>
    <t>CIVIL ENGINEER</t>
  </si>
  <si>
    <t>ANJALI GHUGE</t>
  </si>
  <si>
    <t>HOMEMAKER</t>
  </si>
  <si>
    <t>Sector G-22,N-4 Cidco, Near High Court, Chhatrapati Sambhajinagar</t>
  </si>
  <si>
    <t>Aurangabad</t>
  </si>
  <si>
    <t>Maharashtra</t>
  </si>
  <si>
    <t>NA</t>
  </si>
  <si>
    <t>NIRMALA CONVENT HIGH SCHOOL</t>
  </si>
  <si>
    <t>S.S.C BOARD FROM NASHIK/MAHARASHTRA</t>
  </si>
  <si>
    <t>2014-Jun</t>
  </si>
  <si>
    <t>2015-Mar</t>
  </si>
  <si>
    <t>DIPLOMA IN CIVIL ENGINEERING</t>
  </si>
  <si>
    <t xml:space="preserve">MGMS POLYTECHNIC FROM AURANGABAD/MAHARASHTRA </t>
  </si>
  <si>
    <t>2015-Aug</t>
  </si>
  <si>
    <t>2018-Jun</t>
  </si>
  <si>
    <t>DR. BABASAHEB AMBEDKAR TECHNOLOGICAL UNIVERSITY</t>
  </si>
  <si>
    <t xml:space="preserve">SHREEYASH COLLEGE OF ENGINEERING AND TECHNOLOGY FROM AURANGABAD/MAHARASHTRA </t>
  </si>
  <si>
    <t>2019-Sep</t>
  </si>
  <si>
    <t>2022-Aug</t>
  </si>
  <si>
    <t>AutoCAD,MS-Office,Ms-Project,AutoCAD3D,Revit Architecture</t>
  </si>
  <si>
    <t>AJAY PARSHURAM PATHRUT  | TRAINEE ENGINEER | AURANGABAD (CHHATRAPATI SAMBHAJINAGAR)  | Jun 2022 | Jul 2022 | 4.1428571428571 Weeks
ECONSTRUCT DESIGN &amp; BUILD PVT. LTD. | BIM AND PROJECT MANAGEMENT  | BANGALORE  | May 2025 | Jul 2025 | 8.5714285714286 Weeks</t>
  </si>
  <si>
    <t>Project Planning using Microsoft Project
NPTEL Online Certification
Quantity Surveying and Project Billing using MS-Excel
Radhai Organic and Agri Equipments
Champions of Behavioural Science
Klystron 2k17
Revit Architecture
AutoCAD 3D
AutoCAD</t>
  </si>
  <si>
    <t>P24700084</t>
  </si>
  <si>
    <t>VISHNU</t>
  </si>
  <si>
    <t>S</t>
  </si>
  <si>
    <t>NAIR</t>
  </si>
  <si>
    <t>Vishnu S Nair</t>
  </si>
  <si>
    <t>p24700084@student.nicmar.ac.in</t>
  </si>
  <si>
    <t>02-Aug-1997</t>
  </si>
  <si>
    <t>ENGLISH,HINDI,MALAYALAM</t>
  </si>
  <si>
    <t>B+</t>
  </si>
  <si>
    <t>2980 3516 6556</t>
  </si>
  <si>
    <t>SADANANDAN KK</t>
  </si>
  <si>
    <t>RETIRED</t>
  </si>
  <si>
    <t>AJITHA P</t>
  </si>
  <si>
    <t>TEACHER</t>
  </si>
  <si>
    <t>Sreesadanam Pariyarakkal Kavanoor P.o</t>
  </si>
  <si>
    <t>Malappuram</t>
  </si>
  <si>
    <t>Kerala</t>
  </si>
  <si>
    <t>AIRPORT SENIOR SECONDARY SCHOOL</t>
  </si>
  <si>
    <t>MALAPPURAM</t>
  </si>
  <si>
    <t>2012-Jun</t>
  </si>
  <si>
    <t>2013-May</t>
  </si>
  <si>
    <t>2014-Jul</t>
  </si>
  <si>
    <t>2015-May</t>
  </si>
  <si>
    <t>APJ ABDUL KALAM TECHNOLOGICAL UNIVERSITY</t>
  </si>
  <si>
    <t>KOLLAM</t>
  </si>
  <si>
    <t>2016-Aug</t>
  </si>
  <si>
    <t>2021-Nov</t>
  </si>
  <si>
    <t>ms office,others</t>
  </si>
  <si>
    <t>Tron Digital | Marketing Strategist | Kerala | Aug 2023 | Jul 2024 | 0Y 11M
BYJU | Associate - Business Development | BANGLORE | Apr 2023 | Jul 2023 | 0Y 3M | 5
Ahalia Group | GRE | Abu dhabi | Dec 2020 | Sep 2022 | 1Y 9M | 9.6</t>
  </si>
  <si>
    <t>3 Years 0 Months</t>
  </si>
  <si>
    <t>KALPATARU PROJECTS INTERNATIONAL LIMITED | CONTRACTS AND PLANNING INTERN | MUMBAI | May 2025 | Jul 2025 | 8.7142857142857 Weeks</t>
  </si>
  <si>
    <t>Microsoft Excel
Marketing Management
Microsoft project
Advanced planning and scheduling with primavera
Lean Six sigma certification
Power BI
Business analytics with excel</t>
  </si>
  <si>
    <t>P24700184</t>
  </si>
  <si>
    <t>MANE</t>
  </si>
  <si>
    <t>AISHWARYA</t>
  </si>
  <si>
    <t>RAVINDRA</t>
  </si>
  <si>
    <t>Mane Aishwarya Ravindra</t>
  </si>
  <si>
    <t>aishwaryamane2905@gmail.com</t>
  </si>
  <si>
    <t>p24700184@student.nicmar.ac.in</t>
  </si>
  <si>
    <t>Female</t>
  </si>
  <si>
    <t>29-May-2000</t>
  </si>
  <si>
    <t>Married</t>
  </si>
  <si>
    <t>ENGLISH, HINDI,MARATHI</t>
  </si>
  <si>
    <t>Reading</t>
  </si>
  <si>
    <t>8641 3799 0401</t>
  </si>
  <si>
    <t>FARMER</t>
  </si>
  <si>
    <t>ANURADHA</t>
  </si>
  <si>
    <t>HOUSEWIFE</t>
  </si>
  <si>
    <t>At-Kanhergaon, Post-Akole (khu), Tal-Madha, Dist-Solapur</t>
  </si>
  <si>
    <t>Solapur</t>
  </si>
  <si>
    <t>NEW ENGLISH SCHOOL, TEMBHURNI</t>
  </si>
  <si>
    <t>MAHARASHTRA STATE BOARD OF SECONDARY AND HIGHER SECONDARY EDUCATION, PUNE</t>
  </si>
  <si>
    <t>2015-Jun</t>
  </si>
  <si>
    <t>2016-Jun</t>
  </si>
  <si>
    <t>ORCHID JUNIOR COLLEGE, SOLAPUR</t>
  </si>
  <si>
    <t xml:space="preserve">MAHARASHTRA STATE BOARD OF SECONDARY AND HIGHER SECONDARY PUNE, </t>
  </si>
  <si>
    <t>2017-Jun</t>
  </si>
  <si>
    <t>2018-May</t>
  </si>
  <si>
    <t xml:space="preserve">CIVIL </t>
  </si>
  <si>
    <t xml:space="preserve">SHRIRAM INSTITUTE OF ENGINEERING AND TECHNOLOGY (POLY), PANIV. </t>
  </si>
  <si>
    <t>2018-Jul</t>
  </si>
  <si>
    <t>2020-Nov</t>
  </si>
  <si>
    <t>PUNYASHLOK AHILYADEVI HOLAKAR UNIVERSITY, SOLAPUR</t>
  </si>
  <si>
    <t>SHRI VITHAL EDUCATION AND RESEARCH INSTITUTE, COLLEGE OF ENGINEERING, PANDHARPUR</t>
  </si>
  <si>
    <t>2020-Jul</t>
  </si>
  <si>
    <t>2023-Jul</t>
  </si>
  <si>
    <t>AutoCAD,MS Office,Other,REVIT</t>
  </si>
  <si>
    <t>Nyati Engineers &amp; Consultants Pvt. Ltd | I have worked on different type of activities such as planning, finishing, development, some part of MEP | Satara | May 2025 | Jul 2025 | 8.7142857142857 Weeks</t>
  </si>
  <si>
    <t>CCC</t>
  </si>
  <si>
    <t>P24700253</t>
  </si>
  <si>
    <t>KHUTALE</t>
  </si>
  <si>
    <t>JAYKUMAR</t>
  </si>
  <si>
    <t>PRAKASH</t>
  </si>
  <si>
    <t>Khutale Jaykumar Prakash</t>
  </si>
  <si>
    <t>p24700253@student.nicmar.ac.in</t>
  </si>
  <si>
    <t>07-Feb-2001</t>
  </si>
  <si>
    <t>Marathi,hindi,english</t>
  </si>
  <si>
    <t>Reading,Music</t>
  </si>
  <si>
    <t>6105 0905 6606</t>
  </si>
  <si>
    <t xml:space="preserve">PRAKASH MADHUKAR KHUTALE </t>
  </si>
  <si>
    <t>MEENA PRAKASH KHUTALE</t>
  </si>
  <si>
    <t xml:space="preserve">A/p- Khanote, Tal- Daund,  Dist- Pune </t>
  </si>
  <si>
    <t>Pune</t>
  </si>
  <si>
    <t xml:space="preserve">FLAT NO-2108, VTP-ALPINE, MAHALUNGE. </t>
  </si>
  <si>
    <t>BHAIRAVNATH VIDYALAYA BHIGWAN</t>
  </si>
  <si>
    <t>SSC MAHARASHTRA</t>
  </si>
  <si>
    <t>2017-Mar</t>
  </si>
  <si>
    <t>VIDYA PRATISHTHAN'S ARTS, SCIENCE &amp; COMMERCE COLLEGE, BARAMATI COLLEGE IN BARAMATI, MAHARASHTRA</t>
  </si>
  <si>
    <t>HSC MAHARASHTRA</t>
  </si>
  <si>
    <t>2019-Feb</t>
  </si>
  <si>
    <t xml:space="preserve">SAVITRIBAI PHULE PUNE UNIVERSITY </t>
  </si>
  <si>
    <t>SMT KASHIBAI NAVALE COLLEGE OF ARCHITECTURE PUNE MAHARASHTRA</t>
  </si>
  <si>
    <t>2019-Aug</t>
  </si>
  <si>
    <t>2024-Jun</t>
  </si>
  <si>
    <t>BEXCEL,Revit,Cost X,3D VISULIZATION</t>
  </si>
  <si>
    <t>Shitesh Agrawal Architects Pvt.Ltd | Intern (Trainee Architect) | Model Colony, Shivajinagar Pune | Jun 2023 | Dec 2023 | 24.285714285714 Weeks
Vanguard Ventures | Strategic Business Development (Sales intern) | Mumbai  | Mar 2025 | Jul 2025 | 16.142857142857 Weeks</t>
  </si>
  <si>
    <t>Participated in competition for designing day to day, interior/exterior spaces on 1ST APRIL, 2023 Geriatric Society Of India.- Pune Chapter
Completed short term course for Medical Architecture for the Elderly in collaboration with Geriatric Society of India in 2023-2024
Fold Unfold 2020- Annual Exhibition &amp; Workshop event on "Architecture &amp; Landscape Architecture"
Startup India- Completed Communication and Confidence Building Course
NPTEL-Ethics in Engineering Practice
Completed Architecture Software Course, by ArchTech Software Training Institute 2023-24
Successfully completed the Finlatics Start-Up Strategist Experience Program. 2025
Digital quality control workshop participation certificate
NPTEL Indian Economy: Some Contemporary Perspectives</t>
  </si>
  <si>
    <t>P24700397</t>
  </si>
  <si>
    <t>RUGVED</t>
  </si>
  <si>
    <t>KISHOR</t>
  </si>
  <si>
    <t>SHEREKAR</t>
  </si>
  <si>
    <t>Rugved Kishor Sherekar</t>
  </si>
  <si>
    <t>p24700397@student.nicmar.ac.in</t>
  </si>
  <si>
    <t>02-Apr-2001</t>
  </si>
  <si>
    <t>Marathi, English,Hindi</t>
  </si>
  <si>
    <t>O+</t>
  </si>
  <si>
    <t>4079 5890 1577</t>
  </si>
  <si>
    <t>GOVERNMENT SERVICE</t>
  </si>
  <si>
    <t>VANDANA</t>
  </si>
  <si>
    <t>Uday Colony No1, Sai Nagar, Amravati, Maharashtra.</t>
  </si>
  <si>
    <t>Amravati</t>
  </si>
  <si>
    <t>1107, B WING VARDHAMAN MOONSTONE, SR NO. 99, OPPOSITE TO JSPM COLLEGE, TATHWADE, PUNE, MAHARASHTRA</t>
  </si>
  <si>
    <t>SHRI SAMARTHA HIGHSCHOOL</t>
  </si>
  <si>
    <t>MAHARASHTRA STATE BOARD OF SECONDARY AND HIGHER SECONDARY EDUCATION , AMRAVATI.</t>
  </si>
  <si>
    <t>CIVIL AND RURAL ENGINEERING</t>
  </si>
  <si>
    <t>DR. PANJABRAO DESHMUKH POLYTECHNIC, AMRAVATI, MAHARASHTRA.</t>
  </si>
  <si>
    <t>2017-Aug</t>
  </si>
  <si>
    <t>SANT GADGE BABA AMRAVATI UNIVERSITY.</t>
  </si>
  <si>
    <t>PROF. RAM MEGHE INSTITUTE OF TECHNOLOGY AND RESEARCH, BADNERA, AMRAVATI, MAHARASHTRA</t>
  </si>
  <si>
    <t>2020-Dec</t>
  </si>
  <si>
    <t>2023-Jun</t>
  </si>
  <si>
    <t>AutoCAD, MS Office, MS Project,Primavera</t>
  </si>
  <si>
    <t>GIRISH NAGPURE &amp; ASSOCIATES | Engineer | Amravati | Jun 2023 | Jun 2024 | 55.428571428571 Weeks
CAD TECH Ltd. | Engineer | Amravati | Jul 2022 | Aug 2022 | 8.7142857142857 Weeks
BALAJI STRUCTURAL CONSULTANCY | Intern  | Amravati | Aug 2021 | Sep 2021 | 6.7142857142857 Weeks
Pune Metro Rail Corporation | Summer Intern | Pune | May 2025 | Jul 2025 | 8.5714285714286 Weeks</t>
  </si>
  <si>
    <t>AutoCAD (2D+3D)
MS-CIT</t>
  </si>
  <si>
    <t>P24700401</t>
  </si>
  <si>
    <t>ANAND</t>
  </si>
  <si>
    <t>LAXMAN</t>
  </si>
  <si>
    <t>PAWAR</t>
  </si>
  <si>
    <t>Anand Laxman Pawar</t>
  </si>
  <si>
    <t>anandpawar212@gmail.com</t>
  </si>
  <si>
    <t>p24700401@student.nicmar.ac.in</t>
  </si>
  <si>
    <t>22-Sep-1998</t>
  </si>
  <si>
    <t>ENGLISH, HINDI</t>
  </si>
  <si>
    <t>3507 8862 9217</t>
  </si>
  <si>
    <t>LAXMAN RAMHARI PAWAR</t>
  </si>
  <si>
    <t>KALPANA LAXMAN PAWAR</t>
  </si>
  <si>
    <t>At Post Loni Gurav Teh Khamgaon,Dist Buldhan-444303</t>
  </si>
  <si>
    <t>Buldhana</t>
  </si>
  <si>
    <t>NEW VISION ENGLISH HIGH SCHOOL, BALAPUR</t>
  </si>
  <si>
    <t>MAHARASHTRA STATE BOARD OF SECONDARY AND HIGHER SECONDARY BOARD PUNE</t>
  </si>
  <si>
    <t>2012-Jul</t>
  </si>
  <si>
    <t>DIPLOMA IN CIVIL AND RURAL ENGINEERING</t>
  </si>
  <si>
    <t>ACHARYA SHRIMANNARAYAN POLYTECHNIC PIPRI WARDHA</t>
  </si>
  <si>
    <t>2014-Aug</t>
  </si>
  <si>
    <t>UNIVERSITY OF MUMBAI</t>
  </si>
  <si>
    <t>PILLAI HOC COLLEGE OF ENGINEERING AND TECHNOLOGY RASAYANI, PANVEL</t>
  </si>
  <si>
    <t>AutoCAD,MS Office</t>
  </si>
  <si>
    <t>PRISM JOHNSON LIMITED | Sr Executive Assistant | Pune | Apr 2024 | Jul 2024 | 0Y 3M | 7.00
 NCC Limited | QA/QC Engineer | Mumbai | Nov 2022 | Apr 2024 | 1Y 5M | 5.05
HCC Limited | QA/QC Engineer | Maharashtra | Jul 2021 | Oct 2022 | 1Y 3M | 3.00</t>
  </si>
  <si>
    <t>Avia Construction Group Pvt Ltd | Civil Site Engineer | Amravati | Apr 2019 | May 2019 | 5.7142857142857 Weeks
CIDCO | Civil Site Engineer | Navi Mumbai | Jun 2019 | Jul 2019 | 2.8571428571429 Weeks
MILLENNIUM ENGINEERS &amp; CONTRACTORS PVT.LTD. | Planning | Pune | May 2025 | Jul 2025 | 8.7142857142857 Weeks</t>
  </si>
  <si>
    <t>AutoCAD
Primavera P6</t>
  </si>
  <si>
    <t>P24700528</t>
  </si>
  <si>
    <t>NEDURI</t>
  </si>
  <si>
    <t>NESSY</t>
  </si>
  <si>
    <t>CHAND</t>
  </si>
  <si>
    <t>Neduri Nessy Chand</t>
  </si>
  <si>
    <t>ncn.civilengineer@gmail.com</t>
  </si>
  <si>
    <t>p24700528@student.nicmar.ac.in</t>
  </si>
  <si>
    <t>04-Apr-2001</t>
  </si>
  <si>
    <t>English, Telugu</t>
  </si>
  <si>
    <t>Designing</t>
  </si>
  <si>
    <t>8793 8049 7489</t>
  </si>
  <si>
    <t>NEDURI RAJA RAO</t>
  </si>
  <si>
    <t>ADVOCATE</t>
  </si>
  <si>
    <t>NEDURI SUJATHA</t>
  </si>
  <si>
    <t>HOUSE WIFE</t>
  </si>
  <si>
    <t>D.NO 3-30,RAAVI CHETTU STREET, Z.MEDAPADU, MANDAPETA MANDAL.</t>
  </si>
  <si>
    <t>Konaseema</t>
  </si>
  <si>
    <t>Andhra Pradesh</t>
  </si>
  <si>
    <t>SRI CHAITANYA ENGLISH MEDIUM</t>
  </si>
  <si>
    <t>ANDHRAPRADESH BOARD</t>
  </si>
  <si>
    <t>2016-Apr</t>
  </si>
  <si>
    <t>SRI GAYATRI JUNIOR COLLEGE</t>
  </si>
  <si>
    <t>2018-Mar</t>
  </si>
  <si>
    <t>JAWAHARLAL NEHRU TECHNOLOGICAL UNIVERSITY</t>
  </si>
  <si>
    <t>SASI INSTITUTE OF TECHNOLOGY AND ENGINEERING</t>
  </si>
  <si>
    <t>2022-Jun</t>
  </si>
  <si>
    <t>AutoCAD,MS Office,MS Project,Primavera,Other,BIM</t>
  </si>
  <si>
    <t>A1 Projects | Site Engineer | Visakhapatnam | Apr 2023 | May 2024 | 1Y 1M | 2.04</t>
  </si>
  <si>
    <t>1 Year 1 Month</t>
  </si>
  <si>
    <t>MADHURI ENGINEERS AND CONSTRUCTIONS | QUALITY ENGINEER | PUNE | May 2025 | Jul 2025 | 8.7142857142857 Weeks</t>
  </si>
  <si>
    <t>Udemy ( Basics of Construction Methodology )
RS &amp; GIS</t>
  </si>
  <si>
    <t>P24700529</t>
  </si>
  <si>
    <t>AASHISH</t>
  </si>
  <si>
    <t>BHALERAO</t>
  </si>
  <si>
    <t>Aashish Bhalerao</t>
  </si>
  <si>
    <t>theashish0710@gmail.com</t>
  </si>
  <si>
    <t>p24700529@student.nicmar.ac.in</t>
  </si>
  <si>
    <t>05-Nov-2000</t>
  </si>
  <si>
    <t>MARATHI, HINDI</t>
  </si>
  <si>
    <t>3684 6338 5924</t>
  </si>
  <si>
    <t xml:space="preserve">SHESHARAJ </t>
  </si>
  <si>
    <t>PEON</t>
  </si>
  <si>
    <t>ANITA</t>
  </si>
  <si>
    <t xml:space="preserve">HOUSEWIFE </t>
  </si>
  <si>
    <t xml:space="preserve">At Post - Chinawal, Tal - Raver, Dist- Jalgaon, MH </t>
  </si>
  <si>
    <t>Jalgaon</t>
  </si>
  <si>
    <t xml:space="preserve">201, SINHGAD VRINDAVAN, NEAR SINHGAD LAW COLLEGE, WADGAON CAMPUS, PUNE, MH </t>
  </si>
  <si>
    <t xml:space="preserve">JAWAHAR NAVODAYA VIDYALAYA, JALGAON, MH </t>
  </si>
  <si>
    <t>CENTRAL BOARD OF SECONDARY EDUCATION</t>
  </si>
  <si>
    <t>2019-May</t>
  </si>
  <si>
    <t>SINHGAD COLLEGE OF ARCHITECTURE, PUNE, MH</t>
  </si>
  <si>
    <t>2019-Jul</t>
  </si>
  <si>
    <t>AutoCAD,MS Office,MS Project,Primavera,Other,SketchUp</t>
  </si>
  <si>
    <t>SMJ ARCHITECTS AND INTERIOR DESIGNERS | INTERN | KOTHRUD, PUNE | Jun 2023 | Dec 2023 | 25.142857142857 Weeks
N. V. RATHOD CIVIL ENGINEER &amp; GOVT CONTRACTOR | PLANNING INTERN | LATUR, MH | May 2025 | Jul 2025 | 8.7142857142857 Weeks</t>
  </si>
  <si>
    <t>P24700537</t>
  </si>
  <si>
    <t>BHUSHAN</t>
  </si>
  <si>
    <t>RAMDAS</t>
  </si>
  <si>
    <t>INGLE</t>
  </si>
  <si>
    <t>Bhushan Ramdas Ingle</t>
  </si>
  <si>
    <t>inglebhushan95@gmail.com</t>
  </si>
  <si>
    <t>p24700537@student.nicmar.ac.in</t>
  </si>
  <si>
    <t>07-Apr-1995</t>
  </si>
  <si>
    <t>English, Marathi</t>
  </si>
  <si>
    <t>Trekking</t>
  </si>
  <si>
    <t>2817 8226 1690</t>
  </si>
  <si>
    <t>RAMDAS INGLE</t>
  </si>
  <si>
    <t>FARMING</t>
  </si>
  <si>
    <t>ASHA INGLE</t>
  </si>
  <si>
    <t>B/20 Emerald Enclave, Akoli Khurd,</t>
  </si>
  <si>
    <t>Akola</t>
  </si>
  <si>
    <t>JUBILEE ENGLISH HIGH SCHOOL</t>
  </si>
  <si>
    <t>MAHARASHTRA STATE BOARD OF SECONDARY AND HIGHER SECONDARY SCHOOL, PUNE</t>
  </si>
  <si>
    <t>2010-May</t>
  </si>
  <si>
    <t>2011-Mar</t>
  </si>
  <si>
    <t>BHONSLA POLYTECHNIC</t>
  </si>
  <si>
    <t>2011-Jul</t>
  </si>
  <si>
    <t>SANT GADGE BABA AMRAVATI UNIVERSITY</t>
  </si>
  <si>
    <t>BHONSLA COLLEGE OF ENGINEERING AND RESEARCH, AKOLA</t>
  </si>
  <si>
    <t>2015-Jul</t>
  </si>
  <si>
    <t>AutoCAD,MS Office,MS Project,Primavera,Other</t>
  </si>
  <si>
    <t>Vision Infrastructure | Civil Engineer | Maharashtra | Feb 2021 | Jan 2024 | 2Y 11M | 3.0</t>
  </si>
  <si>
    <t>2 Years 11 Months</t>
  </si>
  <si>
    <t>SS CONSTRUCTION &amp; GOVT. CONTRACTOR | PROJECT MANAGMENT INTERN | AKOLA | May 2025 | Jul 2025 | 8.7142857142857 Weeks</t>
  </si>
  <si>
    <t>P24700624</t>
  </si>
  <si>
    <t>AKSHAY</t>
  </si>
  <si>
    <t>DHANAJI</t>
  </si>
  <si>
    <t>YADAV</t>
  </si>
  <si>
    <t>Akshay Dhanaji Yadav</t>
  </si>
  <si>
    <t>ay4051592@gmail.com</t>
  </si>
  <si>
    <t>p24700624@student.nicmar.ac.in</t>
  </si>
  <si>
    <t>15-May-2002</t>
  </si>
  <si>
    <t>English,Hindi</t>
  </si>
  <si>
    <t>AB+</t>
  </si>
  <si>
    <t>7306 5755 6879</t>
  </si>
  <si>
    <t>NANDINI</t>
  </si>
  <si>
    <t>A/P Tavashi, Tal-Pandharpur</t>
  </si>
  <si>
    <t>SADHANA VIDHYALAYA TAVASHI</t>
  </si>
  <si>
    <t>PANDHARPUR</t>
  </si>
  <si>
    <t>B.H.CHATE JR.COLLEGE,GAUD-DARA,PUNE</t>
  </si>
  <si>
    <t>SECONDARY AND HIGHER SECONDARY EDUCATION, PUNE</t>
  </si>
  <si>
    <t>2019-Jan</t>
  </si>
  <si>
    <t>2020-Feb</t>
  </si>
  <si>
    <t>SAVITRIBAI PHULE PUNE UNIVERSITY</t>
  </si>
  <si>
    <t>AISSMS COLLEGE OF ENGINEERING ,PUNE</t>
  </si>
  <si>
    <t>2021-Jan</t>
  </si>
  <si>
    <t>AutoCAD,MS Office,MS Project</t>
  </si>
  <si>
    <t>Sobha Limited-India | Construction Management Trainee | Gurugram | May 2025 | Jul 2025 | 8.5714285714286 Weeks</t>
  </si>
  <si>
    <t>P24700701</t>
  </si>
  <si>
    <t>MIHIR</t>
  </si>
  <si>
    <t>MAHENDRA</t>
  </si>
  <si>
    <t>BHALGAT</t>
  </si>
  <si>
    <t>Mihir Mahendra Bhalgat</t>
  </si>
  <si>
    <t>mbhalgat07@gmail.com</t>
  </si>
  <si>
    <t>p24700701@student.nicmar.ac.in</t>
  </si>
  <si>
    <t>16-Dec-2000</t>
  </si>
  <si>
    <t>HINDI, ENGLISH</t>
  </si>
  <si>
    <t>Playing cricket</t>
  </si>
  <si>
    <t>3134 9593 2393</t>
  </si>
  <si>
    <t>BUSINESS MAN</t>
  </si>
  <si>
    <t>Indira Market Road, In Front Of Axis Bank, Malgujaripura, Wardha</t>
  </si>
  <si>
    <t>Wardha</t>
  </si>
  <si>
    <t>BHALGAT MIHIR MAHENDRA</t>
  </si>
  <si>
    <t>CENTRAL BOARD OF SECONDARY EDUCATION WARDHA MAHARASHTRA</t>
  </si>
  <si>
    <t>ACHARYA SHRIMANNARAYAN POLYTECHNIC PIPRI, WARDHA MAHARASHTRA</t>
  </si>
  <si>
    <t>2017-Jul</t>
  </si>
  <si>
    <t>DR. BABASAHEB AMBEDKAR TECHNOLOGICAL UNIVERSITY, LONERE RAIGAD MAHARASHTRA</t>
  </si>
  <si>
    <t>BAJAJ INSTITUTE OF TECHNOLOGY, WARDHA MAHARASHTRA</t>
  </si>
  <si>
    <t>2023-Aug</t>
  </si>
  <si>
    <t>AutoCAD,MS Office,MS Project,Other,REVIT</t>
  </si>
  <si>
    <t>AVANISH GROUP RAIPUR | CIVIL INTERNSHIP | RAIPUR | Mar 2023 | Aug 2023 | 21.714285714286 Weeks
J.P ENTERPRISES | ROAD WORKS | WARDHA | Apr 2019 | Jun 2019 | 8.1428571428571 Weeks
PRESTIGE ENCLAVE PVT. LTD | CONSTRUCTION FIRM | WARDHA | Nov 2023 | Apr 2024 | 21.714285714286 Weeks
NEW CONSOLIDATED CONSTRUCTION CO. LTD. | SITE EXECUTION | MUMBAI | May 2025 | Jul 2025 | 8.7142857142857 Weeks</t>
  </si>
  <si>
    <t>INTRODUCTION TO STRUCTURAL ANALYSIS SOFTWARE
REVIT ARCHITECTURE</t>
  </si>
  <si>
    <t>P24700707</t>
  </si>
  <si>
    <t>TANAY</t>
  </si>
  <si>
    <t>VIJAY</t>
  </si>
  <si>
    <t>KAPSE</t>
  </si>
  <si>
    <t>Tanay Vijay Kapse</t>
  </si>
  <si>
    <t>kapsetanay30@gmail.com</t>
  </si>
  <si>
    <t>p24700707@student.nicmar.ac.in</t>
  </si>
  <si>
    <t>30-Dec-2002</t>
  </si>
  <si>
    <t xml:space="preserve">ENGLISH , HINDI </t>
  </si>
  <si>
    <t>Photography,Chess,Video Editing</t>
  </si>
  <si>
    <t>5875 2657 6942</t>
  </si>
  <si>
    <t>VIJAY KAPSE</t>
  </si>
  <si>
    <t xml:space="preserve">ASSOCIATE PROFESSOR </t>
  </si>
  <si>
    <t>PRARTHANA KAPSE</t>
  </si>
  <si>
    <t>8/3,Sudhavihar Apartment ,Wanjari Nagar ,Nagpur</t>
  </si>
  <si>
    <t>Nagpur</t>
  </si>
  <si>
    <t>MONTFORT SENIOR SECONDARY SCHOOL</t>
  </si>
  <si>
    <t>NAGPUR,MAHARASHTRA</t>
  </si>
  <si>
    <t>ST.XAVIER'S HIGH SCHOOL HINGNA</t>
  </si>
  <si>
    <t>2019-Mar</t>
  </si>
  <si>
    <t>RASHTRASANT TUKADOJI MAHARAJ NAGPUR UNIVERSITY</t>
  </si>
  <si>
    <t>YESHWANTRAO CHAVAN COLLEGE OF ENGINEERING, NAGPUR ,MAHARASHTRA</t>
  </si>
  <si>
    <t>2020-May</t>
  </si>
  <si>
    <t>2024-May</t>
  </si>
  <si>
    <t xml:space="preserve">AutoCAD,MS Project,Primavera,Revit </t>
  </si>
  <si>
    <t>DR. SWAPNIL WANJARI (ASSOCIATE PROFESSOR AT VNIT NAGPUR) | TRAINEE AND SITE ENGINEER | NAGPUR | Jan 2024 | Apr 2024 | 17.142857142857 Weeks
Impact Infraheights Pvt. Ltd. | Procurement team and Project Coordinator | Pune | May 2025 | Jul 2025 | 7.7142857142857 Weeks</t>
  </si>
  <si>
    <t>P24700768</t>
  </si>
  <si>
    <t>SAKSHI</t>
  </si>
  <si>
    <t>DAYANAND</t>
  </si>
  <si>
    <t>SHIRAL</t>
  </si>
  <si>
    <t>Sakshi Dayanand Shiral</t>
  </si>
  <si>
    <t>sakshidshiral80@gmail.com</t>
  </si>
  <si>
    <t>p24700768@student.nicmar.ac.in</t>
  </si>
  <si>
    <t>31-Aug-2001</t>
  </si>
  <si>
    <t>Travelling,Drawing,Listening Music,Dancing</t>
  </si>
  <si>
    <t>5708 9466 3657</t>
  </si>
  <si>
    <t>DAYANAND SHIRAL</t>
  </si>
  <si>
    <t>SANGITA SHIRAL</t>
  </si>
  <si>
    <t>138/4 Jijau Nagar Barshi Naka, Osmanabad</t>
  </si>
  <si>
    <t>Osmanabad</t>
  </si>
  <si>
    <t>SHRIPATRAO BHOSALE HIGHSCHOOL, OSMANABAD</t>
  </si>
  <si>
    <t xml:space="preserve">MAHARASHTRA STATE BOARD OF SECONDARY AND HIGHER SECONDARY EDUCATION, PUNE, MAHARASHTRA </t>
  </si>
  <si>
    <t>SHRIPATRAO BHOSALE JUNIOR COLLEGE , OSMANABAD</t>
  </si>
  <si>
    <t>2019-Jun</t>
  </si>
  <si>
    <t>CIVIL ENGINEERING</t>
  </si>
  <si>
    <t xml:space="preserve">A.G. PATIL POLYTECHNIC INSTITUTE, SOLAPUR, MAHARASHTRA </t>
  </si>
  <si>
    <t>2021-Aug</t>
  </si>
  <si>
    <t>PUNYASHLOK AHILYADEVI HOLKAR SOLAPUR UNIVERSITY, SOLAPUR</t>
  </si>
  <si>
    <t xml:space="preserve">WALCHAND INSTITUTE TECHNOLOGY (WIT), SOLAPUR, MAHARASHTRA </t>
  </si>
  <si>
    <t>AutoCAD,MS Office,MS Project,Primavera,RIB CostX,Revit,BEXEL MANAGER</t>
  </si>
  <si>
    <t>Rajeshri Developers | Vocational Trainee | Jule Solapur, Solapur | Mar 2023 | Mar 2023 | 2.1428571428571 Weeks
New Consolidated Construction Co. Ltd. | Site Execution, Planning and Project Co-ordination | Mumbai | May 2025 | Jul 2025 | 8.7142857142857 Weeks</t>
  </si>
  <si>
    <t>MBA-REUIM</t>
  </si>
  <si>
    <t>P24702047</t>
  </si>
  <si>
    <t>ADITYA</t>
  </si>
  <si>
    <t>ANIL</t>
  </si>
  <si>
    <t>TOPE</t>
  </si>
  <si>
    <t>Aditya Anil Tope</t>
  </si>
  <si>
    <t>p24702047@student.nicmar.ac.in</t>
  </si>
  <si>
    <t>08-Jun-2000</t>
  </si>
  <si>
    <t>ENGLISH, HINDI,Marathi</t>
  </si>
  <si>
    <t>2984 8583 8227</t>
  </si>
  <si>
    <t>ANIL TOPE</t>
  </si>
  <si>
    <t>DHANASHRI</t>
  </si>
  <si>
    <t>Sahyadri Nagar Hudco Colony Lonavala</t>
  </si>
  <si>
    <t>DON BOSCO HIGH SCHOOL &amp; JR.COLLEGE</t>
  </si>
  <si>
    <t>MAHARASHTRA STATE BOARD OF SECONDARY AND HIGHER SECONDARY EDUCATION,PUNE</t>
  </si>
  <si>
    <t>2016-Mar</t>
  </si>
  <si>
    <t>2018-Feb</t>
  </si>
  <si>
    <t>DR, DY PATIL SCHOOL OF ENGINEERING AMBI,PUNE</t>
  </si>
  <si>
    <t>Ms-Office,Ms-Project,Primavera,Candy</t>
  </si>
  <si>
    <t>GODREJ PROPERTIES  | OPERATIONS  | MAHALUNGE PUNE | May 2023 | Jul 2023 | 7.7142857142857 Weeks
ADITYA SUNIL PALEKAR ENGINEERS AND CONTRACTORS | PROJECT CO-ORDINATOR | LONAVALA  | Aug 2023 | Jan 2024 | 21.857142857143 Weeks</t>
  </si>
  <si>
    <t>Using Google Forms to Analyze User Research Data
Emotional intelligence and leadership
Real estate financial modelling
Real estate development: building Value in your community
Indian Economy: Some Contemporary Perspectives</t>
  </si>
  <si>
    <t>P24702050</t>
  </si>
  <si>
    <t>ALAVANI</t>
  </si>
  <si>
    <t>MITALI</t>
  </si>
  <si>
    <t>MILIND</t>
  </si>
  <si>
    <t>Alavani Mitali Milind</t>
  </si>
  <si>
    <t>p24702050@student.nicmar.ac.in</t>
  </si>
  <si>
    <t>17-Oct-1999</t>
  </si>
  <si>
    <t>Marathi,Hindi,English</t>
  </si>
  <si>
    <t>4098 6131 0617</t>
  </si>
  <si>
    <t>MILIND MADHUKAR ALAVANI</t>
  </si>
  <si>
    <t>PRIVATE JOB</t>
  </si>
  <si>
    <t>MANASI</t>
  </si>
  <si>
    <t>38/B, Senadatta Peth Off L.B.S. Road Near Navachaitanya Krida Sangh</t>
  </si>
  <si>
    <t>N.M.V. GIRLS HIGH SCHOOL, PUNE</t>
  </si>
  <si>
    <t>MAHARASHTRA STATE BOARD OF SECONDARY AND HIGHER SECONDARY EDUCATION</t>
  </si>
  <si>
    <t>2014-Apr</t>
  </si>
  <si>
    <t>GARWARE COLLEGE OF COMMERCE, PUNE</t>
  </si>
  <si>
    <t>2017-May</t>
  </si>
  <si>
    <t>DR. BHANUBEN NANAVATI COLLEGE OF ARCHITECTURE, PUNE</t>
  </si>
  <si>
    <t>2022-Jul</t>
  </si>
  <si>
    <t>Power BI</t>
  </si>
  <si>
    <t>Design 11 architects | Junior Architect | Pune | Dec 2023 | Jul 2024 | 0Y 6M | 1.8</t>
  </si>
  <si>
    <t>0 Years 6 Months</t>
  </si>
  <si>
    <t>PankARCH Architects | Intern | Rajasthan | Sep 2022 | Nov 2022 | 12.857142857143 Weeks
MNM Architects  | Intern | Pune | Jun 2021 | Nov 2021 | 22.714285714286 Weeks
Navkar Architects | Intern | Pune | Nov 2021 | Feb 2022 | 14 Weeks
SOBHA LIMITED-INDIA | SUMMER INTERN- PLANNING | BANGALORE | May 2025 | Jul 2025 | 8.5714285714286 Weeks</t>
  </si>
  <si>
    <t>Real Estate Development: Building Value in Your Community
Career Catalyst: Advisory
Commercial Real Estate
Discounted Cash Flow Modeling
Create a Financial Statement using Microsoft Excel
Real Estate Financial Modeling
Company Valuation and Financial Modelling</t>
  </si>
  <si>
    <t>P24702133</t>
  </si>
  <si>
    <t>AKARSH</t>
  </si>
  <si>
    <t>GRANDHI</t>
  </si>
  <si>
    <t>Akarsh Grandhi</t>
  </si>
  <si>
    <t>p24702133@student.nicmar.ac.in</t>
  </si>
  <si>
    <t>10-Dec-2000</t>
  </si>
  <si>
    <t>Hindi,English</t>
  </si>
  <si>
    <t>7618 9231 6655</t>
  </si>
  <si>
    <t>MANMOHAN GRANDHI</t>
  </si>
  <si>
    <t>BUSINESS</t>
  </si>
  <si>
    <t>SARITA GRANDHI</t>
  </si>
  <si>
    <t>Rajniwas, Pl No 60, Hno 246/c, Mohideen Estate, Alto Dabolim.</t>
  </si>
  <si>
    <t>South Goa</t>
  </si>
  <si>
    <t>Goa</t>
  </si>
  <si>
    <t>KENDRIYA VIDYALAYA</t>
  </si>
  <si>
    <t>SOUTH GOA</t>
  </si>
  <si>
    <t>2015-Apr</t>
  </si>
  <si>
    <t>2021-Mar</t>
  </si>
  <si>
    <t>MES COLLEGE, GOA UNIVERSITY</t>
  </si>
  <si>
    <t>2021-Jul</t>
  </si>
  <si>
    <t>2024-Mar</t>
  </si>
  <si>
    <t xml:space="preserve"> MS Project, Primavera,Ms office</t>
  </si>
  <si>
    <t>RITIKA PACKAGING PVT LTD | PRODUCTION INTERN TRAINEE | SOUTH GOA | May 2022 | Jul 2022 | 5.7142857142857 Weeks
MUSHROOMS STAY &amp; CAFE | Operations Intern | SOUTH GOA | May 2023 | Jul 2023 | 10.142857142857 Weeks
GSIDC | SITE EXECUTION | GOA | May 2025 | Jul 2025 | 7.7142857142857 Weeks</t>
  </si>
  <si>
    <t>Indian Business History
Housing Policy &amp; Planning</t>
  </si>
  <si>
    <t>P24702141</t>
  </si>
  <si>
    <t>JANHAVI</t>
  </si>
  <si>
    <t>PRAVIN</t>
  </si>
  <si>
    <t>NITNAWARE</t>
  </si>
  <si>
    <t>Janhavi Pravin Nitnaware</t>
  </si>
  <si>
    <t>p24702141@student.nicmar.ac.in</t>
  </si>
  <si>
    <t>23-Jun-1999</t>
  </si>
  <si>
    <t>4364 0228 9351</t>
  </si>
  <si>
    <t>PRAVIN NITNAWARE</t>
  </si>
  <si>
    <t>PROFESSOR</t>
  </si>
  <si>
    <t>SMITA NITNAWARE</t>
  </si>
  <si>
    <t>C-305, Reflections Society, Behind Shell Petrol Pump, Laxman Nagar, Dange Chowk, Wakad, Pune-411033</t>
  </si>
  <si>
    <t>Ahmednagar</t>
  </si>
  <si>
    <t>C. M. S. ENGLISH MEDIUM HIGH SCHOOL, PRADHIKARAN, AKURDI, PUNE</t>
  </si>
  <si>
    <t>MAHARASTRA STATE BOARD OF SECONDARY AND HIGHER SECONDARY EDUCATION</t>
  </si>
  <si>
    <t>SANT DNYANESHWAR HIGH SCHOOL, KHARADI, PUNE</t>
  </si>
  <si>
    <t>2016-May</t>
  </si>
  <si>
    <t>DR. D. Y. PATIL COLLEGE OF ARCHITECTURE, AKURDI, PUNE</t>
  </si>
  <si>
    <t>Revit 3D,Lumion,Sketchup</t>
  </si>
  <si>
    <t>TEAL TINTS DESIGN STUDIO | INTERN | CHINCHWAD, PUNE | Jul 2023 | Nov 2023 | 17.428571428571 Weeks
	EZ REALTY | REAL ESTATE CONSULTING INTERN | KHARADI, PUNE | May 2025 | Jul 2025 | 8.7142857142857 Weeks</t>
  </si>
  <si>
    <t>National Services Scheme
Photoshop
Sketch-Up
Lumion
Revit
Using Google Forms to Analyze User Research Data 
Real Estate Development: Building Value in your Community
Emotional Intelligence in Leadership
Real Estate Financial Modelling
NPTEL Indian Economy: Some Contemporary Perspectives</t>
  </si>
  <si>
    <t>P24702008</t>
  </si>
  <si>
    <t>YASH</t>
  </si>
  <si>
    <t>KUMBALWAR</t>
  </si>
  <si>
    <t>Yash Kishor Kumbalwar</t>
  </si>
  <si>
    <t>p24702008@student.nicmar.ac.in</t>
  </si>
  <si>
    <t>14-Dec-2000</t>
  </si>
  <si>
    <t>Hindi, English</t>
  </si>
  <si>
    <t>2680 8997 3530</t>
  </si>
  <si>
    <t>KISHOR KUMBALWAR</t>
  </si>
  <si>
    <t>ASAWARI KUMBALWAR</t>
  </si>
  <si>
    <t>80. EWS, QT NO. 04, BUDHWAR BAZAR ROAD,SOMWARI QUARTER, SAKKARDARA, NAGPUR</t>
  </si>
  <si>
    <t>PRERNA CONVENT, NAGPUR</t>
  </si>
  <si>
    <t>MAHARASHTRA STATE BOARD</t>
  </si>
  <si>
    <t xml:space="preserve"> DIPLOMA IN AUTOMOBILE ENGINEERING</t>
  </si>
  <si>
    <t>GOVERMENT POLYTECHNIC, NAGPUR</t>
  </si>
  <si>
    <t>RASHTRASANT TUKDOJI MAHARAJ UNIVERSITY, NAGPUR</t>
  </si>
  <si>
    <t>PRIYADARSHINI COLLEGE OF ENGINEERING, NAGPUR</t>
  </si>
  <si>
    <t>2023-Dec</t>
  </si>
  <si>
    <t>Minitab 17,Ms office,Ms Project</t>
  </si>
  <si>
    <t xml:space="preserve">	TRUST ENGINEERING SOLUTIONS |  Management Trainee | NAGPUR | Dec 2023 | Mar 2024 | 13.714285714286 Weeks
ELEGANZ INTERIORS LTD | PROJECT MANAGEMENT (MEP) | BANGALORE | May 2025 | Jul 2025 | 7.2857142857143 Weeks</t>
  </si>
  <si>
    <t>MBA-NBS</t>
  </si>
  <si>
    <t>P24703012</t>
  </si>
  <si>
    <t>PIYUSH</t>
  </si>
  <si>
    <t>DIWAKAR</t>
  </si>
  <si>
    <t>KHOBRAGADE</t>
  </si>
  <si>
    <t>Piyush Diwakar Khobragade</t>
  </si>
  <si>
    <t>pkhobragade640@gmail.com</t>
  </si>
  <si>
    <t>p24703012@student.nicmar.ac.in</t>
  </si>
  <si>
    <t>06-Jun-2000</t>
  </si>
  <si>
    <t>NEWS,GEOPOLITICS,CURRENT AFFAIRS</t>
  </si>
  <si>
    <t>3785 0191 6230</t>
  </si>
  <si>
    <t>DIWAKAR KHOBRAGADE</t>
  </si>
  <si>
    <t>RETIRED GOVT OFFICER</t>
  </si>
  <si>
    <t>JAYA KHOBRAGADE</t>
  </si>
  <si>
    <t>GANESH NAGAR, ARJUNI MORGAON</t>
  </si>
  <si>
    <t>Gondia</t>
  </si>
  <si>
    <t>MAITREYA, NEAR GOLD CINEMA</t>
  </si>
  <si>
    <t>MANOHARBHAI PATEL MILITARY SCHOOL, GONDIA</t>
  </si>
  <si>
    <t>MAHARASHTRA STATE BOARD OF SECONDARY AND HIGHER SECONDARY EDUCATION, GONDIA, MAHARASHTRA</t>
  </si>
  <si>
    <t>ST. PAUL SCIENCE &amp; COMMERCE JUNIOR COLLEGE, NAGPUR</t>
  </si>
  <si>
    <t>MAHARASHTRA STATE BOARD OF SECONDARY AND HIGHER SECONDARY EDUCATION, NAGPUR, MAHARASHTRA</t>
  </si>
  <si>
    <t>NATWARLAL MANIKLAL DALAL COLLEGE, GONDIA, MAHARASHTRA</t>
  </si>
  <si>
    <t>2018-Sep</t>
  </si>
  <si>
    <t>2022-Apr</t>
  </si>
  <si>
    <t>Ms-office</t>
  </si>
  <si>
    <t>BSE INDIA (BOMBAY STOCK EXCHANGE) | FINANCE, OPERATIONS AND DATABASE INTERN | MUMBAI | May 2025 | Jul 2025 | 7.4285714285714 Weeks</t>
  </si>
  <si>
    <t>P24703014</t>
  </si>
  <si>
    <t>PISHE</t>
  </si>
  <si>
    <t>PRATHMESH</t>
  </si>
  <si>
    <t>Pishe Prathmesh Prakash</t>
  </si>
  <si>
    <t>p24703014@student.nicmar.ac.in</t>
  </si>
  <si>
    <t>10-Dec-2001</t>
  </si>
  <si>
    <t>6343 2619 8101</t>
  </si>
  <si>
    <t>723/1/12A, Alipur Road, Near Nene Nursing Home, Barshi, Solapur, Maharatshtra.413411</t>
  </si>
  <si>
    <t>SULAKHE HIGHSCHOOL , BARSHI</t>
  </si>
  <si>
    <t xml:space="preserve"> MAHARASHTRA STATE BOARD OF SECONDARY AND HIGHER SECONDARY EDUCATION, PUNE</t>
  </si>
  <si>
    <t>RAJARSHI SHAHU MAHAVIDYALAYA, LATUR</t>
  </si>
  <si>
    <t>MODERN COLLEGE OF ARTS, COMMERCE AND SCIENCE, GANESHKHIND, PUNE.</t>
  </si>
  <si>
    <t>2023-Apr</t>
  </si>
  <si>
    <t>Ms Office</t>
  </si>
  <si>
    <t>BANK OF MAHARASHTRA | BANKING AND OPERATIONS | PUNE | May 2025 | Jul 2025 | 8.5714285714286 Weeks</t>
  </si>
  <si>
    <t>Google Ads Free Course 2022
Company Secretary Executive Pre-Exam ( Module 2)
Company Secretary Entrance Exam
Coursera Human Resource Analytics
NISM - Security Markets Foundation Certification</t>
  </si>
  <si>
    <t>P24703017</t>
  </si>
  <si>
    <t>KARTHIK</t>
  </si>
  <si>
    <t>KUMAR</t>
  </si>
  <si>
    <t>AGIRISETTI</t>
  </si>
  <si>
    <t>Karthik Kumar Agirisetti</t>
  </si>
  <si>
    <t>p24703017@student.nicmar.ac.in</t>
  </si>
  <si>
    <t>10-Jul-2000</t>
  </si>
  <si>
    <t>Hindi, English,Telugu</t>
  </si>
  <si>
    <t>3804 6286 7941</t>
  </si>
  <si>
    <t>AGIRISETTI RAJESHWAR</t>
  </si>
  <si>
    <t>REAL ESTATE</t>
  </si>
  <si>
    <t>AGIRISETTI ANITHA</t>
  </si>
  <si>
    <t>LADIES TAILOR</t>
  </si>
  <si>
    <t>Plot No 48, New Gayatri Nagar, Jillelguda, K.v. Rangareddy, Telangana</t>
  </si>
  <si>
    <t>Hyderabad</t>
  </si>
  <si>
    <t>Telangana</t>
  </si>
  <si>
    <t>RAVINDRA BHARATHI SCHOOL</t>
  </si>
  <si>
    <t>BOARD OF SECONDARY EDUCATION TELANGANA</t>
  </si>
  <si>
    <t>NARAYANA JUNIOR COLLEGE</t>
  </si>
  <si>
    <t>TELANGANA STATE BOARD OF INTERMEDIATE EDUCATION</t>
  </si>
  <si>
    <t>JAWAHARLAL NEHRU TECHNOLOGICAL UNIVERSITY HYDERABAD</t>
  </si>
  <si>
    <t>SREYAS INSTITUTE OF ENGINEERING AND TECHNOLOGY</t>
  </si>
  <si>
    <t>2022-Dec</t>
  </si>
  <si>
    <t>Revit,3Ds max,Staadpro</t>
  </si>
  <si>
    <t>NCL BUILDTEK LTD | GRADUATE ENGINEER TRAINEE | HYDERABAD | Sep 2023 | Jul 2024 | 0Y 9M |  2.40</t>
  </si>
  <si>
    <t>0 Years 9 Months</t>
  </si>
  <si>
    <t>NEW CONSOLIDATED CONSTRUCTION CO. LTD. | PLANNING, PROJECT CO-ORDINATION AND SITE EXECUTION | MUMBAI | May 2025 | Jul 2025 | 8.7142857142857 Weeks</t>
  </si>
  <si>
    <t>Master in Civil CADD (Auto CAD, Staadpro, Revit, 3Ds Max, Primavera)
Construction Management Foundations
Microsoft Project in Construction</t>
  </si>
  <si>
    <t>P24703018</t>
  </si>
  <si>
    <t>RUTURAJ</t>
  </si>
  <si>
    <t>TAWARE</t>
  </si>
  <si>
    <t>Ruturaj Anand Taware</t>
  </si>
  <si>
    <t>p24703018@student.nicmar.ac.in</t>
  </si>
  <si>
    <t>25-Dec-2000</t>
  </si>
  <si>
    <t>Marathi, Hindi</t>
  </si>
  <si>
    <t>9573 0280 8982</t>
  </si>
  <si>
    <t>ANAND ANKUSH TAWARE</t>
  </si>
  <si>
    <t>SUJATA ANAND TAWARE</t>
  </si>
  <si>
    <t>Srno 36/2, Tukaram Nagar
Kharadi,Pune-411014</t>
  </si>
  <si>
    <t>STELLA MARIS HIGH SCHOOL</t>
  </si>
  <si>
    <t>SHRI SHIVAJI PREPORATORY MILITARY SCHOOL</t>
  </si>
  <si>
    <t xml:space="preserve">AJEENKYA DY PATIL SCHOOL OF ENGINEERING </t>
  </si>
  <si>
    <t>2018-Aug</t>
  </si>
  <si>
    <t>Auto Cad,Ms Office</t>
  </si>
  <si>
    <t>Eka mobility |  GET : Supply Chain Management | Pune | Dec 2023 | Jun 2024 | 0Y 5M | 3</t>
  </si>
  <si>
    <t>0 Years 5 Months</t>
  </si>
  <si>
    <t>ECLATE STAFFING SOLUTIONS | SAP INTERN | PUNE | May 2025 | Jul 2025 | 8.7142857142857 Weeks</t>
  </si>
  <si>
    <t>Catia V3
Autocad
SAP MM
KPMG lean six sigma green belt</t>
  </si>
  <si>
    <t>P24703019</t>
  </si>
  <si>
    <t>SHUBHAM</t>
  </si>
  <si>
    <t>BAGADE</t>
  </si>
  <si>
    <t>Shubham Vijay Bagade</t>
  </si>
  <si>
    <t>p24703019@student.nicmar.ac.in</t>
  </si>
  <si>
    <t>01-May-1994</t>
  </si>
  <si>
    <t>3502 3096 1305</t>
  </si>
  <si>
    <t>MANAGER</t>
  </si>
  <si>
    <t>VAISHNAVI</t>
  </si>
  <si>
    <t>HOME MAKER</t>
  </si>
  <si>
    <t>Flat No.206, 2nd Floor, Sumangal Apartment, Niwara Corner, Takli Road, Kopargaon</t>
  </si>
  <si>
    <t xml:space="preserve">MAHARISH VIDYA MANDIR </t>
  </si>
  <si>
    <t>CBSE BET-KOPARGAON AHMEDNAGAR MAHARASHTRA</t>
  </si>
  <si>
    <t>2009-Jun</t>
  </si>
  <si>
    <t xml:space="preserve">SANT J S M MAHARISHI VIDYA MANDIR </t>
  </si>
  <si>
    <t>2011-Jun</t>
  </si>
  <si>
    <t>2012-May</t>
  </si>
  <si>
    <t xml:space="preserve">D Y PATIL UNIVERSITY </t>
  </si>
  <si>
    <t>SCHOOL OF HOSPITALITY &amp; TOURISM STUDIES NAVI MUMBAI</t>
  </si>
  <si>
    <t>2012-Aug</t>
  </si>
  <si>
    <t>MS Office,Business Development,Client Relationship Management,Customer Engagement,Sales Coordination,Lead Handling,Negotiation Skills,CRM &amp; Reporting ,Problem Solving,Cross-fuctional Corrdination,Team Leadership</t>
  </si>
  <si>
    <t>Neptune Hospitality &amp; Management Services |  F&amp;B Assistant | Maharashtra, Goa, Gujarat, Rajasthan, New Delhi, Uttar Pradesh, Jammu &amp; Kashmir, Nagaland | Dec 2014 | Dec 2015 | 1Y 0M | 1.17
Jubilant FoodWorks Limited | Assistant Guest Delight Manager | Mumbai | Jan 2016 | Nov 2016 | 0Y 10M | 2.29
Soul Konnect Hosptality LLP | Operations Manager | Mumbai | Feb 2017 | Jul 2024 | 7Y 4M | 4.20</t>
  </si>
  <si>
    <t>9 Years 3 Months</t>
  </si>
  <si>
    <t>Supply Chain Digitization
KPMG Green Belt Lean Six Sigma Certificate
Primary &amp; Secondary Markets &amp; Career in Securities Market
Finlatics Equity Markets Analyst
Business Analyst</t>
  </si>
  <si>
    <t>P24703025</t>
  </si>
  <si>
    <t>JAIDEEP</t>
  </si>
  <si>
    <t>BHASKAR</t>
  </si>
  <si>
    <t>BHAWAR</t>
  </si>
  <si>
    <t>Jaideep Bhaskar Bhawar</t>
  </si>
  <si>
    <t>p24703025@student.nicmar.ac.in</t>
  </si>
  <si>
    <t>04-Oct-2002</t>
  </si>
  <si>
    <t>9476 4761 0486</t>
  </si>
  <si>
    <t>DOCTOR</t>
  </si>
  <si>
    <t>SUJATA</t>
  </si>
  <si>
    <t>Saideep , Malpaninagar, Ghulewadi, Sangamner</t>
  </si>
  <si>
    <t>DR BHANUDAS G DERE ENGLISH MEDIUM SCHOOL</t>
  </si>
  <si>
    <t>2017-Apr</t>
  </si>
  <si>
    <t>DR BHANUDAS G DERE JUNIOR COLLEGE</t>
  </si>
  <si>
    <t>MIT WORLD PEACE UNIVERSITY PUNE</t>
  </si>
  <si>
    <t>2020-Aug</t>
  </si>
  <si>
    <t>2023-May</t>
  </si>
  <si>
    <t>Ms Office,Ms Project,Advanced Excel (pivot,Lookup,Dashboards,Cost Tracking &amp; Reporting, SAP BW (Basic),Python</t>
  </si>
  <si>
    <t>TENET COMPUTER AND COMMUNICATION PVT.LTD | ASSOCIATE MARKETING INTERN | NAGPUR | May 2022 | Jul 2022 | 8.7142857142857 Weeks
	TECHNOTRAK ENGINEERS | SUPPLYCHAIN INTERN | AHILYANAGAR,MAHARASHTRA | May 2025 | Jul 2025 | 7.4285714285714 Weeks</t>
  </si>
  <si>
    <t>P24703028</t>
  </si>
  <si>
    <t>SHRIKANT</t>
  </si>
  <si>
    <t>GONDKAR</t>
  </si>
  <si>
    <t>Shrikant Gondkar</t>
  </si>
  <si>
    <t>p24703028@student.nicmar.ac.in</t>
  </si>
  <si>
    <t>06-Jul-2001</t>
  </si>
  <si>
    <t>6868 4113 2967</t>
  </si>
  <si>
    <t xml:space="preserve">ANNASAHEB </t>
  </si>
  <si>
    <t>VAISHALI</t>
  </si>
  <si>
    <t>Sai Hari Prasad Niwas, Beroba Road,sathbhai Mala,shirdi</t>
  </si>
  <si>
    <t xml:space="preserve">DHRUV ACADEMY </t>
  </si>
  <si>
    <t>CBSE SANGAMNER</t>
  </si>
  <si>
    <t>K.B.ROHMARE JR. COLLEGE OF ARTS, COMMERCE AND SCIENCE</t>
  </si>
  <si>
    <t xml:space="preserve">HSE KOPERGAON </t>
  </si>
  <si>
    <t>2020-Jun</t>
  </si>
  <si>
    <t xml:space="preserve">SYMBIOSIS COLLEGE OF ARTS AND COMMERCE AN AUTONOMUS COLLEGE UNDER SAVITRIBAI PHULE PUNE UNIVERSITY </t>
  </si>
  <si>
    <t>SYMBIOSIS COLLEGE OF ARTS AND COMMERCE</t>
  </si>
  <si>
    <t>2024-Apr</t>
  </si>
  <si>
    <t>Tally ERP,MS Office</t>
  </si>
  <si>
    <t>VED PRASAD AND CO. | Accounts and Audit Assistant | Shirdi, Maharashtra | Sep 2021 | Feb 2022 | 23.285714285714 Weeks
	Bank of Maharashtra | Banking &amp; Operations | Balewadi | May 2025 | Jul 2025 | 8.7142857142857 Weeks</t>
  </si>
  <si>
    <t>Accounts and Audit Assistant
Investment Banking Virtual Experience
Data Analytics Consulting Virtual Internship
Google Fundamentals Of Digital Marketing
EDUYOUTH MEET
Financial Modeling</t>
  </si>
  <si>
    <t>P24703035</t>
  </si>
  <si>
    <t>HIMANSHU</t>
  </si>
  <si>
    <t>Himanshu Yadav</t>
  </si>
  <si>
    <t>p24703035@student.nicmar.ac.in</t>
  </si>
  <si>
    <t>26-Jan-1994</t>
  </si>
  <si>
    <t>Music,Reading</t>
  </si>
  <si>
    <t>2696 0909 7765</t>
  </si>
  <si>
    <t>RAJESH KUMAR</t>
  </si>
  <si>
    <t>SCIENTIST</t>
  </si>
  <si>
    <t xml:space="preserve">SHOBHA </t>
  </si>
  <si>
    <t>HOME-MAKER</t>
  </si>
  <si>
    <t>FLAT NO-504, PAARTH APARTMENT, GH-66, SECTOR-55, GURGAON</t>
  </si>
  <si>
    <t>Gurugram</t>
  </si>
  <si>
    <t>Haryana</t>
  </si>
  <si>
    <t>FLAT NO -B-12, TOWER - 2, TYPE- 5, EAST KIDWAI NAGAR, NEW DELHI</t>
  </si>
  <si>
    <t>South West Delhi</t>
  </si>
  <si>
    <t>Delhi</t>
  </si>
  <si>
    <t>DELHI PUBLIC SCHOOL</t>
  </si>
  <si>
    <t>2009-Feb</t>
  </si>
  <si>
    <t>2010-Apr</t>
  </si>
  <si>
    <t>2011-Feb</t>
  </si>
  <si>
    <t>2012-Mar</t>
  </si>
  <si>
    <t>DAYAL SINGH COLLEGE, NEW DELHI</t>
  </si>
  <si>
    <t>UNIVERSITY OF DELHI</t>
  </si>
  <si>
    <t>2015-Dec</t>
  </si>
  <si>
    <t>CENTRAL UNIVERSITY OF HARYANA</t>
  </si>
  <si>
    <t>MAHENDERGARH,HARYANA</t>
  </si>
  <si>
    <t>2016-Jul</t>
  </si>
  <si>
    <t>MS Office</t>
  </si>
  <si>
    <t>National Institute of Construction Management and Research | Office Assistant | Delhi-NCR and Pune | Sep 2019 | May 2023 | 3Y 8M | 5.31</t>
  </si>
  <si>
    <t>3 Years 8 Months</t>
  </si>
  <si>
    <t>MARUTI SUZUKI INDIA LIMITED | Management  Intern  (Direct Taxation Department) | GURGAON | May 2025 | Jul 2025 | 10 Weeks</t>
  </si>
  <si>
    <t>Foundations of Digital Marketing and E-commence by Google</t>
  </si>
  <si>
    <t>P24703038</t>
  </si>
  <si>
    <t>SHARDUL</t>
  </si>
  <si>
    <t>KONDE</t>
  </si>
  <si>
    <t>Shardul Konde</t>
  </si>
  <si>
    <t>p24703038@student.nicmar.ac.in</t>
  </si>
  <si>
    <t>24-Jun-2001</t>
  </si>
  <si>
    <t>3262 9933 5113</t>
  </si>
  <si>
    <t>MANOHAR</t>
  </si>
  <si>
    <t>Plot No. 10 Kadu Layout Panchawati Katol, Nagpur 441302</t>
  </si>
  <si>
    <t>MOUNT CARMEL CONVENT SCHOOL KATOL</t>
  </si>
  <si>
    <t>DHARAMPETH M.P DEO MEMORIAL SCIENCE COLLEGE</t>
  </si>
  <si>
    <t>STATE BOARD OF MAHARASHTRA</t>
  </si>
  <si>
    <t>G.H RAISONI INSTITUTE OF ENGINEERING AND TECHNOLOGY NAGPUR</t>
  </si>
  <si>
    <t xml:space="preserve">	B2B Genie | Product Development Intern | Pune | May 2025 | Jul 2025 | 8.7142857142857 Weeks</t>
  </si>
  <si>
    <t>Financial Analyst | Udemy
The Fundamentals of Digital Marketing | Google</t>
  </si>
  <si>
    <t>P24703042</t>
  </si>
  <si>
    <t>KAMAL</t>
  </si>
  <si>
    <t>SURESH</t>
  </si>
  <si>
    <t>VAISHNAV</t>
  </si>
  <si>
    <t>Kamal Suresh Vaishnav</t>
  </si>
  <si>
    <t>p24703042@student.nicmar.ac.in</t>
  </si>
  <si>
    <t>08-Sep-2001</t>
  </si>
  <si>
    <t>Hindi,English, Marathi,Gujarati</t>
  </si>
  <si>
    <t>8733 7474 1360</t>
  </si>
  <si>
    <t>SERVICE</t>
  </si>
  <si>
    <t>NIRMALADEVI</t>
  </si>
  <si>
    <t>D/310 SHREE TULSIDHAM CHS LTD, TALAV ROAD CROSS NAVHAR ROAD, BHAYANDER EAST, THANE</t>
  </si>
  <si>
    <t>Thane</t>
  </si>
  <si>
    <t>ST. FRANCIS HIGH SCHOOL</t>
  </si>
  <si>
    <t>S.V.P JR COLLEGE OF SCIENCE AND COMMERCE</t>
  </si>
  <si>
    <t>VIDYAVARDHINI'S COLLEGE OF ENGINEERING AND TECHNOLOGY, VASAI</t>
  </si>
  <si>
    <t>SHREEJI CONSTRUCTION ENGINEERS AND CONTRACTORS | INTERN | PALGHAR | Dec 2021 | Jan 2022 | 5 Weeks
SHREE ASHOKA BUILDCON | INTERN | NALASOPARA, PALGHAR | Aug 2021 | Jan 2022 | 21.857142857143 Weeks
	Tricity Realty LLP | Purchase Coordinator | Navi Mumbai | May 2025 | Jul 2025 | 8.7142857142857 Weeks</t>
  </si>
  <si>
    <t>Lean Six sigma certification</t>
  </si>
  <si>
    <t>P24703048</t>
  </si>
  <si>
    <t>RAJARSHI</t>
  </si>
  <si>
    <t>MALLICK</t>
  </si>
  <si>
    <t>Rajarshi Mallick</t>
  </si>
  <si>
    <t>p24703048@student.nicmar.ac.in</t>
  </si>
  <si>
    <t>09-Nov-2001</t>
  </si>
  <si>
    <t>6578 9561 4307</t>
  </si>
  <si>
    <t>SAHADEB MALLICK</t>
  </si>
  <si>
    <t>PIYALI MALLICK</t>
  </si>
  <si>
    <t>Vill,po-Khatul
Post - Khatul
District - Hooghly</t>
  </si>
  <si>
    <t>Hooghly</t>
  </si>
  <si>
    <t>West Bengal</t>
  </si>
  <si>
    <t>SAMANTA KHANDA H.K ROY HIGH SCHOOL (HS)</t>
  </si>
  <si>
    <t>WEST BENGAL BOARD OF SECONDARY EDUCATION</t>
  </si>
  <si>
    <t>2016-Jan</t>
  </si>
  <si>
    <t>WEST BENGAL BOARD OF HIGHER SECONDARY EDUCATION</t>
  </si>
  <si>
    <t xml:space="preserve">THE UNIVERSITY OF BURDWAN </t>
  </si>
  <si>
    <t>NETAJI MAHAVIDYALAYA ARAMBAGH</t>
  </si>
  <si>
    <t>MS Office, Ms Project,Power BI,Tableau</t>
  </si>
  <si>
    <t xml:space="preserve">	Vanguard Ventures | Sales Intern (Real Estate &amp; Market Development) | Thane | May 2025 | Jul 2025 | 7.4285714285714 Weeks</t>
  </si>
  <si>
    <t>P24703050</t>
  </si>
  <si>
    <t>RUSHIKESH</t>
  </si>
  <si>
    <t>KAUTIKRAO</t>
  </si>
  <si>
    <t>WAGH</t>
  </si>
  <si>
    <t>Rushikesh Kautikrao Wagh</t>
  </si>
  <si>
    <t>hrishiwagh.17@gmail.com</t>
  </si>
  <si>
    <t>p24703050@student.nicmar.ac.in</t>
  </si>
  <si>
    <t>17-Jun-1999</t>
  </si>
  <si>
    <t>Hindi ,English,Marathi</t>
  </si>
  <si>
    <t>Football ,Music</t>
  </si>
  <si>
    <t>4654 9453 9962</t>
  </si>
  <si>
    <t>KAUTIK SAYAJIRAO WAGH</t>
  </si>
  <si>
    <t>RETIRED GOVT. EMPLOYEE</t>
  </si>
  <si>
    <t>KAVITA KAUTIKRAO WAGH</t>
  </si>
  <si>
    <t>SOCIAL WORKER</t>
  </si>
  <si>
    <t>Hs No. 5 Prithvi Nagar Satara Parisar
Beed By Pass Auranagabd</t>
  </si>
  <si>
    <t>BHASKARACHARYA VIDYANIKETAN</t>
  </si>
  <si>
    <t xml:space="preserve">MAHARASHTRA STATE BOARD OF SECONDARY AND HIGHER SECONDARY EDUCATION, PUNE </t>
  </si>
  <si>
    <t>DR. R. P. NATH JR. COLLEGE</t>
  </si>
  <si>
    <t>OSMANIA UNIVERSITY</t>
  </si>
  <si>
    <t>ST. PAUL'S DEGREE AND PG. COLLEGE HYDERABAD</t>
  </si>
  <si>
    <t>MS Office,Data Dashboard(Streamlit.io),Power BI,Project Documetation &amp; Reporting</t>
  </si>
  <si>
    <t>AGRIVIJAY  | PROJECT INTERN | PUNE | May 2025 | Jul 2025 | 7.7142857142857 Weeks</t>
  </si>
  <si>
    <t>P24703052</t>
  </si>
  <si>
    <t>HARSH</t>
  </si>
  <si>
    <t>Harsh Pawar</t>
  </si>
  <si>
    <t>harshpawar839@gmail.com</t>
  </si>
  <si>
    <t>p24703052@student.nicmar.ac.in</t>
  </si>
  <si>
    <t>15-Jun-2002</t>
  </si>
  <si>
    <t>hindi,English,Marathi</t>
  </si>
  <si>
    <t>Reading ,Music</t>
  </si>
  <si>
    <t>9937 7060 2293</t>
  </si>
  <si>
    <t>BAPUSAHEB PAWAR</t>
  </si>
  <si>
    <t>SUNITA PAWAR</t>
  </si>
  <si>
    <t>802, Aman Society, Bhosalenagar, Shivajinagar</t>
  </si>
  <si>
    <t>DHRUV ACADEMY, SANGAMNER</t>
  </si>
  <si>
    <t>MAHATMA PHULE JUNIOR COLLEGE</t>
  </si>
  <si>
    <t>MAHARASHTRA BOARD OF SECONDARY AND HIGHER SECONDARY EDUCATION</t>
  </si>
  <si>
    <t>DR. VISHVANATH KARAD MIT WORLD PEACE UNIVERSITY</t>
  </si>
  <si>
    <t>Tableau,Python,R Studio,Power BI,MS Office ,MS Project</t>
  </si>
  <si>
    <t>AGILE CAPITAL SERVICES | BUSINESS DEVELOPMENT INTERN | NEW DELHI | Oct 2021 | Dec 2021 | 10.142857142857 Weeks
CUMMINS INDIA (KEP) | Supply Chain &amp; Operations Intern | PUNE | Jun 2025 | Aug 2025 | 8.5714285714286 Weeks</t>
  </si>
  <si>
    <t>P24703055</t>
  </si>
  <si>
    <t>ANKITA</t>
  </si>
  <si>
    <t>SINGH</t>
  </si>
  <si>
    <t>Ankita Singh</t>
  </si>
  <si>
    <t>ankitasingh4764@gmail.com</t>
  </si>
  <si>
    <t>p24703055@student.nicmar.ac.in</t>
  </si>
  <si>
    <t>27-Nov-2001</t>
  </si>
  <si>
    <t>2204 4405 3563</t>
  </si>
  <si>
    <t>SANJAY KUMAR</t>
  </si>
  <si>
    <t>BUSINESSMAN</t>
  </si>
  <si>
    <t>SAROJ</t>
  </si>
  <si>
    <t xml:space="preserve">SAIDPUR KOTHIA,KURJEE
VIKASH NAGAR,
PS-DIGHA,PATNA,BIHAR,INDIA </t>
  </si>
  <si>
    <t>Patna</t>
  </si>
  <si>
    <t>Bihar</t>
  </si>
  <si>
    <t xml:space="preserve">ST. MICHAEL’S HIGH SCHOOL </t>
  </si>
  <si>
    <t xml:space="preserve"> CENTRAL BOARD OF SECONDARY EDUCATION , PATNA, BIHAR</t>
  </si>
  <si>
    <t>ST.MICHAEL’S HIGH SCHOO</t>
  </si>
  <si>
    <t>UNIVERSITY OF CALCUTTA</t>
  </si>
  <si>
    <t xml:space="preserve">SHRI SHIKSHAYATAN COLLEGE </t>
  </si>
  <si>
    <t>NUMERO UNO CLOTHING LIMITED | Human Resources Department  | Paras Trade Centre, 6th Floor, Sector-2, Gwal Pahari, Gurugram Faridabad Toll Road, Gurugram-122003 Haryana (INDIA)  | May 2025 | Jul 2025 | 8.1428571428571 Weeks
BMW  | Account Executive  | Kolkata  | Mar 2021 | Sep 2021 | 27.714285714286 Weeks</t>
  </si>
  <si>
    <t>P24703056</t>
  </si>
  <si>
    <t>TANISHQ</t>
  </si>
  <si>
    <t>DURAPHE</t>
  </si>
  <si>
    <t>Tanishq Duraphe</t>
  </si>
  <si>
    <t>duraphet@gmail.com</t>
  </si>
  <si>
    <t>p24703056@student.nicmar.ac.in</t>
  </si>
  <si>
    <t>01-Oct-2000</t>
  </si>
  <si>
    <t>English,Hindi,Marathi</t>
  </si>
  <si>
    <t>9869 8354 6001</t>
  </si>
  <si>
    <t>NITIN DURAPHE</t>
  </si>
  <si>
    <t>ENGINEER</t>
  </si>
  <si>
    <t>PREETI DURAPHE</t>
  </si>
  <si>
    <t>Kotputli Ultratech Cement Works, A-1</t>
  </si>
  <si>
    <t>Jaipur</t>
  </si>
  <si>
    <t>Rajasthan</t>
  </si>
  <si>
    <t>THE LOVEDALE SCHOOL, SATNA</t>
  </si>
  <si>
    <t xml:space="preserve">CENTRAL BOARD OF EDUCATION, SATNA, MADHYA PRADESH </t>
  </si>
  <si>
    <t xml:space="preserve">G.D GOENKA PUBLIC SCHOOL, </t>
  </si>
  <si>
    <t>CENTRAL BOARD OF EDUCATION, GREATER NOIDA, UTTAR PRADES</t>
  </si>
  <si>
    <t>NOIDA INTERNATIONAL UNIVERSITY</t>
  </si>
  <si>
    <t>NOIDA INTERNATIONAL UNIVERSITY, NOIDA, UTTAR PRADESH</t>
  </si>
  <si>
    <t>2022-Sep</t>
  </si>
  <si>
    <t>Adobe Premier pro,FI Studio,Canva,Content creation,Brand Logo Designing</t>
  </si>
  <si>
    <t>ULTRATECH CEMENT | TRAINEE IN HR MANAGEMENT | KOTPUTLI | Mar 2024 | May 2024 | 8.5714285714286 Weeks
ULTRATECH CEMENT | INTERN | ULTRATECH CEMENT LIMITED, NYATI EMPRESS, VIMAN NAGAR PUNE, MAHARASHTRA | May 2025 | Jul 2025 | 8.7142857142857 Weeks</t>
  </si>
  <si>
    <t>P24703057</t>
  </si>
  <si>
    <t>AMAL</t>
  </si>
  <si>
    <t>SREEVALSAN</t>
  </si>
  <si>
    <t>Amal Sreevalsan</t>
  </si>
  <si>
    <t>p24703057@student.nicmar.ac.in</t>
  </si>
  <si>
    <t>12-Sep-2000</t>
  </si>
  <si>
    <t>Engli,Hindi ,Malayalam</t>
  </si>
  <si>
    <t>Playing Footbal ,Gym,Cooking</t>
  </si>
  <si>
    <t>7988 2969 6681</t>
  </si>
  <si>
    <t xml:space="preserve">SREEVALSAN TE </t>
  </si>
  <si>
    <t>EX MILITARY</t>
  </si>
  <si>
    <t xml:space="preserve">SUMANGALA NCR </t>
  </si>
  <si>
    <t>STATE GOVERNMENT EMPLOYEE</t>
  </si>
  <si>
    <t>'Sreevalsam' Mocheri,Mavilayi P.o Mundalur,Kannur,Kerala</t>
  </si>
  <si>
    <t>Kannur</t>
  </si>
  <si>
    <t>LAKSHMI GANAPATI PG,PATIL WASTI,PATIL NAGAR,BELEWADI,PUNE,MAHARASHTRA</t>
  </si>
  <si>
    <t xml:space="preserve">ARMY PUBLIC SCHOOL </t>
  </si>
  <si>
    <t>CENTRAL BOARD OF SECONDARY EDUCATION, NEW DELHI</t>
  </si>
  <si>
    <t>MANGALORE UNIVERSITY</t>
  </si>
  <si>
    <t>SHRI DHARMASTHALA MANJUNATHESHWARA COLLEGE OF BUSINESS MANAGEMENT, MANGALURU, KARNATAKA</t>
  </si>
  <si>
    <t>2021-Dec</t>
  </si>
  <si>
    <t>Power BI ,MS Office</t>
  </si>
  <si>
    <t>B2B GENIE PVT LTD | Business Development &amp; Market Research Inte | PUNE | May 2025 | Jul 2025 | 8.7142857142857 Weeks</t>
  </si>
  <si>
    <t>P24703060</t>
  </si>
  <si>
    <t>MOHIT</t>
  </si>
  <si>
    <t>TEJRAO</t>
  </si>
  <si>
    <t>KADAM</t>
  </si>
  <si>
    <t>Mohit Tejrao Kadam</t>
  </si>
  <si>
    <t>p24703060@student.nicmar.ac.in</t>
  </si>
  <si>
    <t>21-Jan-2003</t>
  </si>
  <si>
    <t>English,hindi,Marathi</t>
  </si>
  <si>
    <t>Playing Harmonium</t>
  </si>
  <si>
    <t>2272 8900 0940</t>
  </si>
  <si>
    <t>SELF EMPLOYED</t>
  </si>
  <si>
    <t>RUKHMINI</t>
  </si>
  <si>
    <t>101, D Wing, Chaitanya Villa, Warulwadi, Narayangaon</t>
  </si>
  <si>
    <t>G. R. P. SABNIS VIDYAMANDIR, NARAYANGAON</t>
  </si>
  <si>
    <t>SSC BOARD</t>
  </si>
  <si>
    <t>2017-Jan</t>
  </si>
  <si>
    <t>G. R. P. SABNIS JUNIOR COLLEGE, NARAYANGA</t>
  </si>
  <si>
    <t>HSC BOARD</t>
  </si>
  <si>
    <t>MAHATMA PHULE AGRICULTURE UNIVERSITY, RAHURI</t>
  </si>
  <si>
    <t>DR. D. Y. PATIL COLLEGE OF AGRI BUSINESS MANAGEMEN</t>
  </si>
  <si>
    <t>2020-Sep</t>
  </si>
  <si>
    <t>Ms Office Suite(Advanced Excel/word/power Point),Power Bi,MySQL,Market Reasearch,Lead Generation</t>
  </si>
  <si>
    <t>SYNGENTA FOUNDATION INDIA | Field Research and Stakeholder Collaboration  | PUNE | May 2025 | Jul 2025 | 8.7142857142857 Weeks</t>
  </si>
  <si>
    <t>P24703045</t>
  </si>
  <si>
    <t>PANDEY</t>
  </si>
  <si>
    <t>Piyush Pandey</t>
  </si>
  <si>
    <t>piyushpandey2255@gmail.com</t>
  </si>
  <si>
    <t>p24703045@student.nicmar.ac.in</t>
  </si>
  <si>
    <t>24-Feb-2003</t>
  </si>
  <si>
    <t>hindi,English</t>
  </si>
  <si>
    <t>9877 8516 8097</t>
  </si>
  <si>
    <t>DEEPAK PANDEY</t>
  </si>
  <si>
    <t>ACCOUNTANT</t>
  </si>
  <si>
    <t>ARTI PANDEY</t>
  </si>
  <si>
    <t>P-33 Rishipuram, Phase-2 BDA Road Khajuri Kalan Huzur, Awadhpuri</t>
  </si>
  <si>
    <t>Bhopal</t>
  </si>
  <si>
    <t>Madhya Pradesh</t>
  </si>
  <si>
    <t xml:space="preserve">FLAT NO. 402, FLOOR NO. 4TH FLOOR, TARANGAN BUILDING, MAHALUNGE </t>
  </si>
  <si>
    <t>ST.PAULCO-ED SCHOOL ANAND NAGAR BHOPAL M.P.</t>
  </si>
  <si>
    <t>CENTRAL BOARD OF SECONDARY EDUCATION, DELHI</t>
  </si>
  <si>
    <t>ST. PAULCO-ED SCHOOL ANAND NAGAR BHOPAL M.P.</t>
  </si>
  <si>
    <t>2020-Mar</t>
  </si>
  <si>
    <t>DEVI AHILYA VISHWAVIDYALAYA, INDORE</t>
  </si>
  <si>
    <t>SHRI VAISHNAV INSTITUTE OF MANAGEMENT, INDORE</t>
  </si>
  <si>
    <t>2024-Aug</t>
  </si>
  <si>
    <t>MS office,Tally ERP 9,canva</t>
  </si>
  <si>
    <t>VIRASHA INFRASTRUCTURES | Management Trainee | BHOPAL | Jun 2024 | Jul 2024 | 0Y 0M
MAGESTIC REALTIES | SALES | KOTHRUD, PUNE  | May 2025 | Jul 2025 | 0Y 1M</t>
  </si>
  <si>
    <t>0 Years 2 Months</t>
  </si>
  <si>
    <t>P24703072</t>
  </si>
  <si>
    <t>SHIVLAL</t>
  </si>
  <si>
    <t>AGRAWAL</t>
  </si>
  <si>
    <t>Sakshi Shivlal Agrawal</t>
  </si>
  <si>
    <t>sakshiagrawal1916@gmail.com</t>
  </si>
  <si>
    <t>p24703072@student.nicmar.ac.in</t>
  </si>
  <si>
    <t>19-Sep-2002</t>
  </si>
  <si>
    <t>English,Hindi ,MARATHI</t>
  </si>
  <si>
    <t>Reading,music</t>
  </si>
  <si>
    <t>2602 4521 4351</t>
  </si>
  <si>
    <t>DEEPALI</t>
  </si>
  <si>
    <t xml:space="preserve">HOME MAKER </t>
  </si>
  <si>
    <t>Bharadi,TQ.sillod ,dist.sambhajinagar ,431113</t>
  </si>
  <si>
    <t>S.B.HIGH SCHOOL BHARADI,TQ.SILLOD,DIST.SAMBHAJINAGAR</t>
  </si>
  <si>
    <t xml:space="preserve">MAHARASHTRA </t>
  </si>
  <si>
    <t xml:space="preserve">SBES COLLEGE OF ARTS AND COMMERCE </t>
  </si>
  <si>
    <t xml:space="preserve">MMCC COLLEGE OF PUNE, MAHARASHTRA </t>
  </si>
  <si>
    <t>Ms- office ,canva ,tally</t>
  </si>
  <si>
    <t>AGRIVIJAY | MARKETING | PUNE | May 2025 | Jul 2025 | 7.8571428571429 Weeks
ROHAN BADALE &amp; ASSOCIATES | FINANCE | SILLOD | Nov 2022 | Dec 2022 | 8.5714285714286 Weeks</t>
  </si>
  <si>
    <t>M-PLAN</t>
  </si>
  <si>
    <t>P24704005</t>
  </si>
  <si>
    <t>JISKAR</t>
  </si>
  <si>
    <t>RUTUJA</t>
  </si>
  <si>
    <t>PRABHAKAR</t>
  </si>
  <si>
    <t>Jiskar Rutuja Prabhakar</t>
  </si>
  <si>
    <t>p24704005@student.nicmar.ac.in</t>
  </si>
  <si>
    <t>15-May-2000</t>
  </si>
  <si>
    <t>9585 8935 9614</t>
  </si>
  <si>
    <t>GOVERNMENT SERVANT</t>
  </si>
  <si>
    <t>SAVITA</t>
  </si>
  <si>
    <t>Shrivihar Colony New Rathi Nagar, Dhamangaon Rly</t>
  </si>
  <si>
    <t>SETH FATTELAL LABHCHAND HIGH SCHOOL AND JUNIOR COLLEGE</t>
  </si>
  <si>
    <t xml:space="preserve">SMT. MANORAMABAI MUNDALE COLLEGE OF ARCHITECTURE, NAGPUR </t>
  </si>
  <si>
    <t>AutoCAD,MS Office,Sketchup,Lumion,Revit,Photoshop</t>
  </si>
  <si>
    <t xml:space="preserve">	Vka architecture | Architecture | Pune | Feb 2022 | Oct 2022 | 37.428571428571 Weeks
	DIRECTORATE OF TOWN PLANNING &amp; VALUATION, MAHARASHTRA STATE | Planning Intern | PUNE | May 2025 | Jul 2025 | 9.5714285714286 Weeks</t>
  </si>
  <si>
    <t>UI/UX Certification
Sketchup , Vray, Lumion
Photoshop , Revit
Studying Cities: Social Science Methods for Urban Research
Sustainable Regional Principles, Planning and Transportation
AI and Disaster Management</t>
  </si>
  <si>
    <t>P24704008</t>
  </si>
  <si>
    <t>AKSHATA</t>
  </si>
  <si>
    <t>PIRAJI</t>
  </si>
  <si>
    <t>FARAKATE</t>
  </si>
  <si>
    <t>Akshata Piraji Farakate</t>
  </si>
  <si>
    <t>p24704008@student.nicmar.ac.in</t>
  </si>
  <si>
    <t>4134 4732 5438</t>
  </si>
  <si>
    <t>PSI (MUMBAI POLICE)</t>
  </si>
  <si>
    <t>SMITA</t>
  </si>
  <si>
    <t>PROPERTY DEALER</t>
  </si>
  <si>
    <t>Room No-401, A1(Yogesh), Shree Ganesh Chs, Plot No-1, Sector-28, Nerul (West), Navi Mumbai-400706</t>
  </si>
  <si>
    <t>Mumbai City</t>
  </si>
  <si>
    <t>ST. AUGUSTINE'S HIGH SCHOOL</t>
  </si>
  <si>
    <t>MAHARASHTRA STATE BOARD OF SECONDARY AND HIGHER EDUCATION</t>
  </si>
  <si>
    <t>2013-Jun</t>
  </si>
  <si>
    <t>2014-Mar</t>
  </si>
  <si>
    <t>S.S. HIGH SCHOOL AND JUNIOR COLLEGE</t>
  </si>
  <si>
    <t>2016-Feb</t>
  </si>
  <si>
    <t>SYMBIOSIS SKILLS AND PROFESSIONAL UNIVERSITY, PUNE</t>
  </si>
  <si>
    <t>2022-May</t>
  </si>
  <si>
    <t>AutoCAD,Ms Office, SketchUP, Photoshop, Lumion, Canva, ArcGIS</t>
  </si>
  <si>
    <t>AVINASH NAIK AND ASSOCIATES | ARCHITECT INTERN | KOLHAPUR | Aug 2021 | Dec 2021 | 20.142857142857 Weeks
PUNE METROPOLITAN REGION DEVELOPMENT AUTHORITY (PMRDA) | URBAN PLANNING INTERN | PIMPRI CHINCHWAD | May 2025 | Jul 2025 | 8.5714285714286 Weeks
Archatelie India Pvt. Ltd. | Architectural Designer | Mumbai | Feb 2023 | Sep 2023 | 29.428571428571 Weeks
	Mauli Infrastructure | Architectural Designer &amp; Project Coordinator | Navi Mumbai | Jun 2022 | Jun 2023 | 55.428571428571 Weeks</t>
  </si>
  <si>
    <t>Yoga and Positive Psychology for Managing Career and Life
Studying Cities: Social Science Methods for Urban Research
AI and Disaster Management
Sustainable Regional Principles, Planning and Transportation</t>
  </si>
  <si>
    <t>P24704013</t>
  </si>
  <si>
    <t>VIRESH</t>
  </si>
  <si>
    <t>HARESH</t>
  </si>
  <si>
    <t>KOLI</t>
  </si>
  <si>
    <t>Viresh Haresh Koli</t>
  </si>
  <si>
    <t>p24704013@student.nicmar.ac.in</t>
  </si>
  <si>
    <t>05-May-2000</t>
  </si>
  <si>
    <t>7186 1738 5801</t>
  </si>
  <si>
    <t>HARESH KOLI</t>
  </si>
  <si>
    <t>JANKI KOLI</t>
  </si>
  <si>
    <t>S/O: Haresh Koli, House No-50-1, Mora Road,
 Near I.N.S Tunir, Uran, Boripakhadi, PO:
 Uran, DIST: Raigarh, 
Maharashtra - 400702</t>
  </si>
  <si>
    <t>Raigad</t>
  </si>
  <si>
    <t>ROOM NO. 21, OM CHS, RAM NAGAR COLONY, BAVDHAN, 411021</t>
  </si>
  <si>
    <t>BHARATI VIDYAPEETH ENGLISH MEDIUM SCHOOL</t>
  </si>
  <si>
    <t>CENTRAL BORAD OF SECONDARY EDUCATION</t>
  </si>
  <si>
    <t>BHARATI VIDYAPEETH PRASHALA AND JUNIOR COLLEGE</t>
  </si>
  <si>
    <t>HSC MAHARASHTRA BOARD</t>
  </si>
  <si>
    <t>MUMBAI UNIVERSITY</t>
  </si>
  <si>
    <t>VISHWANIKETAN'S INSTITUTE OF MANAGEMENT ENTREPRENEURSHIP AND ENGINEERING TECHNOLOGY</t>
  </si>
  <si>
    <t>AutoCAD, MS Office, Revit, QGIS</t>
  </si>
  <si>
    <t>L&amp;T Construction- Building &amp; Factories IC. | Site Engineer - Civil Execution | Navi Mumbai  | Jan 2023 | May 2024 | 1Y 3M | 3.12</t>
  </si>
  <si>
    <t>1 Year 3 Months</t>
  </si>
  <si>
    <t>VAIBHAV CONSTRUCTION | INTERN | NAVI MUMBAI | Sep 2022 | Jan 2023 | 18.428571428571 Weeks
CIDCO (CITY AND INDUSTRIAL DEVELOPMENT CORPORATION OF MAHARASHTRA) | CITY PLANNING INTERN | NAVI MUMBAI | May 2025 | Jul 2025 | 8.4285714285714 Weeks</t>
  </si>
  <si>
    <t>Sustainable Regional Principles, Planning and Transportation
Studying Cities: Social Science Methods for Urban Research
AI and Disaster Management
Revit
AutoCAD</t>
  </si>
  <si>
    <t>P24704015</t>
  </si>
  <si>
    <t>VILAS</t>
  </si>
  <si>
    <t>MEKARTA</t>
  </si>
  <si>
    <t>Manasi Vilas Mekarta</t>
  </si>
  <si>
    <t>p24704015@student.nicmar.ac.in</t>
  </si>
  <si>
    <t>25-Dec-2001</t>
  </si>
  <si>
    <t>No Uploaded</t>
  </si>
  <si>
    <t>P24704017</t>
  </si>
  <si>
    <t>PRASAD</t>
  </si>
  <si>
    <t>BAPUSAHEB</t>
  </si>
  <si>
    <t>DAGADE</t>
  </si>
  <si>
    <t>Prasad Bapusaheb Dagade</t>
  </si>
  <si>
    <t>prasaddagade2002@gmail.com</t>
  </si>
  <si>
    <t>p24704017@student.nicmar.ac.in</t>
  </si>
  <si>
    <t>23-Nov-2002</t>
  </si>
  <si>
    <t>Marathi,English,Hindi</t>
  </si>
  <si>
    <t>3802 8242 0120</t>
  </si>
  <si>
    <t>4/30, Vitthal Rakhumai Housing Soceity,Hingane Khurd Aapte Colony, Modern Sweet Lane, Sinhgad Road Pune-51</t>
  </si>
  <si>
    <t>SILVER CREST HIGH SCHOOL</t>
  </si>
  <si>
    <t>GOVERNMENT POLYTENHNIC,PUNE</t>
  </si>
  <si>
    <t>2021-Sep</t>
  </si>
  <si>
    <t>SAVITRIBAI PULE PUNE UNIVERSITY</t>
  </si>
  <si>
    <t>RMD SINHGAD TECHICAL INSTITUTE CAMPUS,WARJE</t>
  </si>
  <si>
    <t>Qgis,ArcGISPro,Canva,BIM/Revit</t>
  </si>
  <si>
    <t>Pune Municipal Corporation. | Urban Planner | Pune | May 2025 | Jul 2025 | 8.4285714285714 Weeks</t>
  </si>
  <si>
    <t>P24704024</t>
  </si>
  <si>
    <t>NAVYA</t>
  </si>
  <si>
    <t>SREE</t>
  </si>
  <si>
    <t>AKULA</t>
  </si>
  <si>
    <t>Navya Sree Akula</t>
  </si>
  <si>
    <t>p24704024@student.nicmar.ac.in</t>
  </si>
  <si>
    <t>11-Mar-2002</t>
  </si>
  <si>
    <t>VIDYA VANI HIGH SCHOOL</t>
  </si>
  <si>
    <t>BOARD OF SECONDARY EDUCATION TELANGANA STATE, INDIA</t>
  </si>
  <si>
    <t>2019-Apr</t>
  </si>
  <si>
    <t>JAWAHARLAL NEHRU TECHNOLOGICAL UNIVERSITY, HYDERABAD</t>
  </si>
  <si>
    <t>INSTITUTE OF AERONAUTICAL ENGINEERING, DUNDIGAL, HYDERABAD</t>
  </si>
  <si>
    <t>Sketchup ,QGIS,Revit</t>
  </si>
  <si>
    <t>CENTRAL WATER COMMISSION | INTERN | HYDERABAD | Feb 2023 | Mar 2023 | 6.4285714285714 Weeks
NESTUP SPACE PVT LTD | DESIGNER | HYDERABAD | Apr 2024 | Jun 2024 | 12.857142857143 Weeks
National Institute of Urban Management (NIUM)  | INTERN | HYDERABAD | May 2025 | Jul 2025 | 7.7142857142857 Weeks</t>
  </si>
  <si>
    <t>P24704028</t>
  </si>
  <si>
    <t>VARSHA</t>
  </si>
  <si>
    <t>SHETTY</t>
  </si>
  <si>
    <t>Varsha Shetty S</t>
  </si>
  <si>
    <t>varshashetty32@gmail.com</t>
  </si>
  <si>
    <t>p24704028@student.nicmar.ac.in</t>
  </si>
  <si>
    <t>03-Jun-2000</t>
  </si>
  <si>
    <t>Kannada,Hindi,English</t>
  </si>
  <si>
    <t>Painting &amp; sketching,Crochet,Watching TV shows &amp; Movies,Listening Music &amp; Podcast,Baking</t>
  </si>
  <si>
    <t>5945 7243 0676</t>
  </si>
  <si>
    <t>SURESH M</t>
  </si>
  <si>
    <t>LAKSHMI</t>
  </si>
  <si>
    <t>779/780 13th CROSS 23RD MAIN 2ND PHASE JP NAGAR BANAGLORE 560078</t>
  </si>
  <si>
    <t>Bangalore Urban</t>
  </si>
  <si>
    <t>Karnataka</t>
  </si>
  <si>
    <t>BETHANY HIGH SCHOOL</t>
  </si>
  <si>
    <t>INDIAN CERTIFICATE OF SECONDARY EDUCATION</t>
  </si>
  <si>
    <t>NEHRU SMARKA VIDYALAYA</t>
  </si>
  <si>
    <t>VISVESVARAYA TECHNOLOGICAL UNIVERSITY</t>
  </si>
  <si>
    <t>SJB SCHOOL OF ARCHITECTURE AND PLANNING</t>
  </si>
  <si>
    <t>2023-Mar</t>
  </si>
  <si>
    <t>Sketchup,Enscape,Limion,Rhino,Grasshopper,QGIS,ARC GIS,ARC MAP,SPSS,Mendeley</t>
  </si>
  <si>
    <t>STUDIO 69  | INTERN  | JAYNAGAR BANAGLORE | Aug 2022 | Dec 2022 | 16 Weeks
TECH COMM URBAN MANAGEMENT AND CONSULTANCY  | INTERN  | PUNE  | May 2025 | Jul 2025 | 8.7142857142857 Weeks</t>
  </si>
  <si>
    <t>P24704030</t>
  </si>
  <si>
    <t>Sumathi</t>
  </si>
  <si>
    <t>Aishwarya Sumathi</t>
  </si>
  <si>
    <t>28aishwaryas@gmail.com</t>
  </si>
  <si>
    <t>p24704030@student.nicmar.ac.in</t>
  </si>
  <si>
    <t>28-Dec-1999</t>
  </si>
  <si>
    <t>Kannada,English,Hindi</t>
  </si>
  <si>
    <t>Cooking,Music,Watching Shows</t>
  </si>
  <si>
    <t>8063 3372 2013</t>
  </si>
  <si>
    <t>0000000000</t>
  </si>
  <si>
    <t>SUMATHI</t>
  </si>
  <si>
    <t>81, "Sathya's Mansion", 1st A Cross, 2nd B Main, Classic Pleasant Villa Layout, Kembattahalli, JP Nagar 8th Phase, Bangalore - 560083</t>
  </si>
  <si>
    <t>THE OXFORD ENGLISH SCHOOL</t>
  </si>
  <si>
    <t>ICSE BOARD, BANGALORE URBAN</t>
  </si>
  <si>
    <t>BANGALORE INTERNATIONAL ACADEMY</t>
  </si>
  <si>
    <t>CBSE BOARD, BANGALORE URBAN</t>
  </si>
  <si>
    <t>VISHVESVARAYA TECHNOLOGICAL UNIVERSITY</t>
  </si>
  <si>
    <t>RNS SCHOOL OF ARCHITECTURE, BANGALORE URBAN</t>
  </si>
  <si>
    <t>SketchUP,Photoshop,QGIS,Mendeley,VosViewer,InfraNodus,SPSS,ArcMAp</t>
  </si>
  <si>
    <t>Siddhi Architects and Interior Designers  | Architectural Intern | Yelachenahalli, Bangalore  | Aug 2022 | Dec 2022 | 18.285714285714 Weeks
TECHCOMM URBAN MANGEMENT CONSULTANTS &amp; SERVICE PROVIDER	 | URBAN PLANNING INTERN | PUNE | May 2025 | Jul 2026 | 60.714285714286 Weeks</t>
  </si>
  <si>
    <t>MBA-SEM</t>
  </si>
  <si>
    <t>P24706002</t>
  </si>
  <si>
    <t>BHOLE</t>
  </si>
  <si>
    <t>KAUMUDI</t>
  </si>
  <si>
    <t>VIVEK</t>
  </si>
  <si>
    <t>Bhole Kaumudi Vivek</t>
  </si>
  <si>
    <t>p24706002@student.nicmar.ac.in</t>
  </si>
  <si>
    <t>13-Mar-1999</t>
  </si>
  <si>
    <t>2340 9926 4993</t>
  </si>
  <si>
    <t>VIVEK DATTATRAY BHOLE</t>
  </si>
  <si>
    <t>YOGITA VIVEK BHOLE</t>
  </si>
  <si>
    <t>HOUSE NUMBER 886,887, CHAVDAR TALE, MAHAD, RAIGAD</t>
  </si>
  <si>
    <t>MILLENIUM GIRLS HOSTEL, NICMAR UNIVERSITY, BANER, PUNE</t>
  </si>
  <si>
    <t xml:space="preserve"> KONKAN EDUCATION SOCIETY'S PARVATIBAI MAHADEV THERVAL KANYA VIDYALAYA, MAHAD, RAIGAD</t>
  </si>
  <si>
    <t>SECONDARY SCHOOL CERTIFICATE MAHARASHTRA BOARD</t>
  </si>
  <si>
    <t>LAXMANRAO APTE JUNIOR COLLEGE, SHIVAJINAGAR, PUNE</t>
  </si>
  <si>
    <t>HIGHER SECONDARY CERTIFICATE MAHARASHTRA BOARD</t>
  </si>
  <si>
    <t>FERGUSSON COLLEGE, PUNE</t>
  </si>
  <si>
    <t>2021-Jun</t>
  </si>
  <si>
    <t>MIT WORLD PEACE UNIVERSITY, KOTHRUD, PUNE</t>
  </si>
  <si>
    <t xml:space="preserve"> MIT WORLD PEACE UNIVERSITY, KOTHRUD, PUNE</t>
  </si>
  <si>
    <t>2023-Sep</t>
  </si>
  <si>
    <t>MS Office,Primavera</t>
  </si>
  <si>
    <t>Swastik Edustart | GIS Intern | Delhi | May 2025 | Jul 2025 | 8.7142857142857 Weeks
GIS VISION INDIA | GIS Trainee | Assam | Apr 2023 | Jun 2023 | 12.857142857143 Weeks</t>
  </si>
  <si>
    <t>P24706005</t>
  </si>
  <si>
    <t>AJAY</t>
  </si>
  <si>
    <t>KIRAN</t>
  </si>
  <si>
    <t>BORRA</t>
  </si>
  <si>
    <t>Ajay Kiran Borra</t>
  </si>
  <si>
    <t>p24706005@student.nicmar.ac.in</t>
  </si>
  <si>
    <t>30-Apr-2001</t>
  </si>
  <si>
    <t>English</t>
  </si>
  <si>
    <t>5690 6461 9810</t>
  </si>
  <si>
    <t>B APPA RAO</t>
  </si>
  <si>
    <t>EXPIRED</t>
  </si>
  <si>
    <t>B AMMAJAMMA</t>
  </si>
  <si>
    <t>H NO 2-2-80/1;Kotturu Narasingrao Peta; Anakapalli Mandalam; Visakhapatnam</t>
  </si>
  <si>
    <t>Visakhapatnam</t>
  </si>
  <si>
    <t>GOOD SHEPHERD ENGLISH MEDIUM SCHOOL</t>
  </si>
  <si>
    <t>COUNCIL FOR THE INDIAN SCHOOL CERTIFICATE EXAMINATIONS, NEW DELHI</t>
  </si>
  <si>
    <t>SRI CHAITANYA JUNIOR COLLEGE</t>
  </si>
  <si>
    <t>BOARD OF INTERMEDIATE EDUCATION, ANDHRA PRADESH</t>
  </si>
  <si>
    <t>JAWAHARLAL NEHRU TECHNOLOGICAL UNIVERSITY, VIZIANAGARAM</t>
  </si>
  <si>
    <t>BABA INSTITUTE OF TECHNOLOGY &amp; SCIENCES</t>
  </si>
  <si>
    <t>2024-Feb</t>
  </si>
  <si>
    <t>Auto CAD,MS Office,Primavera,C Programming</t>
  </si>
  <si>
    <t>URALUNGAL LABOUR CONTRACT CO-OPERATIVE SOCIETY (ULCCS) LTD | ENERGY MANAGEMENT INTERN | KOZHIKODE,KERALA | May 2025 | Jul 2025 | 8.7142857142857 Weeks</t>
  </si>
  <si>
    <t>Master Class On Python Programming
Manufacturing-CNC-Turning
AutoCAD 2D &amp; 3D</t>
  </si>
  <si>
    <t>P24706012</t>
  </si>
  <si>
    <t>RUCHI</t>
  </si>
  <si>
    <t>PRAVINKUMAR</t>
  </si>
  <si>
    <t>MALPANI</t>
  </si>
  <si>
    <t>Ruchi Pravinkumar Malpani</t>
  </si>
  <si>
    <t>p24706012@student.nicmar.ac.in</t>
  </si>
  <si>
    <t>28-Oct-2000</t>
  </si>
  <si>
    <t>French,Marathi</t>
  </si>
  <si>
    <t>5760 7220 6629</t>
  </si>
  <si>
    <t>PRAVINKUMAR MALPANI</t>
  </si>
  <si>
    <t>ARCHITECT AND INTERIOR DESIGNER</t>
  </si>
  <si>
    <t>SUSHAMA MALPANI</t>
  </si>
  <si>
    <t>Plot No.10 , Omsparshh Momentum Bungalow, Vivekanand Nagar, Behind Madhur Food Plaza, Pipeline Road, Gangapur Road</t>
  </si>
  <si>
    <t>Nashik</t>
  </si>
  <si>
    <t>KILBIL ST.JOSEPH'S HIGH SCHOOL</t>
  </si>
  <si>
    <t>MAHARASHTRA STATE BOARD, NASHIK</t>
  </si>
  <si>
    <t>H.P.T ARTS AND R.Y.K SCIENCE COLLEGE</t>
  </si>
  <si>
    <t>MET'S SCHOOL OF ARCHITECTURE AND INTERIOR DESIGN, NASHIK, MAHARASHTRA</t>
  </si>
  <si>
    <t>AutoCAD,Ms Office, Primavera,other</t>
  </si>
  <si>
    <t>Hundreddesigns | Architectural Intern | Surat | Jun 2022 | Nov 2022 | 23 Weeks
PRASURMA DESIGNS | Junior Architect | NASHIK | Jun 2023 | Jun 2024 | 54.428571428571 Weeks
GRATTITUDE SYNERGY LLP |  SUSTAINABILITY ADVISORY INTERN | PUNE | May 2025 | Jul 2025 | 8.7142857142857 Weeks</t>
  </si>
  <si>
    <t>Linkedin Learning - What is Generative AI ?
Dronalaya - 10 day residential career skills booster program
NPTEL Online Certification - Technologies for Clean and Renewable Energy Production
Energy Audits conducted by Schneider Electric University
NPTEL Online Certification - Design Thinking (IIT Madras)
Council of Architecture (COA) Registration</t>
  </si>
  <si>
    <t>P24706013</t>
  </si>
  <si>
    <t>ARPAN</t>
  </si>
  <si>
    <t>TEWARI</t>
  </si>
  <si>
    <t>Arpan Tewari</t>
  </si>
  <si>
    <t>p24706013@student.nicmar.ac.in</t>
  </si>
  <si>
    <t>24-Jul-1995</t>
  </si>
  <si>
    <t>Hindi</t>
  </si>
  <si>
    <t>5036 8087 6833</t>
  </si>
  <si>
    <t>ASHWANI TEWARI</t>
  </si>
  <si>
    <t>RETIRED DEPUTY DIRECTOR DGCA</t>
  </si>
  <si>
    <t>MANISHA TEWARI</t>
  </si>
  <si>
    <t>RETIRED JOINT DIRECTOR LOK SABHA</t>
  </si>
  <si>
    <t>D-21, Shyam Vihar Phase 1, Road Number 5, Street Number 7, Najafgarh, NCT Delhi</t>
  </si>
  <si>
    <t>SHANTI GYAN NIKETAN SENIOR SECONDARY PUBLIC SCHOOL</t>
  </si>
  <si>
    <t>CENTRAL BOARD OF SECONDARY EDUCATION (CBSE), DELHI</t>
  </si>
  <si>
    <t>2014-May</t>
  </si>
  <si>
    <t>LOVELY PROFESSIONAL UNIVERSITY, PUNJAB</t>
  </si>
  <si>
    <t>LOVELY SCHOOL OF ARCHITECTURE AND DESIGN, LOVELY PROFESSIONAL UNIVERSITY, PUNJAB</t>
  </si>
  <si>
    <t>AutoCADMS Office,Primavera,other</t>
  </si>
  <si>
    <t xml:space="preserve"> Chapman Taylor India LLP | Architect and BIM Coordinator | Safdarjung, New Delhi | Aug 2023 | Mar 2024 | 0Y 7M | 7.92
Tekton Studio | Senior Architect | Daryaganj, New Delhi | Oct 2020 | Dec 2022 | 2Y 1M | 3
Creative Group LLP | BIM Architect | Description: Roles &amp; Responsibilities: Projects: Gwalior Airport, Faridabad Railway Station, Howrah Railway Station Redevelopment, Rajkot Airport and NIT Patna Prepared architectural and working drawings, coordinated building services, and managed site an | Dec 2022 | Aug 2023 | 0Y 7M | 4.44</t>
  </si>
  <si>
    <t>3 Years 4 Months</t>
  </si>
  <si>
    <t>Renu Khanna and Associates |  Architecture Internship | Panchkula, Chandigarh | Jan 2019 | May 2019 | 17.714285714286 Weeks
Ecoboard Industries Limited | Summer Intern | Erandwane, Pune, Maharashtra | May 2025 | Jul 2025 | 8 Weeks</t>
  </si>
  <si>
    <t>Business Analyst
Technologies for Clean and Renewable Energy Production
IIT Madras - Design Thinking
Craste Internship Certification</t>
  </si>
  <si>
    <t>P24706014</t>
  </si>
  <si>
    <t>GIRISH</t>
  </si>
  <si>
    <t>UKIDAVE</t>
  </si>
  <si>
    <t>Janhavi Girish Ukidave</t>
  </si>
  <si>
    <t>p24706014@student.nicmar.ac.in</t>
  </si>
  <si>
    <t>23-Feb-2000</t>
  </si>
  <si>
    <t>Hindi,Marathi</t>
  </si>
  <si>
    <t>2080 1494 8980</t>
  </si>
  <si>
    <t>UMA</t>
  </si>
  <si>
    <t>Flat No 4, Bldg No 1, Tapovan CHS, Tapodham Rd,Warje,Pune</t>
  </si>
  <si>
    <t>BHARATIYA VIDYA BHAVAN PARANJAPE VIDYA MANDIR</t>
  </si>
  <si>
    <t>THE MAHARASHTRA STATE BOARD OF SECONDARY &amp; HIGHER SECONDARY EDUCATION</t>
  </si>
  <si>
    <t>MES ABASAHEB GARWARE COLLEGE, PUNE</t>
  </si>
  <si>
    <t>DR .B . N. COLLEGE OF ARCHITECTURE, PUNE</t>
  </si>
  <si>
    <t>Studio G+A |  Junior Architect | Pune | Jul 2023 | May 2024 | 0Y 10M | 2.05</t>
  </si>
  <si>
    <t>0 Years 10 Months</t>
  </si>
  <si>
    <t>Footprints E.A.R.T.H | Architectural Intern | Ahmedabad,Gujrat | May 2022 | Nov 2022 | 26.571428571429 Weeks
SHASHWAT Green Building Consultants | Green building Intern | Pune | May 2025 | Jul 2025 | 8.7142857142857 Weeks</t>
  </si>
  <si>
    <t>PGD-QSCM</t>
  </si>
  <si>
    <t>2025-2026</t>
  </si>
  <si>
    <t>P25600022</t>
  </si>
  <si>
    <t>GAURAV</t>
  </si>
  <si>
    <t>SHARMA</t>
  </si>
  <si>
    <t>Gaurav Sharma</t>
  </si>
  <si>
    <t>p25600022@student.nicmar.ac.in</t>
  </si>
  <si>
    <t>10-Dec-1995</t>
  </si>
  <si>
    <t>4282 7251 5035</t>
  </si>
  <si>
    <t xml:space="preserve">SUDHIR SHARMA </t>
  </si>
  <si>
    <t xml:space="preserve">DOCTOR </t>
  </si>
  <si>
    <t>SUSHMA SHARMA</t>
  </si>
  <si>
    <t xml:space="preserve">TEACHER </t>
  </si>
  <si>
    <t>Rajmahal Colony Kawardha Ward No 09</t>
  </si>
  <si>
    <t>Kabirdham</t>
  </si>
  <si>
    <t>Chhattisgarh</t>
  </si>
  <si>
    <t xml:space="preserve">THE HOLY KINGDOM </t>
  </si>
  <si>
    <t>CHHATTISGARH</t>
  </si>
  <si>
    <t>2010-Jun</t>
  </si>
  <si>
    <t>THE HOLY KINGDOM</t>
  </si>
  <si>
    <t>2013-Mar</t>
  </si>
  <si>
    <t>CHHATTISGARH SWAMI VIVEKANAND TECHNICAL UNIVERSITY</t>
  </si>
  <si>
    <t>RUNGTA ENGINEERING COLLEGE</t>
  </si>
  <si>
    <t>2013-Aug</t>
  </si>
  <si>
    <t>AutoCAD,Ms Office</t>
  </si>
  <si>
    <t>P25600086</t>
  </si>
  <si>
    <t>HARAN</t>
  </si>
  <si>
    <t>SURYA</t>
  </si>
  <si>
    <t>Haran Surya S</t>
  </si>
  <si>
    <t>P25600086@student.nicmar.ac.in</t>
  </si>
  <si>
    <t>09-May-1999</t>
  </si>
  <si>
    <t>Tamil,MALAYALAM</t>
  </si>
  <si>
    <t>5894 5536 3088</t>
  </si>
  <si>
    <t>SHAJIMON B</t>
  </si>
  <si>
    <t>PRIVATE EMPLOYEE</t>
  </si>
  <si>
    <t>SUSAN</t>
  </si>
  <si>
    <t>NURSING ASSISTANT</t>
  </si>
  <si>
    <t>HARANS,MANNANCHERRY, PO ALAPPUZHA</t>
  </si>
  <si>
    <t>Alappuzha</t>
  </si>
  <si>
    <t>ST.JOSEPH' HIGHER SECONDARY SCHOOL PULINKUNNU</t>
  </si>
  <si>
    <t>BOARD OF PUBLIC EXAMINATIONS,KERALA</t>
  </si>
  <si>
    <t>LAJANATHUL MUHAMMADIYA HIGHER SECONDARY SCHOOL ALAPPUZHA</t>
  </si>
  <si>
    <t xml:space="preserve">BOARD OF PUBLIC EXAMINATIONS,KERALA </t>
  </si>
  <si>
    <t xml:space="preserve"> COCHIN UNIVERSITY OF SCIENCE AND TECHNOLOGY</t>
  </si>
  <si>
    <t>COCHIN UNIVERSITY COLLEGE OF ENGINEERING KUTTANADU,ALAPPUZHA</t>
  </si>
  <si>
    <t>AutoCAD,MS Office,MS Project,Advanced Excel,Calquan</t>
  </si>
  <si>
    <t xml:space="preserve">	IREL(INDIA)LIMITED | Engineer Intern | KOLLAM,KERALA | Sep 2021 | Sep 2021 | 2.2857142857143 Weeks</t>
  </si>
  <si>
    <t>2025-2027</t>
  </si>
  <si>
    <t>P25700031</t>
  </si>
  <si>
    <t>AKHIL</t>
  </si>
  <si>
    <t>RAJABOINA</t>
  </si>
  <si>
    <t>Akhil Rajaboina</t>
  </si>
  <si>
    <t>akhilrajaboina.ce@gmail.com</t>
  </si>
  <si>
    <t>p25700031@student.nicmar.ac.in</t>
  </si>
  <si>
    <t>24-May-2001</t>
  </si>
  <si>
    <t>Telugu, English, Hindi</t>
  </si>
  <si>
    <t>O+ve</t>
  </si>
  <si>
    <t>3872 9242 9817</t>
  </si>
  <si>
    <t>RAJU</t>
  </si>
  <si>
    <t>RAMA</t>
  </si>
  <si>
    <t>1-30/2, Vill: Shayampet (H), Mdl: Geesugonda, Dist: Warangal, Telangana, India - 506330.</t>
  </si>
  <si>
    <t>Warangal</t>
  </si>
  <si>
    <t>Z P P SECONDARY SCHOOL DHARMARAM</t>
  </si>
  <si>
    <t>BOARD OF SECONDARY EDUCATION, TELANGANA</t>
  </si>
  <si>
    <t>RAJIV GANDHI UNIVERSITY OF KNOWLEDGE TECHNOLOGIES, BASAR</t>
  </si>
  <si>
    <t>AutoCAD,MS Office,MS Project,Primavera,Power BI,STAAD.Pro,CostX,Revit</t>
  </si>
  <si>
    <t>Navayuga Engineering Company Limited | Project Monitoring and Control | Silkyara - Barkot, Uttarakhand | Jul 2024 | Jun 2025 | 0Y 11M | 3.1</t>
  </si>
  <si>
    <t>0 Years 11 Months</t>
  </si>
  <si>
    <t>Masin Projects Private Limited | Delay/Quantum | Mumbai | May 2026 | Jul 2026 | 8.7142857142857 Weeks | Campus Internship
Roads and Buildings Department, Telangana State | Site Supervision | Nizamabad, Telangana State | May 2023 | Jun 2023 | 5.5714285714286 Weeks</t>
  </si>
  <si>
    <t>P25700556</t>
  </si>
  <si>
    <t>POOJITHA SAI</t>
  </si>
  <si>
    <t>BASATI</t>
  </si>
  <si>
    <t>Poojitha Sai Basati</t>
  </si>
  <si>
    <t>poojithasaibasati@gmail.com</t>
  </si>
  <si>
    <t>p25700556@student.nicmar.ac.in</t>
  </si>
  <si>
    <t>23-Oct-2003</t>
  </si>
  <si>
    <t>A+ve</t>
  </si>
  <si>
    <t>4432 8553 1307</t>
  </si>
  <si>
    <t>BASATI KOTESWARA RAO</t>
  </si>
  <si>
    <t>GOVT TEACHER</t>
  </si>
  <si>
    <t>YADAVALLI VS PARVATHI</t>
  </si>
  <si>
    <t>1-48/2 Seetha Gardens,sanivarapu Peta 534003_x000D_
Eluru,Andhra Pradesh</t>
  </si>
  <si>
    <t>Eluru</t>
  </si>
  <si>
    <t>BHASHYAM E/M HIGH SCHOOL, N.R PET ELURU</t>
  </si>
  <si>
    <t>BOARD OF SECONDARY EDUCATION ANDHRA PRADESH, INDIA</t>
  </si>
  <si>
    <t>2018-Apr</t>
  </si>
  <si>
    <t>ADITYA JUNIOR COLLEGE , PUNADIPADU ANDHRA PRADESH</t>
  </si>
  <si>
    <t>BOARD OF INTERMEDIATE EDUCATION , ANDHRA PRADESH INDIA</t>
  </si>
  <si>
    <t>ACHARYA NAGARJUNA UNIVERSITY</t>
  </si>
  <si>
    <t>R.V.R &amp; J.C COLLEGE OF ENGINEERING , CHOWDAVARAM ANDHRA PRADESH</t>
  </si>
  <si>
    <t>AutoCAD,MS Office,MS Project,Primavera,Project documentation,Scheduling basics,Report preparation</t>
  </si>
  <si>
    <t>Godrej Properties Limited | Operations - Intern | Bangalore | May 2026 | Jul 2026 | 8.7142857142857 Weeks | Campus Internship
SV ASSOCIATES PATTABHIPURAM, GUNTUR 522006 | PLANNING &amp; DESIGNING | GUNTUR | Jan 2024 | May 2024 | 16.285714285714 Weeks</t>
  </si>
  <si>
    <t>P25700173</t>
  </si>
  <si>
    <t>BHAVISHA</t>
  </si>
  <si>
    <t>MANOJ</t>
  </si>
  <si>
    <t>BORDE</t>
  </si>
  <si>
    <t>Bhavisha Manoj Borde</t>
  </si>
  <si>
    <t>bhavishamborde@gmail.com</t>
  </si>
  <si>
    <t>p25700173@student.nicmar.ac.in</t>
  </si>
  <si>
    <t>14-Nov-1999</t>
  </si>
  <si>
    <t>English, Hindi, Marathi, Marawadi.</t>
  </si>
  <si>
    <t>B+ve</t>
  </si>
  <si>
    <t>8653 8712 2679</t>
  </si>
  <si>
    <t>MANOJ BORDE</t>
  </si>
  <si>
    <t>LIASONING OFFICER</t>
  </si>
  <si>
    <t>NISHA BORDE</t>
  </si>
  <si>
    <t>A/30 SINDHU KUNJ, GAURAKSHAN ROAD , AKOLA</t>
  </si>
  <si>
    <t>MOUNT CARMEL SECONDARY AND HIGHERSECONDARY SCHOOL</t>
  </si>
  <si>
    <t>MAHARASHTRA STATE BOARD, AMRAVATI DIVISIONAL BOARD, PUNE</t>
  </si>
  <si>
    <t>LATE JYOTI JANOLKAR COLLEGE , AKOLA.</t>
  </si>
  <si>
    <t>2017-Feb</t>
  </si>
  <si>
    <t>SAVITRIBAI PHULE UNIVERSITY ,PUNE</t>
  </si>
  <si>
    <t>SB PATIL COLLEGE OF ARCHITECTURE AND DESIGN.</t>
  </si>
  <si>
    <t>AutoCAD, MS Office, MS Project, Primavera,Revit, Navisworks, Autodesk contruction cloud, Sketchup, Lumion, Enscape, Photoshop, Archicad, 3Ds Max, Power BI, RIB CostX, GAMMA AR</t>
  </si>
  <si>
    <t>10D Design Services, Pune | BIM Consultant | Hyderabad | Apr 2024 | Jun 2025 | 1Y 2M | 3.6
Godha Design Hub | Jr. Architect | Hyderabad | Oct 2022 | Mar 2024 | 1Y 5M | 3</t>
  </si>
  <si>
    <t>2 Years 8 Months</t>
  </si>
  <si>
    <t>Cushman &amp; Wakefield | Intern- Strategic Consulting | Gurgaon | May 2026 | Jul 2026 | 8.7142857142857 Weeks | Campus Internship
Rennu Khanna Associates,Chandigarh | Intern Architect | Chandigarh | Jun 2021 | Nov 2021 | 25 Weeks</t>
  </si>
  <si>
    <t>Diploma in Architecture Softwares
Finance for Non Financial Managers</t>
  </si>
  <si>
    <t>P25700279</t>
  </si>
  <si>
    <t>DAKSH</t>
  </si>
  <si>
    <t>PRATAP</t>
  </si>
  <si>
    <t>Daksh Pratap Singh</t>
  </si>
  <si>
    <t>er.singh.p.21@gmail.com</t>
  </si>
  <si>
    <t>p25700279@student.nicmar.ac.in</t>
  </si>
  <si>
    <t>04-Mar-2004</t>
  </si>
  <si>
    <t>Hindi, English, Bhojpuri, German</t>
  </si>
  <si>
    <t>Badminton,Notetaking,Cooking</t>
  </si>
  <si>
    <t>6813 4831 0819</t>
  </si>
  <si>
    <t>MANOJ KUMAR SINGH</t>
  </si>
  <si>
    <t>GOVERNMENT EMPLOYEE</t>
  </si>
  <si>
    <t>SADHANA SINGH</t>
  </si>
  <si>
    <t>Ii/6/c, Irrigation Colony, Tulsisagar, New Church Compound</t>
  </si>
  <si>
    <t>Ghazipur</t>
  </si>
  <si>
    <t>Uttar Pradesh</t>
  </si>
  <si>
    <t>SHAH FAIZ PUBLIC SCHOOL</t>
  </si>
  <si>
    <t>CENTRAL BOARD OF SECONDAY EDUCATION</t>
  </si>
  <si>
    <t>CITY INTERNATIONAL SCHOOL</t>
  </si>
  <si>
    <t>VELLORE INSTITUTE OF TECHNOLOGY</t>
  </si>
  <si>
    <t>VELLORE INSTITUTE OF TECHNOLOGY WITH VELLORE</t>
  </si>
  <si>
    <t>2025-May</t>
  </si>
  <si>
    <t>AutoCAD,MS Office,MS Project,Revit,Plaxis,AutoDesk Insight,Project Planning &amp; Control,Cost Estimation,Client Communication</t>
  </si>
  <si>
    <t>KPMG India | Business Consulting Inter | Gurugram, India | May 2026 | Jun 2026 | 7.5714285714286 Weeks | Campus Internship
IRRIGATION &amp; WATER RESOURCES DEPARTMENT | CIVIL ENGINEERING INTERN | GHAZIPUR | Aug 2023 | Sep 2023 | 4.4285714285714 Weeks
GOLDEN PACIFIC TRAD. &amp; CONT. L.L.C. | CONSTRUCTION MANAGEMENT INTERN | MUSCAT, OMAN | May 2025 | Jun 2025 | 8.4285714285714 Weeks</t>
  </si>
  <si>
    <t>P25700226</t>
  </si>
  <si>
    <t>DINESH KARTHI</t>
  </si>
  <si>
    <t>M M</t>
  </si>
  <si>
    <t>Dinesh Karthi M M</t>
  </si>
  <si>
    <t>mmdineshkarthi@gmail.com</t>
  </si>
  <si>
    <t>p25700226@student.nicmar.ac.in</t>
  </si>
  <si>
    <t>13-Dec-2001</t>
  </si>
  <si>
    <t>English, Tamil, Hindi</t>
  </si>
  <si>
    <t>5567 2198 0913</t>
  </si>
  <si>
    <t>MURUGAN K</t>
  </si>
  <si>
    <t>MANJULA M</t>
  </si>
  <si>
    <t>6/5/75, Main Road, Near Police Station, Kannivadi.</t>
  </si>
  <si>
    <t>Dindigul</t>
  </si>
  <si>
    <t>Tamil Nadu</t>
  </si>
  <si>
    <t>LOURDE MATHA CONVENT MAT HR SEC SCHOOL UDUMALPET TIRUPPUR</t>
  </si>
  <si>
    <t>STATE BOARD OF SCHOOL EXAMINATIONS, TAMIL NADU</t>
  </si>
  <si>
    <t>SRI LATHANGI VIDHYA MANDIR MATRIC HR SEC SCHOOL T KOTTAMPATTI POLLACHI</t>
  </si>
  <si>
    <t>ANNA UNIVERSITY</t>
  </si>
  <si>
    <t>PSNA COLLEGE OF ENGINEERING AND TECHNOLOGY, DINDIGUL</t>
  </si>
  <si>
    <t>AutoCAD,MS Office,MS Project,Primavera</t>
  </si>
  <si>
    <t>URC Construction (P) Ltd | Assistant Planning Engineer | Delhi and Hosur | Jun 2023 | May 2025 | 1Y 11M | 2.52</t>
  </si>
  <si>
    <t>1 Year 11 Months</t>
  </si>
  <si>
    <t>Sobha Limited | Project Management Office (PMO) | Bengaluru | May 2026 | Jul 2026 | 9 Weeks | Campus Internship</t>
  </si>
  <si>
    <t>Introduction to Lean Construction
Diploma in Primavera</t>
  </si>
  <si>
    <t>P25700221</t>
  </si>
  <si>
    <t>JITHIN</t>
  </si>
  <si>
    <t>M</t>
  </si>
  <si>
    <t>Jithin M</t>
  </si>
  <si>
    <t>jithinm.mail@gmail.com</t>
  </si>
  <si>
    <t>p25700221@student.nicmar.ac.in</t>
  </si>
  <si>
    <t>10-Nov-2002</t>
  </si>
  <si>
    <t>English, Hindi, Malayalam</t>
  </si>
  <si>
    <t>5536 1485 3909</t>
  </si>
  <si>
    <t>BALAKRISHNAN A</t>
  </si>
  <si>
    <t>AGRICULTURE</t>
  </si>
  <si>
    <t>SREEJA M</t>
  </si>
  <si>
    <t>Parambath House, Kallanchira , Balal P.O, Kasargod, Kerala , PIN : 671533_x000D_</t>
  </si>
  <si>
    <t>Kasaragod</t>
  </si>
  <si>
    <t>ST. JUDE'S H S S VELLARIKUNDU</t>
  </si>
  <si>
    <t>GENERAL EDUCATION DEPARTMENT KERALA</t>
  </si>
  <si>
    <t>BOARD OF HIGHER SECONDARY EXAMINATIONS KERALA</t>
  </si>
  <si>
    <t>APJ ABDUL KALAM TECHNOLOGICAL UNIVERSITY, KERALA</t>
  </si>
  <si>
    <t>COLLEGE OF ENGINEERING TRIVANDRUM, KERALA</t>
  </si>
  <si>
    <t>2021-Oct</t>
  </si>
  <si>
    <t>2025-Apr</t>
  </si>
  <si>
    <t>AutoCAD,MS Office,MS Project,Primavera,PLAXIS 2D,STAAD Pro.</t>
  </si>
  <si>
    <t>SOBHA Limited | Intern- Project Planning  | Kochi, Kerala | May 2026 | Jul 2026 | 9 Weeks | Campus Internship
THE URALUNGAL LABOUR CONTRACT CO-OPERATIVE SOCIETY LTD. | STUDENT INTERN | TRIVANDRUM | Jun 2024 | Jun 2024 | 1.1428571428571 Weeks</t>
  </si>
  <si>
    <t>Municipal Solid Waste Management-NPTEL Certification
McKinsey.org Forward Program
Finance for Non- Financial Managers , Emory University - Coursera Certification</t>
  </si>
  <si>
    <t>P25700199</t>
  </si>
  <si>
    <t>KAKDE</t>
  </si>
  <si>
    <t>Mohit Kakde</t>
  </si>
  <si>
    <t>mohitkakde199@gmail.com</t>
  </si>
  <si>
    <t>p25700199@student.nicmar.ac.in</t>
  </si>
  <si>
    <t>23-Sep-2000</t>
  </si>
  <si>
    <t>English, Hindi, Marathi</t>
  </si>
  <si>
    <t>4866 0472 2489</t>
  </si>
  <si>
    <t>VASANT KAKDE</t>
  </si>
  <si>
    <t>BANKER (RETD.)</t>
  </si>
  <si>
    <t>CHANDA KAKDE</t>
  </si>
  <si>
    <t>Behind Jajoo Hospital , Datta Mandir Ward,Warora</t>
  </si>
  <si>
    <t>Chandrapur</t>
  </si>
  <si>
    <t>ST. ANNE'S PUBLIC SCHOOL,WARORA</t>
  </si>
  <si>
    <t>CENTRAL BOARD OF SECONDARY EDUCATION ,DELHI</t>
  </si>
  <si>
    <t>SHRI JAYANTRAO WANJARI JUNIOR COLLEGE,WADODA</t>
  </si>
  <si>
    <t>SAVITRIBAI PHULE PUNE UNIVERSITY,PUNE</t>
  </si>
  <si>
    <t>K.K WAGH INSTITUTE OF ENGINEERING EDUCATION AND RESEARCH,NASHIK</t>
  </si>
  <si>
    <t>AutoCAD,MS Office,MS Project,Primavera,PowerBI,Microsoft Excel,SQL</t>
  </si>
  <si>
    <t>Sobha Limited | Project Planning Intern | Gurugram | May 2026 | Jul 2026 | 9 Weeks | Campus Internship</t>
  </si>
  <si>
    <t>Finance for Non-Financial Managers
AutoCAD
Project Management Basics for Non-Project Managers</t>
  </si>
  <si>
    <t>P25700377</t>
  </si>
  <si>
    <t>RAMAN</t>
  </si>
  <si>
    <t>RACHIT</t>
  </si>
  <si>
    <t>Raman Rachit</t>
  </si>
  <si>
    <t>ramanrachit08@gmail.com</t>
  </si>
  <si>
    <t>p25700377@student.nicmar.ac.in</t>
  </si>
  <si>
    <t>20-Sep-2000</t>
  </si>
  <si>
    <t>6129 0457 7739</t>
  </si>
  <si>
    <t>SHASHI RANJAN</t>
  </si>
  <si>
    <t>KUMARI NISHA</t>
  </si>
  <si>
    <t>S/O- Shashi Ranjan,H.No-78,Hathwa Enclave,OPP Bata Petrol Pump, Ramjeechak,Digha,Patna</t>
  </si>
  <si>
    <t>JAGAT MISSION SR SEC SCHOOL KHAGAUL</t>
  </si>
  <si>
    <t>CBSE- PATNA/BIHAR</t>
  </si>
  <si>
    <t>PRIVATE CANDIDATE</t>
  </si>
  <si>
    <t>CBSE-PATNA/BIHAR</t>
  </si>
  <si>
    <t>GRAPHIC ERA DEEMED TO BE UNIVERSITY</t>
  </si>
  <si>
    <t>GRAPHIC ERA DEEMED TO BE UNIVERSITY- DEHRADUN/UTTRAKHAND</t>
  </si>
  <si>
    <t>AutoCAD,MS Office,MS Project,Primavera,ETABS,MSP,Primavera,Costx</t>
  </si>
  <si>
    <t>M4 Solution Pvt Ltd | Civil Engineer | Ghaziabad | Feb 2025 | May 2025 | 0Y 3M | 4.28
T&amp;M Consulting Private Limited | Civil Engineer | Gurgaon | Nov 2024 | Jan 2025 | 0Y 2M | 4.08</t>
  </si>
  <si>
    <t>Embassy Devlopments Limited | Intern - Central Monitoring | Mumbai | May 2026 | Jul 2026 | 8.2857142857143 Weeks | Campus Internship
Insurance dekho | Product Intern | Gurgaon | Jan 2023 | Jun 2024 | 75.142857142857 Weeks
JKUMAR INFRAPROJECTS PVT LTD | TRAINEE ENGINEER | MUMBAI | Jun 2022 | Aug 2022 | 7.5714285714286 Weeks</t>
  </si>
  <si>
    <t>P25700102</t>
  </si>
  <si>
    <t>RIDHDHISH</t>
  </si>
  <si>
    <t>ATUL</t>
  </si>
  <si>
    <t>MALDE</t>
  </si>
  <si>
    <t>Ridhdhish Atul Malde</t>
  </si>
  <si>
    <t>ridhdhish.malde@gmail.com</t>
  </si>
  <si>
    <t>p25700102@student.nicmar.ac.in</t>
  </si>
  <si>
    <t>18-Oct-2001</t>
  </si>
  <si>
    <t>HINDI, ENGLISH ,GUJARATI ,MARATHI ,KUTCHI</t>
  </si>
  <si>
    <t>B-ve</t>
  </si>
  <si>
    <t>3592 2116 9277</t>
  </si>
  <si>
    <t>DEVELOPER</t>
  </si>
  <si>
    <t>PRIYA</t>
  </si>
  <si>
    <t>6/A Yogi Raj Park ,Opposite City Palace ,Tithal-road ,Valsad ,Gujarat.</t>
  </si>
  <si>
    <t>Valsad</t>
  </si>
  <si>
    <t>Gujarat</t>
  </si>
  <si>
    <t>ATUL VIDYALAYA</t>
  </si>
  <si>
    <t>INDIAN CERTIFICATE OF SECONDARY EDUCATION ,NEW DELHI</t>
  </si>
  <si>
    <t>INDIAN SCHOOL CERTIFICATE , NEW DELHI</t>
  </si>
  <si>
    <t>DR. BALIRAM HIRAY COLLEGE OF ARCHITECTURE</t>
  </si>
  <si>
    <t>AutoCAD,MS Office,MS Project,Primavera,Sketchup,Lumion,Photoshop,Enscape,Vray</t>
  </si>
  <si>
    <t>Reza Kabul Architects | Junior Architect - Architect | Bandra West ,Mumbai | Jun 2024 | May 2025 | 0Y 11M | 3.25</t>
  </si>
  <si>
    <t>0 Years 12 Months</t>
  </si>
  <si>
    <t>Colliers International | Technical Advisory Services (TAS)  | Bengaluru, India | May 2026 | Jul 2026 | 8.7142857142857 Weeks | Campus Internship
Ingrain Architects | Intern  | Kalaghoda, Mumbai | Dec 2022 | Apr 2023 | 19.142857142857 Weeks
D-Workshop | Intern -Trainee | Valsad,Gujarat | Jun 2021 | Oct 2021 | 21.571428571429 Weeks</t>
  </si>
  <si>
    <t>Finance for Non-Financial Managers
Construction Project Management Columbia University
Risk Management Corporate Finance Institute (CFI)
Risk Management â€“ Corporate Finance Institute (CFI)
Construction Project Management â€“ Columbia University</t>
  </si>
  <si>
    <t>P25700003</t>
  </si>
  <si>
    <t>SREELAKSHMI</t>
  </si>
  <si>
    <t>KRISHNAKUMAR</t>
  </si>
  <si>
    <t>Sreelakshmi Krishnakumar</t>
  </si>
  <si>
    <t>sreelakshmitrkk@gmail.com</t>
  </si>
  <si>
    <t>p25700003@student.nicmar.ac.in</t>
  </si>
  <si>
    <t>20-Mar-2001</t>
  </si>
  <si>
    <t>ENGLISH, HINDI, MALAYALAM</t>
  </si>
  <si>
    <t>7013 6395 7609</t>
  </si>
  <si>
    <t>KRISHNAKUMAR TR</t>
  </si>
  <si>
    <t>EMPLOYEE</t>
  </si>
  <si>
    <t>RADHIKA KRISHNAKUMAR</t>
  </si>
  <si>
    <t>Thoppil House Puttumanoor Puthencruze PO Ernakulam</t>
  </si>
  <si>
    <t>Ernakulam</t>
  </si>
  <si>
    <t>COCHIN REFINERIES SCHOOL</t>
  </si>
  <si>
    <t>CENTRAL BOARD OF SECONDARY EDUCATION KERALA</t>
  </si>
  <si>
    <t>KERALA TECHNOLOGICAL UNIVERSITY</t>
  </si>
  <si>
    <t>MAR ATHANASIUS COLLEGE OF ENGINEERING ERNAKULAM KERALA</t>
  </si>
  <si>
    <t>Larsen and Toubro | Senior Engineer Civil | Bharuch Gujarat | Jul 2023 | Jun 2025 | 1Y 11M | 6.6</t>
  </si>
  <si>
    <t>1 Year 12 Months</t>
  </si>
  <si>
    <t>KPMG India | Intern- Major Projects Advisory | Mumbai, Maharashtra | May 2026 | Jun 2026 | 7.5714285714286 Weeks | Campus Internship
Prestige Group | Site Engineer | Kakkanad, Ernakulam | Aug 2022 | Aug 2022 | 1 Weeks
Bharat Petroleum Corporation Limited | Intern | Ambalamugal, Kerala | Jun 2023 | Jun 2023 | 4.1428571428571 Weeks</t>
  </si>
  <si>
    <t>Finance for Non-Financial Managers</t>
  </si>
  <si>
    <t>P25700112</t>
  </si>
  <si>
    <t>TEJESH</t>
  </si>
  <si>
    <t>C V</t>
  </si>
  <si>
    <t>Tejesh C V</t>
  </si>
  <si>
    <t>tejesh3104@gmail.com</t>
  </si>
  <si>
    <t>p25700112@student.nicmar.ac.in</t>
  </si>
  <si>
    <t>04-Apr-1999</t>
  </si>
  <si>
    <t>ENGLISH,HINDI,TELUGU,KANNADA,TAMIL</t>
  </si>
  <si>
    <t>4885 2459 9171</t>
  </si>
  <si>
    <t>VASU C</t>
  </si>
  <si>
    <t>SUPERVISOR</t>
  </si>
  <si>
    <t>LAKSHMI C</t>
  </si>
  <si>
    <t>13-144 K GUNDUMALA MADAKASIRA</t>
  </si>
  <si>
    <t>Anantapur</t>
  </si>
  <si>
    <t>AVS CONVENT HIGH SCHOOL</t>
  </si>
  <si>
    <t>KARNATAKA SECONDARY EDUCATION EXAMINATION BOARD, KARNATAKA</t>
  </si>
  <si>
    <t>2005-May</t>
  </si>
  <si>
    <t>THE NATIONAL  PU COLLEGE, JAYANAGAR</t>
  </si>
  <si>
    <t>DEPARTMENT OF PRE UNIVERSITY BOARD, KARNATAKA</t>
  </si>
  <si>
    <t>VISVESVARAYA TECHNOLOGICAL UNIVERSITY, BELAGAVI</t>
  </si>
  <si>
    <t>THE OXFORD COLLEGE OF ENGINEERING, BANGALORE</t>
  </si>
  <si>
    <t>AutoCAD,MS Office,MS Project,Primavera,Power BI</t>
  </si>
  <si>
    <t>Radical Minds | Customer support Representative | Bangalore | Feb 2022 | Aug 2022 | 0Y 5M | 2.04
Suryapriya Constructions pvt ltd | Project Planning and Control Engineer | Bangalore | May 2023 | Jun 2025 | 2Y 1M | 4.67</t>
  </si>
  <si>
    <t>2 Years 6 Months</t>
  </si>
  <si>
    <t>Sprng Energy | Project Management Office - Intern  | Pune, Maharashtra | May 2026 | Jul 2026 | 8.7142857142857 Weeks | Campus Internship
Reliance Consultant | Trainee | Bangalore | Mar 2021 | Apr 2021 | 4.4285714285714 Weeks
SURYAPRIYA CONSTRUCTIONS PVT LTD | MANAGEMENT TRAINEE | BANGALORE | Jan 2023 | May 2023 | 19.142857142857 Weeks</t>
  </si>
  <si>
    <t>P25700315</t>
  </si>
  <si>
    <t>UTKARSHA</t>
  </si>
  <si>
    <t>KAVITAKE</t>
  </si>
  <si>
    <t>Utkarsha Kavitake</t>
  </si>
  <si>
    <t>kavitakeu@gmail.com</t>
  </si>
  <si>
    <t>p25700315@student.nicmar.ac.in</t>
  </si>
  <si>
    <t>30-Sep-2001</t>
  </si>
  <si>
    <t>Marathi, English, Hindi.</t>
  </si>
  <si>
    <t>2924 0396 4910</t>
  </si>
  <si>
    <t>GAJANAN KAVITKE</t>
  </si>
  <si>
    <t>RUPALI KAVITKE</t>
  </si>
  <si>
    <t>LAVISH VILLA SOCIETY, MANJARI BUDRUK</t>
  </si>
  <si>
    <t>At Post Gotandi, Village Ghorpadwadi, Tal Indapur</t>
  </si>
  <si>
    <t>KENDRIYA VIDYALAYA, VAYU SENA NAGAR</t>
  </si>
  <si>
    <t>NAGPUR, MAHARASHTRA</t>
  </si>
  <si>
    <t>D. Y. PATIL, COLLEGE OF ENGINEERING, AKURDI, PUNE</t>
  </si>
  <si>
    <t>AutoCAD,MS Office,MS Project,SolidWorks (Basics),Technical Documentation &amp; Reporting</t>
  </si>
  <si>
    <t>Knest Manufacturers Pvt. Ltd. | Design Engineer  | Bhosari, Pune | Jul 2023 | Oct 2024 | 1Y 3M | 3
Abhikalpan Construction Solutions Pvt. Ltd. | Intermediate Design Engineer | Viman Nagar, Pune | Dec 2024 | May 2025 | 0Y 4M | 3.35</t>
  </si>
  <si>
    <t>1 Year 8 Months</t>
  </si>
  <si>
    <t>Masin Projects Pvt. Ltd. | Intern - Delay Analysis | Gurgaon | May 2026 | Jul 2026 | 8.7142857142857 Weeks | Campus Internship
Ajwani Infrastructure Pvt. Ltd. | Intern | Aundh, Pune | Jan 2022 | Feb 2022 | 4.7142857142857 Weeks</t>
  </si>
  <si>
    <t>P25700584</t>
  </si>
  <si>
    <t>SANTOSH</t>
  </si>
  <si>
    <t>GUNDAWAR</t>
  </si>
  <si>
    <t>Yash Santosh Gundawar</t>
  </si>
  <si>
    <t>yash.s.gundawar1@gmail.com</t>
  </si>
  <si>
    <t>p25700584@student.nicmar.ac.in</t>
  </si>
  <si>
    <t>11-Nov-1999</t>
  </si>
  <si>
    <t>5322 6048 2537</t>
  </si>
  <si>
    <t>SANTOSH GUNDAWAR</t>
  </si>
  <si>
    <t>BUSSINESS</t>
  </si>
  <si>
    <t>ARCHANA GUNDAWAR</t>
  </si>
  <si>
    <t>Plot No. 5, Wandre Layout, Nagpur Chandrapur Highway, Warora, Dist- Chandrapur</t>
  </si>
  <si>
    <t>ST. ANNE'S PUBLIC SCHOOL, WARORA, DIST-CHANDRAPUR</t>
  </si>
  <si>
    <t>YASHWANTRAO SHINDE JR. COLLEGE (SCIENCE &amp; ARTS),BHADRAWATI</t>
  </si>
  <si>
    <t>K.K. WAGH INSTITUTE OF ENGINEERING EDUCATION AND RESEARCH, NASHIK</t>
  </si>
  <si>
    <t>Adani Electricity Mumbai Infra Limited | Senior Executive | Mumbai | Jul 2022 | Apr 2024 | 1Y 9M | 7.2</t>
  </si>
  <si>
    <t>1 Year 9 Months</t>
  </si>
  <si>
    <t>KPMG India | Business Consulting- Intern | Mumbai  | May 2026 | Jun 2026 | 7.5714285714286 Weeks | Campus Internship
ZENITH INFRASTRUCTURE | Trainee Site Engineer | Warora, Dist- Chandrapur | Jan 2021 | Jun 2021 | 25.714285714286 Weeks</t>
  </si>
  <si>
    <t>MBA-APM</t>
  </si>
  <si>
    <t>P25701019</t>
  </si>
  <si>
    <t>BONTA</t>
  </si>
  <si>
    <t>SANJAY</t>
  </si>
  <si>
    <t>Bonta Sanjay</t>
  </si>
  <si>
    <t>sanjay.bonta@gmail.com</t>
  </si>
  <si>
    <t>p25701019@student.nicmar.ac.in</t>
  </si>
  <si>
    <t>01-Aug-2003</t>
  </si>
  <si>
    <t>English, Hindi, Telugu, Tamil</t>
  </si>
  <si>
    <t>Music Production,Photography,Traveling,Educational Videos</t>
  </si>
  <si>
    <t>7639 1896 3363</t>
  </si>
  <si>
    <t>BONTA JAYAKAR</t>
  </si>
  <si>
    <t>CONSULTANCY ENGINEER</t>
  </si>
  <si>
    <t>BONTA SHANTHI PRIYA</t>
  </si>
  <si>
    <t>No.201, Vasishta Enclave, Thota Vari_x000D_
Veedhi 7th Lane, Ajith Singh Nagar, Vijayawada</t>
  </si>
  <si>
    <t>N T Rama Rao</t>
  </si>
  <si>
    <t>AIR FORCE SCHOOL JORHAT</t>
  </si>
  <si>
    <t>CENTRAL BOARD OF SECONDARY EDUCATION ASSAM</t>
  </si>
  <si>
    <t>DELHI PUBLIC SCHOOL VIJAYAWADA</t>
  </si>
  <si>
    <t>CENTRAL BOARD OF SECONDARY EDUCATION VIJAYAWADA</t>
  </si>
  <si>
    <t>VELLORE INSTITUTE OF TECHNOLOGY, VELLORE</t>
  </si>
  <si>
    <t>2025-Jul</t>
  </si>
  <si>
    <t xml:space="preserve">AutoCAD, MS Excel, MS Project, PoweBI, Revit, MS Powerpoint, Canva Designing, </t>
  </si>
  <si>
    <t>SPRNG ENERGY PVT. LTD. | PROJECT MANAGEMENT INTERN | Pune, Maharashtra | May 2026 | Jul 2026 | 8.7142857142857 Weeks | Campus Internship
APCO INFRATECH PVT. LTD. (APCO) | TRAINEE ENGINEER  | FARIDABAD, HARYANA | Aug 2023 | Sep 2023 | 4.5714285714286 Weeks</t>
  </si>
  <si>
    <t>Forests and their Management
Entrepreneurship
Transportation, Sustainable Buildings, Green Construction
Product Development using AutoCAD
Construction Project Management</t>
  </si>
  <si>
    <t>P25701079</t>
  </si>
  <si>
    <t>MUHAMMAD ZAIN</t>
  </si>
  <si>
    <t>HASAN</t>
  </si>
  <si>
    <t>V Y</t>
  </si>
  <si>
    <t>Muhammad Zain Hasan V Y</t>
  </si>
  <si>
    <t>hasanzain201@gmail.com</t>
  </si>
  <si>
    <t>p25701079@student.nicmar.ac.in</t>
  </si>
  <si>
    <t>27-Dec-2001</t>
  </si>
  <si>
    <t>ENGLISH,MALAYALAM,KANNADA,HINDI,URDU,TAMIL,TELUGU,ARABIC</t>
  </si>
  <si>
    <t>Cooking,Teaching,Public Speaking</t>
  </si>
  <si>
    <t>4069 8621 5354</t>
  </si>
  <si>
    <t>MOHAMED YUNUS S H</t>
  </si>
  <si>
    <t>FAHMIDA YUNUS</t>
  </si>
  <si>
    <t>69, 4th Cross Telecom Layout Pipeline Road K.P Agrahara,Vijayanagar,Bengaluru</t>
  </si>
  <si>
    <t>THE NEW CAMBRIDGE ENGLISH SCHOOL</t>
  </si>
  <si>
    <t>COUNCIL FOR THE INDIAN SCHOOL CERTIFICATE EXAMINATIONS,BENGALURU,KARNATAKA.</t>
  </si>
  <si>
    <t>HUDA NATIONAL PU COLLEGE</t>
  </si>
  <si>
    <t>DEPARTMENT OF PRE UNIVERSITY EDUCATION, GOVERNMENT OF KARNATAKA, BENGALURU,KARNATAKA.</t>
  </si>
  <si>
    <t>VISVESVARAYA TECHNOLOGICAL UNIVERSITY,BELAGAVI</t>
  </si>
  <si>
    <t>BMS COLLEGE OF ENGINEERING,BENGALURU,KARNATAKA.</t>
  </si>
  <si>
    <t>AutoCAD,MS Office,MS Project,Primavera,MS Excel</t>
  </si>
  <si>
    <t>Ozen Consultancy | Sales Manager | Bengaluru | Jul 2024 | Jun 2025 | 0Y 11M | 2.4</t>
  </si>
  <si>
    <t>Sobha Limited  | Planning Intern | BENGALURU | May 2026 | Jul 2026 | 9 Weeks | Campus Internship
Enlightening Trust | Tutor  | Bengaluru | Jun 2020 | Jul 2024 | 213 Weeks
LA FOUNDATION  DASSAULT SYSTEMES | Project Intern | BENGALURU | Jun 2022 | May 2024 | 102.28571428571 Weeks
Build A Home | Site Engineer | Bengaluru | Sep 2023 | Nov 2023 | 8.8571428571429 Weeks</t>
  </si>
  <si>
    <t>P25701096</t>
  </si>
  <si>
    <t>BHANUDAS</t>
  </si>
  <si>
    <t>MAGADUM</t>
  </si>
  <si>
    <t>Akshata Bhanudas Magadum</t>
  </si>
  <si>
    <t>ar.akshatamagadum@gmail.com</t>
  </si>
  <si>
    <t>p25701096@student.nicmar.ac.in</t>
  </si>
  <si>
    <t>08-Sep-2000</t>
  </si>
  <si>
    <t>English, Marathi, Hindi</t>
  </si>
  <si>
    <t>Reading,Dancing,Cooking,Badminton</t>
  </si>
  <si>
    <t>3868 7095 4202</t>
  </si>
  <si>
    <t>SHUBHADA</t>
  </si>
  <si>
    <t>2201, Aishwarya Heights, Mithagar Road, Mulund East</t>
  </si>
  <si>
    <t>Mumbai Suburban</t>
  </si>
  <si>
    <t>HOLY CROSS CONVENT SCHOOL</t>
  </si>
  <si>
    <t>HOLY CROSS CONVENT SCHOOL AND JUNIOR COLLEGE</t>
  </si>
  <si>
    <t>DR. BALIRAM HIRAY COLLEGE OF ARCHITECTURE, BANDRA, MUMBAI</t>
  </si>
  <si>
    <t>AutoCAD,MS Office,MS Project,Primavera,Revit,Photoshop,SPSS,@Risk</t>
  </si>
  <si>
    <t>Suresh Babu and Partners | Architect | Thane | Jul 2023 | May 2025 | 1Y 10M | 2.16</t>
  </si>
  <si>
    <t>1 Year 10 Months</t>
  </si>
  <si>
    <t>Roshni Udyavar and Associates | Architectural Intern | Mumbai | Nov 2021 | Mar 2022 | 21.428571428571 Weeks</t>
  </si>
  <si>
    <t>P25701146</t>
  </si>
  <si>
    <t>JAYANT</t>
  </si>
  <si>
    <t>UTTARWAR</t>
  </si>
  <si>
    <t>Jayant Uttarwar</t>
  </si>
  <si>
    <t>jayantuttarwar8@gmail.com</t>
  </si>
  <si>
    <t>p25701146@student.nicmar.ac.in</t>
  </si>
  <si>
    <t>05-Feb-2000</t>
  </si>
  <si>
    <t>English , Marathi , Hindi</t>
  </si>
  <si>
    <t>5112 2622 8444</t>
  </si>
  <si>
    <t>MOHAN</t>
  </si>
  <si>
    <t>MEGHA</t>
  </si>
  <si>
    <t>MOSHI PUNE</t>
  </si>
  <si>
    <t>20/29 Muktai Nagar , Jalgaon , 425001</t>
  </si>
  <si>
    <t>UTTARWAR JAYANT MOHAN</t>
  </si>
  <si>
    <t>KAVAYITRI BAHINABAI CHAUDHARI NORTH MAHARASHTRA UNIVERSITY, JALGAON</t>
  </si>
  <si>
    <t>GOVERNMENT COLLEGE OF ENGINEERING, JALGAON</t>
  </si>
  <si>
    <t>Other</t>
  </si>
  <si>
    <t>AutoCAD,MS Office,MS Project,Primavera,SQL,JAVA</t>
  </si>
  <si>
    <t>ER.SUNIL S. BANG REGISTER VALUER, CHARTER ENGINEER | ENGINEER TRAINEE | Jalgaon | Feb 2024 | Dec 2024 | 0Y 10M | 2.5</t>
  </si>
  <si>
    <t>Systra India | Project Management Office - Intern | Ahmedabad  | May 2026 | Jul 2026 | 8.5714285714286 Weeks | Campus Internship
ATHARVA D. JAKATDAR | CIVIL ENGINEER  | Jalgaon  | Jul 2022 | Mar 2023 | 39 Weeks</t>
  </si>
  <si>
    <t>AutoCAD
Geographic Information System (GIS)
Badminton Coordinator
Construction Skill Development Quantity Surveying, Billing &amp; AutoCAD
Placement Coordinator
C programming language
Post Graduate Diploma in Advanced Computing</t>
  </si>
  <si>
    <t>p2270426</t>
  </si>
  <si>
    <t>RAJ</t>
  </si>
  <si>
    <t>Raj Singh</t>
  </si>
  <si>
    <t>rajsinghnicmar@gmail.com</t>
  </si>
  <si>
    <t>p2270426@student.nicmar.ac.in</t>
  </si>
  <si>
    <t>22-Mar-1992</t>
  </si>
  <si>
    <t>English , Hindi &amp; Basic Arabic</t>
  </si>
  <si>
    <t>6962 7883 8134</t>
  </si>
  <si>
    <t>YOGENDRA SINGH</t>
  </si>
  <si>
    <t>BRIJESH DEVI</t>
  </si>
  <si>
    <t>House No 36 , Shivaji Nagar</t>
  </si>
  <si>
    <t>Mathura</t>
  </si>
  <si>
    <t>ARCADIAN PUBLIC SENIOR SECONDARY SCHOOL</t>
  </si>
  <si>
    <t>CBSE</t>
  </si>
  <si>
    <t>2008-Mar</t>
  </si>
  <si>
    <t>2009-Mar</t>
  </si>
  <si>
    <t>2010-Mar</t>
  </si>
  <si>
    <t>MONAD UNIVERSITY</t>
  </si>
  <si>
    <t>2011-May</t>
  </si>
  <si>
    <t>AKTU</t>
  </si>
  <si>
    <t>BSA COLLEGE OF ENGINEERING AND TECHNOLOGY</t>
  </si>
  <si>
    <t>AutoCAD,MS Office,MS Project,Primavera P6</t>
  </si>
  <si>
    <t>GE3S | Consulting  | Abu Dhabi | May 2017 | May 2022 | 5Y 0M | 26
NSCC International saudi Contracting | Construction Environmental and Sustainability Manager | Saudi Arabia | Jan 2023 | Jan 2026 | 3Y 0M | 100</t>
  </si>
  <si>
    <t>8 Years 0 Months</t>
  </si>
  <si>
    <t>DLF Home Developers Limited | Planning and Exceution Intern | Gurugram | May 2026 | Jul 2026 | 8 Weeks | Campus Internship</t>
  </si>
  <si>
    <t>Estidama - PCRS
ESTIDAMA - PBRS</t>
  </si>
  <si>
    <t>P25700001</t>
  </si>
  <si>
    <t>SUDEESWAR</t>
  </si>
  <si>
    <t>K</t>
  </si>
  <si>
    <t>Sudeeswar K</t>
  </si>
  <si>
    <t>12441sudeeswark@gmail.com</t>
  </si>
  <si>
    <t>p25700001@student.nicmar.ac.in</t>
  </si>
  <si>
    <t>04-Apr-2003</t>
  </si>
  <si>
    <t>TAMIL,ENGLISH,TELUGU</t>
  </si>
  <si>
    <t>5338 3512 1471</t>
  </si>
  <si>
    <t>KUNDUMANI</t>
  </si>
  <si>
    <t>MENAGA</t>
  </si>
  <si>
    <t>5/617 Parakadu Alagapuram Periya Pudur Salem</t>
  </si>
  <si>
    <t>Salem</t>
  </si>
  <si>
    <t>HOLY CROSS MATRICULATION HIGHER SECONDARY SCHOOL</t>
  </si>
  <si>
    <t>STATE BOARD, TAMIL NADU</t>
  </si>
  <si>
    <t>SONA COLLEGE OF TECHNOLOGY SALEM/TAMIL NADU</t>
  </si>
  <si>
    <t>AutoCAD,MS Office,MS Project,Primavera,staad pro</t>
  </si>
  <si>
    <t>J. Kumar Infraprojects Ltd | Summer Intern- Site Execution | CHENNAI | May 2026 | Jul 2026 | 9.7142857142857 Weeks | Campus Internship
SURRYA BUILDERS | TRAINEE | SALEM | Jun 2024 | Jul 2024 | 6.4285714285714 Weeks</t>
  </si>
  <si>
    <t>P25700002</t>
  </si>
  <si>
    <t>SAMKIT</t>
  </si>
  <si>
    <t>VIKKI</t>
  </si>
  <si>
    <t>PALRECHA</t>
  </si>
  <si>
    <t>Samkit Vikki Palrecha</t>
  </si>
  <si>
    <t>samkitpalrecha20@gmail.com</t>
  </si>
  <si>
    <t>p25700002@student.nicmar.ac.in</t>
  </si>
  <si>
    <t>07-Mar-2003</t>
  </si>
  <si>
    <t>English, Hindi, Marathi, Marwadi</t>
  </si>
  <si>
    <t>5870 0268 0076</t>
  </si>
  <si>
    <t>VIKKI PALRECHA</t>
  </si>
  <si>
    <t>VINITA PALRECHA</t>
  </si>
  <si>
    <t>Plot No.22, Chanchal Niwas, Pradhan Park, Lonavala 410-401</t>
  </si>
  <si>
    <t>RYEWOOD INTERNATIONAL SCHOOL</t>
  </si>
  <si>
    <t>INDIAN COUNSIL OF SECONDARY EDUCATION, PUNE, MAHARASHTRA</t>
  </si>
  <si>
    <t>DON BOSCO JUNIOR COLLEGE</t>
  </si>
  <si>
    <t>2021-May</t>
  </si>
  <si>
    <t>D Y PATIL COLLEGE OF ENGINEERING, AKURDI, PUNE</t>
  </si>
  <si>
    <t>2025-Jun</t>
  </si>
  <si>
    <t>AutoCAD</t>
  </si>
  <si>
    <t>Vikas Constructions | Site Engineer Intern | Lonavala | May 2026 | Jul 2026 | 8.4285714285714 Weeks | Campus Internship
VIKAS CONSTRUCTIONS | JUNIOR ENGINEER | AAMBY VALLEY CITY, SAHARA | Nov 2024 | Mar 2025 | 16.428571428571 Weeks
SHAASHWAT BUILDERS, PROMOTERS &amp; DEVELOPERS | INTERN | LONAVALA | Dec 2023 | Feb 2024 | 12.428571428571 Weeks</t>
  </si>
  <si>
    <t>P25700004</t>
  </si>
  <si>
    <t>JAGMA</t>
  </si>
  <si>
    <t>PRIYADARSHINI</t>
  </si>
  <si>
    <t>Jagma Priyadarshini</t>
  </si>
  <si>
    <t>jagma2002@gmail.com</t>
  </si>
  <si>
    <t>p25700004@student.nicmar.ac.in</t>
  </si>
  <si>
    <t>05-Mar-2004</t>
  </si>
  <si>
    <t>ENGLISH,HINDI,ODIA</t>
  </si>
  <si>
    <t>3414 2234 8709</t>
  </si>
  <si>
    <t>HIMANSHU SEKHAR DAS</t>
  </si>
  <si>
    <t>ASST.ENGINEER (MINOR IRRIGATION)</t>
  </si>
  <si>
    <t>MEENAKSHEE DAS</t>
  </si>
  <si>
    <t>A/71,PPL HOUSING COLONY,AIGINIA,KHANDAGIRI,BHUBANESWAR</t>
  </si>
  <si>
    <t>Khordha</t>
  </si>
  <si>
    <t>Odisha</t>
  </si>
  <si>
    <t>DAV PUBLIC SCHOOL,KALINGANAGAR,BHUBANESWAR</t>
  </si>
  <si>
    <t>SECONDARY EDUCATION (CBSE)</t>
  </si>
  <si>
    <t>HIGHER SECONDARY EDUCATION (CBSE)</t>
  </si>
  <si>
    <t>BIJU PATNAIK UNIVERSITY OF TECHNOLOGY,ROURKELA,ODISHA</t>
  </si>
  <si>
    <t>INDIRA GANDHI INSTITUTE OF TECHNOLOGY,SARANG</t>
  </si>
  <si>
    <t>AutoCAD,MS Office,STAAD PRO</t>
  </si>
  <si>
    <t>ASIAN PAINTS | Sales Engineering + Waterproofing | BHUBANESWAR,ODISHA | May 2026 | Jul 2026 | 8.7142857142857 Weeks | Campus Internship
QUALITY ASSURANCE DIVISION ,BHUBANESWAR | INTERN | BHUBANESWAR,ODISHA | May 2024 | Jun 2024 | 4.2857142857143 Weeks
OFFICE OF THE EXECUTIVE ENGINEER BHUBANESWAR (R&amp;B) DIVISION NO-V BHUBANESWARL | INTERN | BHUBANESWAR,ODISHA | May 2023 | Jun 2023 | 4.4285714285714 Weeks</t>
  </si>
  <si>
    <t>P25700005</t>
  </si>
  <si>
    <t>AYUSH</t>
  </si>
  <si>
    <t>NAIK</t>
  </si>
  <si>
    <t>Ayush Naik</t>
  </si>
  <si>
    <t>naikayush402@gmail.com</t>
  </si>
  <si>
    <t>p25700005@student.nicmar.ac.in</t>
  </si>
  <si>
    <t>27-Aug-2002</t>
  </si>
  <si>
    <t>ENGLISH, HINDI, ODIA</t>
  </si>
  <si>
    <t>6491 6445 4028</t>
  </si>
  <si>
    <t>ASIS NAIK</t>
  </si>
  <si>
    <t>MITA RANI NAIK</t>
  </si>
  <si>
    <t>S/O Asis Naik, Ayush Complex, Kainsir Road, Karamtoli, Ainthapali</t>
  </si>
  <si>
    <t>Sambalpur</t>
  </si>
  <si>
    <t>MADNAWATI PUBLIC SCHOOL</t>
  </si>
  <si>
    <t>CENTRAL BOARD OF SECONDARY EDUCATION, SAMBALPUR/ODISHA</t>
  </si>
  <si>
    <t>GANDHI INSTITUTE OF ENGINEERING AND TECHNOLOGY UNIVERSITY, GUNUPUR/ODISHA</t>
  </si>
  <si>
    <t>Dineshchandra R. Agrawal Infracon Pvt. Ltd. | Graduate Engineer Trainee (GET) | Chennai, Tamil Nadu | Mar 2024 | Jan 2025 | 0Y 10M | 2.4</t>
  </si>
  <si>
    <t>SOBHA India Limited | Site Execution | Bangalore | May 2026 | Jul 2026 | 9 Weeks | Campus Internship
HINDALCO A UNIT ADITYA ALUMINUM | INTERN | SAMBALPUR, ODISHA | Jun 2023 | Jun 2023 | 4.1428571428571 Weeks</t>
  </si>
  <si>
    <t>P25700006</t>
  </si>
  <si>
    <t>THETE</t>
  </si>
  <si>
    <t>AJINKYA</t>
  </si>
  <si>
    <t>TANAJI</t>
  </si>
  <si>
    <t>Thete Ajinkya Tanaji</t>
  </si>
  <si>
    <t>ajinkyatthete@gmail.com</t>
  </si>
  <si>
    <t>p25700006@student.nicmar.ac.in</t>
  </si>
  <si>
    <t>21-Sep-2002</t>
  </si>
  <si>
    <t>ENGLISH,HINDI,MARATHI</t>
  </si>
  <si>
    <t>AB+ve</t>
  </si>
  <si>
    <t>9832 4212 6090</t>
  </si>
  <si>
    <t>TANAJI NAMDEO THETE</t>
  </si>
  <si>
    <t>HEAD CLERK</t>
  </si>
  <si>
    <t>VIJAYA TANAJI THETE</t>
  </si>
  <si>
    <t>PRINCIPAL</t>
  </si>
  <si>
    <t>Shivpushp Bunglow, Amrut Nagar, Lasalgaon-422306,Nashik, Maharashtra</t>
  </si>
  <si>
    <t>LOKNETE DATTAJI PATIL VIDYALAYA,LASALGAON</t>
  </si>
  <si>
    <t>NASHIK</t>
  </si>
  <si>
    <t>LOKNETE DATTAJI PATIL SECONDARY AND HIGHER SECONDARY SCHOOL, LASALGAON</t>
  </si>
  <si>
    <t>S.N.J.B'S KBJ COE,CHANDVAD</t>
  </si>
  <si>
    <t>AutoCAD,MS Office,Revit</t>
  </si>
  <si>
    <t>Samruddhi Associates | Site Engineer  | Nashik | Aug 2024 | Jun 2025 | 0Y 10M | 2.04</t>
  </si>
  <si>
    <t>HH Builders and Developer | Intern  | Nashik | Jan 2023 | Feb 2023 | 4.4285714285714 Weeks</t>
  </si>
  <si>
    <t>P25700007</t>
  </si>
  <si>
    <t>ASHUTOSH</t>
  </si>
  <si>
    <t>Ashutosh Singh</t>
  </si>
  <si>
    <t>2007ashutosh2000@gmail.com</t>
  </si>
  <si>
    <t>p25700007@student.nicmar.ac.in</t>
  </si>
  <si>
    <t>12-Dec-2002</t>
  </si>
  <si>
    <t>5144 0136 1325</t>
  </si>
  <si>
    <t>UMESH KUMAR SINGH</t>
  </si>
  <si>
    <t>SUMAN SINGH</t>
  </si>
  <si>
    <t>61,Near Kuchman Station, Chakariya, Keshavpur, Chandauli</t>
  </si>
  <si>
    <t>Chandauli</t>
  </si>
  <si>
    <t>SUNBEAM SCHOOL MUGHALSARAI</t>
  </si>
  <si>
    <t>CENTRAL BOARD OF SECONDARY EDUCATION, MUGHALSARAI/UTTARPRADESH</t>
  </si>
  <si>
    <t>CENTRAL BOARD OF SECONDARY EDUCATION, MUGHALSARAI/UTTAR PRADESH</t>
  </si>
  <si>
    <t>ABDUL KALAM TECHNICAL UNIVERSITY</t>
  </si>
  <si>
    <t>INDRAPRASHTHA ENGENEERING COLLEGE, GHAZIABAD/UTTARPRADESH</t>
  </si>
  <si>
    <t>AutoCAD,MS Office,MS Project,Primavera,StadPro</t>
  </si>
  <si>
    <t>J. kumar Infraprojects Ltd | Planning Engineer intern | New Delhi | May 2026 | Jul 2026 | 9.7142857142857 Weeks | Campus Internship</t>
  </si>
  <si>
    <t>Course on Building Design
BIM Fundamentals for Engineers</t>
  </si>
  <si>
    <t>P25700008</t>
  </si>
  <si>
    <t>DARSHAN</t>
  </si>
  <si>
    <t>SATISHKUMAR</t>
  </si>
  <si>
    <t>VAKHARIYA</t>
  </si>
  <si>
    <t>Darshan Satishkumar Vakhariya</t>
  </si>
  <si>
    <t>darshan.vakharia33@gmail.com</t>
  </si>
  <si>
    <t>p25700008@student.nicmar.ac.in</t>
  </si>
  <si>
    <t>02-Jan-2001</t>
  </si>
  <si>
    <t>ENGLISH,HINDI,MARATHI,GUJARATI</t>
  </si>
  <si>
    <t>2497 3115 8893</t>
  </si>
  <si>
    <t>SHRADDHA</t>
  </si>
  <si>
    <t>202 LIVIA SOCIETY, BHUMKAR NAGAR,HINJAWADI PUNE</t>
  </si>
  <si>
    <t>3299/B Mahavir Marg Barshi</t>
  </si>
  <si>
    <t>SULAKHE ENGLISH MEDIUM SCHOOL</t>
  </si>
  <si>
    <t>SHRI SHIVAJI MAHAVIDYALAYA, BARSHI</t>
  </si>
  <si>
    <t>ZEAL COLLEGE OF ENGINEERING AND RESEARCH</t>
  </si>
  <si>
    <t>Suyog Development Corporation LTD. | Trainee engineer | Gangadham, pune | Aug 2023 | Apr 2025 | 1Y 8M | 2.5</t>
  </si>
  <si>
    <t>Jyoti Structures Ltd | Management Intern  | Boisar-Pune | May 2026 | Jul 2026 | 8.5714285714286 Weeks | Campus Internship
Idhant Construction and Developers |  site engineer intern  | Barshi  | Jan 2022 | Feb 2022 | 4.4285714285714 Weeks</t>
  </si>
  <si>
    <t>P25700009</t>
  </si>
  <si>
    <t>SHIVAM</t>
  </si>
  <si>
    <t>Shivam Sharma</t>
  </si>
  <si>
    <t>shivamsharma2003cool@gmail.com</t>
  </si>
  <si>
    <t>p25700009@student.nicmar.ac.in</t>
  </si>
  <si>
    <t>24-Nov-2003</t>
  </si>
  <si>
    <t>English Hindi</t>
  </si>
  <si>
    <t>8551 9504 4457</t>
  </si>
  <si>
    <t>ANAND SWARUP SHARMA</t>
  </si>
  <si>
    <t>ASHA DEVI</t>
  </si>
  <si>
    <t>Sector 123 H Block_x000D_
House Number 905</t>
  </si>
  <si>
    <t>Amritsar</t>
  </si>
  <si>
    <t>Punjab</t>
  </si>
  <si>
    <t>TAURIAN WORLD SCHOOL</t>
  </si>
  <si>
    <t>RANCHI JHARKHAND</t>
  </si>
  <si>
    <t>PODAR INTERNATIONAL SCHOOL</t>
  </si>
  <si>
    <t>BHUSAWAL MAHARASHTRA</t>
  </si>
  <si>
    <t>2020-Apr</t>
  </si>
  <si>
    <t>CHANDIGARH UNIVERSITY</t>
  </si>
  <si>
    <t>CHANDIGARH UNIVERSITY PUNJAB</t>
  </si>
  <si>
    <t>MS Project,Primavera,Arc Gis,Open Roads</t>
  </si>
  <si>
    <t>aarvee association | Site Engineer | Shamli Saharanpur | May 2024 | Jul 2024 | 8 Weeks
Pidilite Industries Ltd. | PPG Intern Segment | Gurugram | May 2026 | Jun 2026 | 7.5714285714286 Weeks</t>
  </si>
  <si>
    <t>P25700010</t>
  </si>
  <si>
    <t>SHUBHANKAR</t>
  </si>
  <si>
    <t>DATTATREY</t>
  </si>
  <si>
    <t>MAIRAL</t>
  </si>
  <si>
    <t>Shubhankar Dattatrey Mairal</t>
  </si>
  <si>
    <t>mairalshubhankar@gmail.com</t>
  </si>
  <si>
    <t>p25700010@student.nicmar.ac.in</t>
  </si>
  <si>
    <t>21-Nov-2002</t>
  </si>
  <si>
    <t>ENGLISH, HINDI, MARATHI.</t>
  </si>
  <si>
    <t>2659 1560 4236</t>
  </si>
  <si>
    <t>DATTATREYA MAIRAL</t>
  </si>
  <si>
    <t>SANJIVANI MAIRAL</t>
  </si>
  <si>
    <t>Plot No. 44, PMG Society, Narendra Nagar, Nagpur.</t>
  </si>
  <si>
    <t>SOMALWAR NIKALAS HIGH SCHOOL AND JUNIOR COLLEGE</t>
  </si>
  <si>
    <t>RASHTRASANT TUKDOJI MAHARAJ NAGPUR UNIVERSITY</t>
  </si>
  <si>
    <t>YESHWANTRAO CHAVAN COLLEGE OF ENGINEERING, NAGPUR, MAHARASHTRA</t>
  </si>
  <si>
    <t>MASIN PROJECTS PRIVATE LIMITED  | Inter (Delay/Quantum) | Gurugram | May 2026 | Jul 2026 | 8.7142857142857 Weeks | Campus Internship
Manaswi Construction | Intern- Site Execution | Nagpur | Jan 2024 | May 2024 | 17.285714285714 Weeks</t>
  </si>
  <si>
    <t>P25700011</t>
  </si>
  <si>
    <t>NABA</t>
  </si>
  <si>
    <t>ANSARI</t>
  </si>
  <si>
    <t>Naba Ansari</t>
  </si>
  <si>
    <t>naba.falak@gmail.com</t>
  </si>
  <si>
    <t>p25700011@student.nicmar.ac.in</t>
  </si>
  <si>
    <t>07-Sep-2002</t>
  </si>
  <si>
    <t>English, Hindi, Urdu, Marathi, French</t>
  </si>
  <si>
    <t>4572 3312 2490</t>
  </si>
  <si>
    <t>MOHAMMAD ATIF ANSARI</t>
  </si>
  <si>
    <t>ATIYA NAYAB ANSARI</t>
  </si>
  <si>
    <t>B-35/002, Takshashila Loknagri, MIDC Road, Ambarnath - East, 421501</t>
  </si>
  <si>
    <t>FATIMA HIGH SCHOOL &amp; JUNIOR COLLEGE</t>
  </si>
  <si>
    <t>SMT. CHANDIBAI HIMATHMAL MANSUKHANI COLLEGE, ULHASNAGAR</t>
  </si>
  <si>
    <t>L.S RAHEJA SCHOOL OF ARCHITECTURE</t>
  </si>
  <si>
    <t>AutoCAD,MS Office,MS Project,Sketchup,Revit,Vectorworks,QGIS,Photoshop,Rhino,Indesign,Illustrator,Twinmotion</t>
  </si>
  <si>
    <t>KPMG  | Intern  | Mumbai  | May 2026 | Jun 2026 | 7.5714285714286 Weeks | Campus Internship
SJK ARCHITECTS | ARCHITECTURAL DESIGN INTERN | MUMBAI | Nov 2023 | Apr 2024 | 22.428571428571 Weeks</t>
  </si>
  <si>
    <t>Architectural Conservation
Building Materials as a Cornerstone to Sustainability
Real Estate Financial Modeling
Foundations of Project Management
Finance for Non-Financial Managers</t>
  </si>
  <si>
    <t>P25700012</t>
  </si>
  <si>
    <t>KRISHNA</t>
  </si>
  <si>
    <t>SACHIN</t>
  </si>
  <si>
    <t>PAREKH</t>
  </si>
  <si>
    <t>Krishna Sachin Parekh</t>
  </si>
  <si>
    <t>krishnasachinparekh@gmail.com</t>
  </si>
  <si>
    <t>p25700012@student.nicmar.ac.in</t>
  </si>
  <si>
    <t>03-May-2003</t>
  </si>
  <si>
    <t>English, Hindi, Marathi, Gujarati</t>
  </si>
  <si>
    <t>3960 4649 8957</t>
  </si>
  <si>
    <t>SACHIN JAYSING PAREKH</t>
  </si>
  <si>
    <t>KETAKI SACHIN PAREKH</t>
  </si>
  <si>
    <t>'Rajyog', Near Chanakyapuri Garden, Chanakyapuri, Vishrambag, Sangli</t>
  </si>
  <si>
    <t>Sangli</t>
  </si>
  <si>
    <t>CITY HIGH SCHOOL, SANGLI</t>
  </si>
  <si>
    <t>SSC BOARD, SANGLI, MAHARASHTRA</t>
  </si>
  <si>
    <t>MGSK GUJARATI HIGH SCHOOL, SANGLI</t>
  </si>
  <si>
    <t>HSC BOARD, SANGLI, MAHARASHTRA</t>
  </si>
  <si>
    <t>SHIVAJI UNIVERSITY, KOLHAPUR</t>
  </si>
  <si>
    <t>WALCHAND COLEGE OF ENGINEERING, SANGLI</t>
  </si>
  <si>
    <t>AutoCAD,MS Office,MS Project,Primavera,Edificius 2D &amp; 3D,RIB COSTX,REVIT</t>
  </si>
  <si>
    <t>S. N. Joshi Consultants Pvt. Ltd. | Trainee Engineer - Plumbing &amp; FF | Pune, Maharashtra | Jun 2024 | Feb 2025 | 0Y 8M | 3.9</t>
  </si>
  <si>
    <t>0 Years 8 Months</t>
  </si>
  <si>
    <t>RITES Limited | Project Management Intern - Highway Division | Gurugram, Harayana | May 2026 | Jul 2026 | 9 Weeks | Campus Internship
USHA CONSTRUCTIONS, BUILDERS &amp; CONTRACTORS | INTERN- SITE SUPERVISOR | SANGLI, MAHARASHTRA | Jun 2023 | Jun 2023 | 4.1428571428571 Weeks
DYNAMIC PRESTRESS  PROJECT &amp; SERVICES PVT. LTD. | INTERN | PUNE, MUMBAI - MAHARASHTRA | Jan 2023 | Jan 2023 | 1.4285714285714 Weeks</t>
  </si>
  <si>
    <t>P25700013</t>
  </si>
  <si>
    <t>SIDDHESH</t>
  </si>
  <si>
    <t>RAI</t>
  </si>
  <si>
    <t>Siddhesh Rai</t>
  </si>
  <si>
    <t>siddheshrai7275@gmail.com</t>
  </si>
  <si>
    <t>p25700013@student.nicmar.ac.in</t>
  </si>
  <si>
    <t>01-Dec-2001</t>
  </si>
  <si>
    <t>ENGLISH , HINDI , FRENCH</t>
  </si>
  <si>
    <t>3607 4678 5140</t>
  </si>
  <si>
    <t>ABHAY RAJ RAI</t>
  </si>
  <si>
    <t>MANJU RAI</t>
  </si>
  <si>
    <t>BUSINESS PROPRIETOR</t>
  </si>
  <si>
    <t>FLAT NO. - B2-204 , 2ND FLOOR , BRAMHACORP TOWNHOUSE , 1/2 PATIL NAGAR , BALEWADI , PUNE</t>
  </si>
  <si>
    <t>House No. 6 , Durga Puri Colony , Eldeco Tiraha , Chinhat , Lucknow</t>
  </si>
  <si>
    <t>Lucknow</t>
  </si>
  <si>
    <t>CENTRAL BOARD OF SECONDARY EDUCATION LUCKNOW , UTTAR PRADESH</t>
  </si>
  <si>
    <t>THREE YEAR DIPLOMA IN CIVIL ENGINEERING</t>
  </si>
  <si>
    <t>HEWETT POLYTECHNIC LUCKNOW , UTTAR PRADESH</t>
  </si>
  <si>
    <t>BHARATI VIDYAPEETH ( DEEMED TO BE UNIVERSITY )</t>
  </si>
  <si>
    <t>BHARATI VIDYAPEETH COLLEGE OF ENGINEERING, PUNE , MAHARASHTRA</t>
  </si>
  <si>
    <t>AutoCAD,MS Office,MS Project,Primavera,ETABS,STAAD.Pro</t>
  </si>
  <si>
    <t>JS MARINE SERVICES PVT LTD | Site Supervisor | Lucknow | Jun 2024 | Jun 2025 | 1Y 0M | 3</t>
  </si>
  <si>
    <t>1 Year 0 Months</t>
  </si>
  <si>
    <t>Goa State Infrastructure Development Corporation Limited ( GSIDC ) | Site Execution / Site Supervision  | Goa | May 2026 | Jul 2026 | 8.7142857142857 Weeks | Campus Internship
Tricon Infra Buildtech Pvt . Ltd | Trainee Intern | Lucknow | Jun 2023 | Aug 2023 | 8.2857142857143 Weeks
Uttar Pradesh Awas Vikas Parishad Lucknow | Trainee Intern | Lucknow | Oct 2020 | Nov 2020 | 4.1428571428571 Weeks</t>
  </si>
  <si>
    <t>P25700014</t>
  </si>
  <si>
    <t>DIWATELWAR</t>
  </si>
  <si>
    <t>SUYASH</t>
  </si>
  <si>
    <t>SATISH</t>
  </si>
  <si>
    <t>Diwatelwar Suyash Satish</t>
  </si>
  <si>
    <t>suyashdiwatelwar@gmail.com</t>
  </si>
  <si>
    <t>p25700014@student.nicmar.ac.in</t>
  </si>
  <si>
    <t>30-Oct-2001</t>
  </si>
  <si>
    <t>Marathi, Hindi and English</t>
  </si>
  <si>
    <t>6140 8923 8718</t>
  </si>
  <si>
    <t>SATISH VASANTRAO DIWATELWAR</t>
  </si>
  <si>
    <t>SUHASINI SATISH DIWATELWAR</t>
  </si>
  <si>
    <t>Plot No 2, Santaji Society, Balpande Layout, Narendra Nagar, Rachna Vatika Road, Near Bajrang Aatta Chakki. Nagpur</t>
  </si>
  <si>
    <t>SOMALWAR NIKALAS HIGH SCHOOL AND JR. COLLEGE NAGPUR</t>
  </si>
  <si>
    <t>MAHARASHTRA STATE BOARD OF SECONDARY AND HIGHER SECONDARY EDUCATION, PUNE (NAGPUR/MAHARASHTRA)</t>
  </si>
  <si>
    <t>SHRI SHIVAJI SCIENCE COLLEGE NAGPUR</t>
  </si>
  <si>
    <t>G H RAISONI INSTITUTE OF ENGINEERING AND TECHNOLOGY, NAGPUR. MAHARASHTRA</t>
  </si>
  <si>
    <t>2024-Jul</t>
  </si>
  <si>
    <t>AutoCAD,MS Office,MS Project,Primavera,Revit,MS Excel</t>
  </si>
  <si>
    <t>MB Infra | Site Engineer | Nagpur | Jul 2024 | Jun 2025 | 0Y 11M | 3.6</t>
  </si>
  <si>
    <t>B. G. SHIRKE CONSTRUCTION TECHNOLOGY PVT. LTD. | Management Trainee | Nagpur | May 2026 | Jul 2026 | 9.7142857142857 Weeks | Campus Internship
MB Infra | Intern | Nagpur | Dec 2023 | Jun 2024 | 25.714285714286 Weeks
Rajkala Developers | Intern | Nagpur | Jun 2023 | Jul 2023 | 4.2857142857143 Weeks
Prefab Concrete Systems | Intern | Umargaon, Umred Road, Nagpur. | Feb 2022 | Feb 2022 | 2 Weeks</t>
  </si>
  <si>
    <t>AUTOCAD (Drafting Engineer)</t>
  </si>
  <si>
    <t>P25700015</t>
  </si>
  <si>
    <t>ANKIT</t>
  </si>
  <si>
    <t>RANJAN</t>
  </si>
  <si>
    <t>Ankit Ranjan</t>
  </si>
  <si>
    <t>ankitranjan413@gmail.com</t>
  </si>
  <si>
    <t>p25700015@student.nicmar.ac.in</t>
  </si>
  <si>
    <t>28-Feb-2001</t>
  </si>
  <si>
    <t>English and Hindi</t>
  </si>
  <si>
    <t>2759 9383 2103</t>
  </si>
  <si>
    <t>OM PRAKASH OJHA</t>
  </si>
  <si>
    <t>GOVERNMENT JOB</t>
  </si>
  <si>
    <t>MAMTA OJHA</t>
  </si>
  <si>
    <t>F-402 Amrapali Princely Estate Sector-76 Noida</t>
  </si>
  <si>
    <t>Gautam Buddha Nagar</t>
  </si>
  <si>
    <t>SARLA CHOPRA DAV PUBLIC SCHOOL</t>
  </si>
  <si>
    <t>CENTRAL BOARD OF SECONDARY EDUCATION,NOIDA</t>
  </si>
  <si>
    <t>DR.A.P.J ABDUL KALAM TECHNICAL UNIVERSITY</t>
  </si>
  <si>
    <t>JSS ACADEMY OF TECHNICAL EDUCATION, NOIDA</t>
  </si>
  <si>
    <t>Prateek Group | trainee engineer | ghaziabad | Jun 2024 | Apr 2025 | 0Y 10M | 2.16</t>
  </si>
  <si>
    <t>Prestige group  | Site execution  | Delhi ncr | May 2026 | Jul 2026 | 8.5714285714286 Weeks | Campus Internship
Municipal Corporation of Delhi | Intern | Delhi | Nov 2021 | Apr 2022 | 25.714285714286 Weeks</t>
  </si>
  <si>
    <t>P25700016</t>
  </si>
  <si>
    <t>VAIBHAV</t>
  </si>
  <si>
    <t>ARJUN</t>
  </si>
  <si>
    <t>BASETWAR</t>
  </si>
  <si>
    <t>Vaibhav Arjun Basetwar</t>
  </si>
  <si>
    <t>basetwarvaibhav@gmail.com</t>
  </si>
  <si>
    <t>p25700016@student.nicmar.ac.in</t>
  </si>
  <si>
    <t>19-May-2002</t>
  </si>
  <si>
    <t>3435 1834 0287</t>
  </si>
  <si>
    <t>Sambhaji Chowk Pandharpur</t>
  </si>
  <si>
    <t>KAVTHEKAR PRASAHALA PANDHARPUR</t>
  </si>
  <si>
    <t>SOLAPUR MAHARASHTRA</t>
  </si>
  <si>
    <t>VIVEK VARDHINI PANDHARPUR</t>
  </si>
  <si>
    <t>AISSMS COLLEGE OF ENGINEERING PUNE</t>
  </si>
  <si>
    <t>2024-Nov</t>
  </si>
  <si>
    <t>MAJESTIC REALTIES | Human Resources Intern [ Operation ] | Kothrud Pune  | May 2026 | Jun 2026 | 7.7142857142857 Weeks | Campus Internship
Tirupati Construction | Site Engineer | Pandharpur | Aug 2024 | Dec 2024 | 17.428571428571 Weeks</t>
  </si>
  <si>
    <t>P25700017</t>
  </si>
  <si>
    <t>SWAPNIL</t>
  </si>
  <si>
    <t>PRASHANT</t>
  </si>
  <si>
    <t>Swapnil Prashant Mane</t>
  </si>
  <si>
    <t>maneswapnil8101@gmail.com</t>
  </si>
  <si>
    <t>p25700017@student.nicmar.ac.in</t>
  </si>
  <si>
    <t>11-Sep-2001</t>
  </si>
  <si>
    <t>7014 2891 4267</t>
  </si>
  <si>
    <t>PRASHANT BABURAO MANE</t>
  </si>
  <si>
    <t>SHUBHANGI PRASHANT MANE</t>
  </si>
  <si>
    <t>Soham Niwas, Deshpande Colony, Ausa Road, Near Pramod Super Market</t>
  </si>
  <si>
    <t>Latur</t>
  </si>
  <si>
    <t>JIJAI NIWAS, ASHOKA SOCIETY ROAD, KALEWADI PHATA, THERGAON, PIMPRI CHINCHWAD</t>
  </si>
  <si>
    <t>SRI SRI RAVISHANKAR VIDYA MANDIR, LATUR</t>
  </si>
  <si>
    <t>DAYANAND SCIENCE COLLEGE, LATUR</t>
  </si>
  <si>
    <t>VISHWAKARMA INSTITUTE OF INFORMATION TECHNOLOGY, PUNE, MAHARASHTRA</t>
  </si>
  <si>
    <t>AutoCAD,MS Office,MS Project,Primavera,IPMS (Integrated Project Management System),CostX,Revit</t>
  </si>
  <si>
    <t>Adani Road Transport Limited | Assistant Manager- Planning &amp; Coordination | Raebareli, Uttar Pradesh | Aug 2023 | Jun 2025 | 1Y 10M | 8.37</t>
  </si>
  <si>
    <t>New Consolidated Construction Company Limited  | Intern- Planning  | Alibag | May 2026 | Jul 2026 | 8.7142857142857 Weeks | Campus Internship
V.M. MATERE INFRASTRUCTURES (INDIA) PVT. LTD. | Site Engineering Intern | Pune | Mar 2023 | May 2023 | 12.142857142857 Weeks</t>
  </si>
  <si>
    <t>MS Project
Autocad Civil</t>
  </si>
  <si>
    <t>P25700018</t>
  </si>
  <si>
    <t>MD ZAID</t>
  </si>
  <si>
    <t>TANWEER</t>
  </si>
  <si>
    <t>JAHAGIRDAR</t>
  </si>
  <si>
    <t>Md Zaid Tanweer Jahagirdar</t>
  </si>
  <si>
    <t>ztj7620@gmail.com</t>
  </si>
  <si>
    <t>p25700018@student.nicmar.ac.in</t>
  </si>
  <si>
    <t>06-Nov-2001</t>
  </si>
  <si>
    <t>ENGLISH, HINDI, MARATHI</t>
  </si>
  <si>
    <t>9776 1155 3658</t>
  </si>
  <si>
    <t>TANWEER JAHAGIRDAR</t>
  </si>
  <si>
    <t>NIKHATARA JAHAGIRDAR</t>
  </si>
  <si>
    <t>Plot No 64, Tangsal Nagar, Asra, Majarewadi, Solapur North, Solapur</t>
  </si>
  <si>
    <t>MODEL PUBLIC SCHOOL, SOLAPUR</t>
  </si>
  <si>
    <t>A. D. JOSHI JUNIOR COLLEGE, SOLAPUR</t>
  </si>
  <si>
    <t>WALCHAND COLLEGE OF ENGINEERING, SANGLI</t>
  </si>
  <si>
    <t>2021-Feb</t>
  </si>
  <si>
    <t>AutoCAD,MS Office,MS Project,MS Excel,Revit,Lumion,ABAQUS- Finite Element Analysis</t>
  </si>
  <si>
    <t>Iconic Engineering Solutions | Trainee Engineer | Solapur | Jun 2024 | Jul 2025 | 1Y 1M | 2.2</t>
  </si>
  <si>
    <t>1 Year 2 Months</t>
  </si>
  <si>
    <t>The Construction House | Structural Designer | Sangli | Jul 2023 | Jul 2023 | 4.2857142857143 Weeks
Unity Multicons Pvt. Ltd. | Site Supervisor | Solapur | Jan 2024 | Apr 2024 | 13.714285714286 Weeks</t>
  </si>
  <si>
    <t>P25700019</t>
  </si>
  <si>
    <t>PRAJYOT</t>
  </si>
  <si>
    <t>PRADIP</t>
  </si>
  <si>
    <t>PATIL</t>
  </si>
  <si>
    <t>Prajyot Pradip Patil</t>
  </si>
  <si>
    <t>prajyotpatil2815@gmail.com</t>
  </si>
  <si>
    <t>p25700019@student.nicmar.ac.in</t>
  </si>
  <si>
    <t>28-Aug-2003</t>
  </si>
  <si>
    <t>ENGLISH,MARATHI,HINDI</t>
  </si>
  <si>
    <t>2958 6975 3100</t>
  </si>
  <si>
    <t>PRADIP RAMCHANDRA PATIL</t>
  </si>
  <si>
    <t>JYOTI PRADIP PATIL</t>
  </si>
  <si>
    <t>ARDARSH NAGAR BEHINDE RTO OFFICE PEN RAIGAD_x000D_
INFRONT OF SAIDEEP BANGLOW</t>
  </si>
  <si>
    <t>PEN EDUCATION SOCIETY ENGLISH MEDIUM SCHOOL, PEN</t>
  </si>
  <si>
    <t>PRIVATE HIGH SCHOOL AND JUNIOR COLLEGE, PEN</t>
  </si>
  <si>
    <t>SARASWATI COLLEGE OF ENGINEERING, KHARGHAR</t>
  </si>
  <si>
    <t>Sobha Realty  | Site Execution  | Bangalore  | May 2026 | Jul 2026 | 9 Weeks | Campus Internship
YOGESHWAR CONSTRUCTION | Site Engineer | PEN | May 2025 | Jul 2025 | 8.5714285714286 Weeks
IMARIKA INFRAPROJECTS | Site Engineer | Airoli, Navi Mumbai | Jan 2023 | Feb 2023 | 4.2857142857143 Weeks</t>
  </si>
  <si>
    <t>Certificate Course in AutoCAD</t>
  </si>
  <si>
    <t>P25700020</t>
  </si>
  <si>
    <t>NIKITHA</t>
  </si>
  <si>
    <t>M B</t>
  </si>
  <si>
    <t>Nikitha M B</t>
  </si>
  <si>
    <t>nikithagowda9399@gmail.com</t>
  </si>
  <si>
    <t>p25700020@student.nicmar.ac.in</t>
  </si>
  <si>
    <t>09-Mar-1999</t>
  </si>
  <si>
    <t>English, Kannada, Hindi</t>
  </si>
  <si>
    <t>2718 4029 1882</t>
  </si>
  <si>
    <t>BASAVARAJU</t>
  </si>
  <si>
    <t>BUSINESS &amp; AGRICULTURE</t>
  </si>
  <si>
    <t>JAYALAKSHIMI M</t>
  </si>
  <si>
    <t>#501 B Block, 2nd Cross, JP Nagar, Mysore</t>
  </si>
  <si>
    <t>Mysore</t>
  </si>
  <si>
    <t>MARIMALLAPPA'S HIGH SCHOOL</t>
  </si>
  <si>
    <t>KARNATAKA SCHOOL EXAMINATION AND ASSESSMENT BOARD, KARNATAKA</t>
  </si>
  <si>
    <t>MARIMALLAPPA'S PU COLLEGE</t>
  </si>
  <si>
    <t>DEPARTMENT OF PRE-UNIVERSITY EDUCATION, KARNATAKA</t>
  </si>
  <si>
    <t>VIDYAVARDHAKA COLLEGE OF ENGINEEERING, MYSORE, KARNATAKA</t>
  </si>
  <si>
    <t>MS Office,MS Project,Primavera,Rivet Achitecture,3ds Max,AutoCAD 2D &amp; 3D, BIM, Stakeholder Management</t>
  </si>
  <si>
    <t>Godrej Properties Ltd | Contracts And Procurement Intern | Godrej Ananda, Bangalore, Karnataka | May 2026 | Jul 2026 | 8.7142857142857 Weeks | Campus Internship
VIVIDHA BUILDERS | QUANTITY SURVEYOR | MYSORE,KARNATAKA | Apr 2023 | Nov 2024 | 86.428571428571 Weeks
G9 Projects | Site Engineer | Mysore,Karnataka | Jul 2019 | Aug 2019 | 4.7142857142857 Weeks</t>
  </si>
  <si>
    <t>P25700021</t>
  </si>
  <si>
    <t>SOUVIK</t>
  </si>
  <si>
    <t>PAUL</t>
  </si>
  <si>
    <t>Souvik Paul</t>
  </si>
  <si>
    <t>souvikpaul9725@gmail.com</t>
  </si>
  <si>
    <t>p25700021@student.nicmar.ac.in</t>
  </si>
  <si>
    <t>07-Jun-2000</t>
  </si>
  <si>
    <t>English, Hindi &amp; Bengali</t>
  </si>
  <si>
    <t>5705 4799 7563</t>
  </si>
  <si>
    <t>SAJAL PAUL</t>
  </si>
  <si>
    <t>PRATIVA PAUL</t>
  </si>
  <si>
    <t>Nangi Chakraborty Para, P.O - Batanagar, Maheshtala, Dist. - South 24 PGS. , Kolkata - 700140</t>
  </si>
  <si>
    <t>South 24 Parganas</t>
  </si>
  <si>
    <t>BALLYGUNGE GOVT. HIGH SCHOOL</t>
  </si>
  <si>
    <t>WEST BENGAL BOARD OF SECONDARY EDUCATION (KOLKATA)</t>
  </si>
  <si>
    <t>2015-Jan</t>
  </si>
  <si>
    <t>WEST BENGAL COUNCIL OF HIGHER SECONDARY EDUCATION (KOLKATA)</t>
  </si>
  <si>
    <t>RAMAKRISHNA MISSION SHILPAPITHA (KOLKATA)</t>
  </si>
  <si>
    <t>MAULANA ABUL KALAM AZAD UNIVERSITY OF TECHNOLOGY</t>
  </si>
  <si>
    <t>MEGHNAD SAHA INSTITUTE OF TECHNOLOGY (KOLKATA)</t>
  </si>
  <si>
    <t>AutoCAD,MS Office,MS Project,Revit</t>
  </si>
  <si>
    <t>Central Public Works Department (CPWD) | Project Intern – Execution &amp; Planning | Barrackpore, Kolkata, West Bengal | May 2026 | Jul 2026 | 9.5714285714286 Weeks | Campus Internship
SIMPLEX INFRASTRUCTURES LIMITED | SITE INTERN | SHUKHOBRISHTI UMIG SITE, NEW TOWN, KOLKATA - 700135 | Jul 2023 | Jul 2023 | 4 Weeks</t>
  </si>
  <si>
    <t>Python And Flask Demonstrations Practice Course
Power BI DAX
Complete Cubase Megacourse
Complete Clip Studio Paint Megacourse
Course on Revit Architecture Essential</t>
  </si>
  <si>
    <t>P25700022</t>
  </si>
  <si>
    <t>AMIT</t>
  </si>
  <si>
    <t>ANSHUMAN</t>
  </si>
  <si>
    <t>PATRA</t>
  </si>
  <si>
    <t>Amit Anshuman Patra</t>
  </si>
  <si>
    <t>chirag98amit@gmail.com</t>
  </si>
  <si>
    <t>p25700022@student.nicmar.ac.in</t>
  </si>
  <si>
    <t>01-Jan-2000</t>
  </si>
  <si>
    <t>3690 9209 9221</t>
  </si>
  <si>
    <t>BIBEKANANDA PATRA</t>
  </si>
  <si>
    <t>ANITA MALLICK</t>
  </si>
  <si>
    <t>HOUSE MAKER</t>
  </si>
  <si>
    <t>PLOT NO-570/2245, BAC HOUSE , LANE 5C_x000D_
SHREE VIHAR, PATIA</t>
  </si>
  <si>
    <t>Bhubaneswar</t>
  </si>
  <si>
    <t>ODM PUBLIC SCHOOL</t>
  </si>
  <si>
    <t>CENTRAL BOARD OF SECONDARY EDUCATION. DELHI</t>
  </si>
  <si>
    <t>KIIT INTERNATIONAL SCHOOL</t>
  </si>
  <si>
    <t>BIJU PATNAIK UNIVERSITY OF TECHNOLOGY, ODISHA</t>
  </si>
  <si>
    <t>INDIRA GANDHI INSTITUTE OF TECHNOLOGY, SARANG, DHENKANAL, ODISHA</t>
  </si>
  <si>
    <t>UNIVERSITY OF MANCHESTER</t>
  </si>
  <si>
    <t>2024-Sep</t>
  </si>
  <si>
    <t>AutoCAD,MS Office,MS Project,Primavera,STADD PRO,ANSYS,LAB VIEW</t>
  </si>
  <si>
    <t>Bharat Heavy Electricals Limited | Site Execution Control | Talcher, Odisha | May 2026 | Jul 2026 | 9.7142857142857 Weeks | Campus Internship
GOVERNMENT OF ODISHA, WORKS DEPARTMENT | AAPRENTICESHIP TRAINEE | BHUBANESWAR | Dec 2022 | Sep 2023 | 39.142857142857 Weeks</t>
  </si>
  <si>
    <t>Post Graduate Diploma in Structural Engineering</t>
  </si>
  <si>
    <t>P25700023</t>
  </si>
  <si>
    <t>JUSTIN</t>
  </si>
  <si>
    <t>JOSEPH</t>
  </si>
  <si>
    <t>Justin Joseph</t>
  </si>
  <si>
    <t>0602justin@gmail.com</t>
  </si>
  <si>
    <t>p25700023@student.nicmar.ac.in</t>
  </si>
  <si>
    <t>25-Jun-2001</t>
  </si>
  <si>
    <t>3612 3170 1274</t>
  </si>
  <si>
    <t>JOSEPH MATHEW</t>
  </si>
  <si>
    <t>MINIMOL THOMAS</t>
  </si>
  <si>
    <t>AYYANKARY THURAVASSERY,CHAMPAKULAM</t>
  </si>
  <si>
    <t>ST.JOSEPH'S HSS PULINCUNNOO KERALA</t>
  </si>
  <si>
    <t>ST.MARY'S HSS CHAMPAKULAM KERALA</t>
  </si>
  <si>
    <t>BOARD OF HIGHER SECONDARY EXAMINATIONS</t>
  </si>
  <si>
    <t>APJ ABDUL KALAM TECHNOLOGICAL UNIVERSITY KERALA</t>
  </si>
  <si>
    <t>SAINTGITS COLLEGE OF ENGINEERING PATHAMUTTOM KOTTAYAM KERALA</t>
  </si>
  <si>
    <t>AutoCAD,MS Office,MS Project,REVIT,BIM</t>
  </si>
  <si>
    <t>TECHNOLOGY AND GOVERNANCE SUPPORT FORUM | PROJECT ENGINEER | Alappuzha | Jun 2024 | Jun 2025 | 1Y 0M | 1.8</t>
  </si>
  <si>
    <t>Cherry Hill Interiors | Site Execution Intern | Chennai | May 2026 | Jul 2026 | 8.5714285714286 Weeks | Campus Internship
J M J DEVELOPERS | CIVIL ENGINEERING INTERN | CHANGANACHERRY | Jul 2023 | May 2024 | 46.714285714286 Weeks</t>
  </si>
  <si>
    <t>BIM Professional Cousre</t>
  </si>
  <si>
    <t>P25700024</t>
  </si>
  <si>
    <t>RAHUL</t>
  </si>
  <si>
    <t>P</t>
  </si>
  <si>
    <t>Rahul P Raju</t>
  </si>
  <si>
    <t>rahulpothiyil@gmail.com</t>
  </si>
  <si>
    <t>p25700024@student.nicmar.ac.in</t>
  </si>
  <si>
    <t>02-Feb-2002</t>
  </si>
  <si>
    <t>English, Malayalam</t>
  </si>
  <si>
    <t>4742 8347 1716</t>
  </si>
  <si>
    <t>RAJU P.M</t>
  </si>
  <si>
    <t>EX-GULF</t>
  </si>
  <si>
    <t>RASMI RAJU</t>
  </si>
  <si>
    <t>Pothiyil House_x000D_
Edathirinji P.O_x000D_
Thrissur_x000D_</t>
  </si>
  <si>
    <t>Thrissur</t>
  </si>
  <si>
    <t>CHRIST VIDYANIKETHAN</t>
  </si>
  <si>
    <t>ICSE</t>
  </si>
  <si>
    <t>S.N.H.S.S</t>
  </si>
  <si>
    <t>STATE</t>
  </si>
  <si>
    <t>CHRIST COLLEGE OF ENGINEERING , IRINJALAKUDA , KERALA</t>
  </si>
  <si>
    <t>AutoCAD,MS Project</t>
  </si>
  <si>
    <t>Uralungal Labour Contract Co-operative Society | Site Execution | Ernakulam | May 2026 | Jul 2026 | 7.7142857142857 Weeks | Campus Internship
LSGD Palakkad | Civil Engineering Intern | Palakkad | May 2023 | May 2023 | 1.1428571428571 Weeks
LSGD Muriyad | Civil Engineering Intern | Muriyad | Mar 2024 | Apr 2024 | 4.4285714285714 Weeks
KSCSTE-NATPAC | TRAFFIC ENGINEERING INTERN | THRISSUR | Feb 2023 | Mar 2023 | 0.14285714285714 Weeks</t>
  </si>
  <si>
    <t>Sketchup and Lumion
AutoCAD</t>
  </si>
  <si>
    <t>P25700026</t>
  </si>
  <si>
    <t>SAHIL</t>
  </si>
  <si>
    <t>SINHA</t>
  </si>
  <si>
    <t>Sahil Kumar Sinha</t>
  </si>
  <si>
    <t>sahilkumarsinha036@gmail.com</t>
  </si>
  <si>
    <t>p25700026@student.nicmar.ac.in</t>
  </si>
  <si>
    <t>22-Mar-2002</t>
  </si>
  <si>
    <t>9555 7148 6852</t>
  </si>
  <si>
    <t>MANOJ KUMAR SINHA</t>
  </si>
  <si>
    <t>RANJU SINHA</t>
  </si>
  <si>
    <t>Flat No 303 Kishundhari Enclave New Punaichak Patna</t>
  </si>
  <si>
    <t>D A V PUBLIC SCHOOL BSEB COLONY PATNA BIHAR</t>
  </si>
  <si>
    <t>CENTRAL BOARD OF SECONDARY EDUCATION PATNA BIHAR</t>
  </si>
  <si>
    <t>VIDYA NIKETAN PO SARAI MANER DANAPUR PATNA BIHAR</t>
  </si>
  <si>
    <t>KIIT UNIVERSITY BHUBANESWAR ODISHA</t>
  </si>
  <si>
    <t>KALINGA INSTITUTE OF INDUSTRIAL TECHNOLOGY BHUBANESWAR ODISHA</t>
  </si>
  <si>
    <t>Convenient Construction Consultancy Pvt Ltd | Planning Intern | Bhubaneswar Odisha | May 2026 | Jul 2026 | 9.7142857142857 Weeks | Campus Internship
SWASTIK INFRALOGICS PVT.LTD | Intern | AURANGABAD BIHAR | May 2023 | Jun 2023 | 4.2857142857143 Weeks
NATIONAL COUNCIL FOR CEMENT AND BUILDING MATERIALS | Intern | BHUBANESWAR ODISHA | Jun 2022 | Jul 2022 | 4.1428571428571 Weeks</t>
  </si>
  <si>
    <t>P25700027</t>
  </si>
  <si>
    <t>ADARSH</t>
  </si>
  <si>
    <t>YAPALPARVI</t>
  </si>
  <si>
    <t>Adarsh Yapalparvi</t>
  </si>
  <si>
    <t>adarsh.01y@gmail.com</t>
  </si>
  <si>
    <t>p25700027@student.nicmar.ac.in</t>
  </si>
  <si>
    <t>27-Sep-2000</t>
  </si>
  <si>
    <t>English, Hindi, Kannada, Telugu</t>
  </si>
  <si>
    <t>8802 5179 6624</t>
  </si>
  <si>
    <t>MANJUNATH</t>
  </si>
  <si>
    <t>LICENSED LAND SURVEYOR</t>
  </si>
  <si>
    <t>SHIVARANJANI</t>
  </si>
  <si>
    <t>S/O MANJUNATH YAPALPARVI_x000D_
NEAR BSNL OFFICE,_x000D_
ABOVE PATANJALI SHOP ,_x000D_
NAVALI ROAD , KARATAGI</t>
  </si>
  <si>
    <t>Koppal</t>
  </si>
  <si>
    <t>S/O Manjunath Yapalparvi, 5th Ward_x000D_
Karatagi, PO: Karatagi</t>
  </si>
  <si>
    <t>SRI VIDYANIKETAN PUBLIC SCHOOL</t>
  </si>
  <si>
    <t>CENTRAL BOARD OF SECONDARY EDUCATION, SRIRAMNAGAR/KARNATAKA</t>
  </si>
  <si>
    <t>ALVAS PRE UNIVERSITY COLLEGE</t>
  </si>
  <si>
    <t>AUTONOMOUS COLLEGE UNDER VISVESYARAYA TECHNOLOGICAL UNIVERSITY</t>
  </si>
  <si>
    <t>B M S COLLEGE OF ENGINEERING BENGALURU/KARNATAKA</t>
  </si>
  <si>
    <t>Shapoorji Pallonji Engineering and Construction | Construction Engineer | Phulbani (Odisha) and Hyderabad | Aug 2023 | Jan 2025 | 1Y 5M | 4.25</t>
  </si>
  <si>
    <t>1 Year 5 Months</t>
  </si>
  <si>
    <t>V.P. KARIKAL Engineer | Project Planning | Ganagavathi | May 2026 | Jul 2026 | 8.7142857142857 Weeks | Campus Internship
Rao Construction and Builders | Trainee | Bengaluru | Sep 2022 | Oct 2022 | 4.2857142857143 Weeks</t>
  </si>
  <si>
    <t>P25700029</t>
  </si>
  <si>
    <t>ELDHO</t>
  </si>
  <si>
    <t>V</t>
  </si>
  <si>
    <t>SLEEBA</t>
  </si>
  <si>
    <t>Eldho V Sleeba</t>
  </si>
  <si>
    <t>eldhovsleeba11@gmail.com</t>
  </si>
  <si>
    <t>p25700029@student.nicmar.ac.in</t>
  </si>
  <si>
    <t>5558 3334 8186</t>
  </si>
  <si>
    <t>SLEEBA V PAUL</t>
  </si>
  <si>
    <t>FARM OFFICER</t>
  </si>
  <si>
    <t>BIJI KURIAKOSE</t>
  </si>
  <si>
    <t>Vakkanampadathil House,_x000D_
Kureekkad P.O, Tripunithura</t>
  </si>
  <si>
    <t>KENDRIYA VIDYALAYA NO 2, NAVAL BASE, KOCHI</t>
  </si>
  <si>
    <t>CENTRAL BOARD OF SECONDARY EDUCATION - ERNAKULAM, KERALA</t>
  </si>
  <si>
    <t>MUTHOOT INSTITUTE OF TECHNOLOGY AND SCIENCE - VARIKOLI, ERNAKULAM, KERALA</t>
  </si>
  <si>
    <t>AutoCAD,MS Office,MS Project,REVIT,ETABS</t>
  </si>
  <si>
    <t>Buildit PMC Pvt Ltd. | Site Engineer | Ernakulam, Kerala | Dec 2022 | Sep 2024 | 1Y 8M | 1.8</t>
  </si>
  <si>
    <t>Cherry Hill Interiors Pvt Ltd | Site Execution - Projects | Bangalore | May 2026 | Jul 2026 | 8.5714285714286 Weeks | Campus Internship</t>
  </si>
  <si>
    <t>Etabs - Structural 3D Analysis
Revit Architecture
Foundations of Project management
Cambridge English Level 1 Certificate in ESOL International (Business Preliminary)</t>
  </si>
  <si>
    <t>P25700030</t>
  </si>
  <si>
    <t>NIHAL</t>
  </si>
  <si>
    <t>ROY</t>
  </si>
  <si>
    <t>Nihal Roy</t>
  </si>
  <si>
    <t>nihalroyhsp@gmail.com</t>
  </si>
  <si>
    <t>p25700030@student.nicmar.ac.in</t>
  </si>
  <si>
    <t>18-Aug-2000</t>
  </si>
  <si>
    <t>ENGLISH, HINDI, PUNJABI</t>
  </si>
  <si>
    <t>6551 4890 8152</t>
  </si>
  <si>
    <t>HARE RAM ROY</t>
  </si>
  <si>
    <t>BABITA KUMARI</t>
  </si>
  <si>
    <t>B-25/380A, Moh- Sunder Nagar, Po- Rahimpur</t>
  </si>
  <si>
    <t>Hoshiarpur</t>
  </si>
  <si>
    <t>ST.JOSEPH'S CONVENT SCHOOL</t>
  </si>
  <si>
    <t>HOSHIARPUR/PUNJAB</t>
  </si>
  <si>
    <t>2009-Apr</t>
  </si>
  <si>
    <t>SDS VIDYA MANDIR</t>
  </si>
  <si>
    <t>SAMASTIPUR/BIHAR</t>
  </si>
  <si>
    <t>PT.JR GOVT. POLYTECHNIC COLLEGE</t>
  </si>
  <si>
    <t>THAPAR INSTITUTE OF ENGINEERING &amp; TECHNOLOGY (DEEMED-TO-BE-UNIVERSITY)</t>
  </si>
  <si>
    <t>THAPAR INSTITUTE OF ENGINEERING AND TECHNOLOGY</t>
  </si>
  <si>
    <t>HR Builder | Intern | Ludhiana | May 2026 | Jul 2026 | 8 Weeks | Campus Internship
Angelica Developers ( A subsidiary of Bharti Realty limited ) | Intern | Aerocity, New Delhi | Jun 2024 | Dec 2024 | 26 Weeks</t>
  </si>
  <si>
    <t>P25700032</t>
  </si>
  <si>
    <t>SAI</t>
  </si>
  <si>
    <t>YEDLA</t>
  </si>
  <si>
    <t>Sai Chand Yedla</t>
  </si>
  <si>
    <t>saichandyedla@gmail.com</t>
  </si>
  <si>
    <t>p25700032@student.nicmar.ac.in</t>
  </si>
  <si>
    <t>30-Aug-2004</t>
  </si>
  <si>
    <t>English, Telugu, and Hindi</t>
  </si>
  <si>
    <t>4538 0362 3480</t>
  </si>
  <si>
    <t>SRINIVASA RAO YEDLA</t>
  </si>
  <si>
    <t>PRIVATE</t>
  </si>
  <si>
    <t>LAVANYA YEDLA</t>
  </si>
  <si>
    <t>36-13-12, KALIMIREDDY VAARI STREET, INNISPETA, RAJAHMUNDRY URBAN, EAST GODAVARI, ANDHRA PRADESH- 533101.</t>
  </si>
  <si>
    <t>East Godavari</t>
  </si>
  <si>
    <t>SRI CHAITANYA TECHNO SCHOOL MORAMPUDI</t>
  </si>
  <si>
    <t>BOARD OF SECONDARY EDUCATION ANDHRA PRADESH</t>
  </si>
  <si>
    <t>PRATHIBHA JUNIOR COLLEGE</t>
  </si>
  <si>
    <t>BOARD OF INTERMEDIATE EDUCATION ANDHRA PRADESH</t>
  </si>
  <si>
    <t>SAGI RAMA KRISHNAM RAJU ENGINEERING COLLEGE</t>
  </si>
  <si>
    <t>AutoCAD,MS Office,MS Project,Primavera,REVIT,CostX</t>
  </si>
  <si>
    <t>Rail India Technical and Economical Services Limited  | Planning Intern | Gurugram  | May 2026 | Jul 2026 | 9.7142857142857 Weeks | Campus Internship
ANDHRA PRADESH POWER GENERATION CORPORATION LIMITED | INTERN | POLAVARAM | Dec 2024 | Apr 2025 | 17.285714285714 Weeks
RASHTRIYA ISPAT NIGAM LIMITED | INTERN | VISAKHAPTNAM | Jul 2024 | Jul 2024 | 3.7142857142857 Weeks
ASCENT CS GLOBAL | INTERN | BHIMAVARAM | Jul 2023 | Sep 2023 | 8.8571428571429 Weeks</t>
  </si>
  <si>
    <t>P25700033</t>
  </si>
  <si>
    <t>HEMANTH</t>
  </si>
  <si>
    <t>GORLE</t>
  </si>
  <si>
    <t>Hemanth Kumar Gorle</t>
  </si>
  <si>
    <t>hemanthkumargorle2003@gmail.com</t>
  </si>
  <si>
    <t>p25700033@student.nicmar.ac.in</t>
  </si>
  <si>
    <t>02-Jul-2003</t>
  </si>
  <si>
    <t>English,Telugu</t>
  </si>
  <si>
    <t>8519 0266 4598</t>
  </si>
  <si>
    <t>GORLE TIRUPATI RAO</t>
  </si>
  <si>
    <t>GORLE VANAJAKSHI</t>
  </si>
  <si>
    <t>Kotta Veedhi_x000D_
Rajagopalapuram_x000D_
Palasa_x000D_
Srikakulam Andhra Pradesh - 532221_x000D_
7093268002</t>
  </si>
  <si>
    <t>Srikakulam</t>
  </si>
  <si>
    <t>SRI CHAITANYA SCHOOL</t>
  </si>
  <si>
    <t>ANDHRA STATE BOARD</t>
  </si>
  <si>
    <t>SRI VISWA JUNIOR COLLEGE</t>
  </si>
  <si>
    <t>GANDHI INSTITUTE OF TECHNOLOGY AND MANAGEMENT</t>
  </si>
  <si>
    <t>GITAM, VISAKHAPATNAM</t>
  </si>
  <si>
    <t>NAVAYUGA ENGINEERING COMPANY LTD. | PROJECT MANAGEMENT INTERN | PUNE | May 2026 | Jul 2026 | 8.7142857142857 Weeks | Campus Internship
SVS Mookambika  constructions pvt ltd | Intern | visakhapatnam | May 2024 | Jun 2024 | 4.5714285714286 Weeks</t>
  </si>
  <si>
    <t>P25700034</t>
  </si>
  <si>
    <t>BHARATH</t>
  </si>
  <si>
    <t>KOYYA</t>
  </si>
  <si>
    <t>Bharath Koyya</t>
  </si>
  <si>
    <t>p25700034@student.nicmar.ac.in</t>
  </si>
  <si>
    <t>09-May-2004</t>
  </si>
  <si>
    <t>English, Hindi, Telugu</t>
  </si>
  <si>
    <t>8038 3840 6926</t>
  </si>
  <si>
    <t>KOYYA APPALANAIDU</t>
  </si>
  <si>
    <t>KOYYA PADMA</t>
  </si>
  <si>
    <t>14-35/2, G. Thimmapuram, Near Vignan World One School, Visakhapatnam, Andhra Pradesh.</t>
  </si>
  <si>
    <t>THE PRESIDENTIAL SCHOOL</t>
  </si>
  <si>
    <t>CBSE, VISAKHAPATNAM</t>
  </si>
  <si>
    <t>RAVI JUNIOR COLLEGE</t>
  </si>
  <si>
    <t>SSC, VISAKHAPATNAM</t>
  </si>
  <si>
    <t>AutoCAD,MS Office,MS Project,Primavera,CostX,Revit</t>
  </si>
  <si>
    <t>Sai Constructions &amp; Electrical Works | Intern | Hyderabad | May 2026 | Jul 2026 | 8.8571428571429 Weeks | Campus Internship
SVS MOOKAMBIKA | INTERN | VISAKHAPATNAM | May 2024 | Jun 2024 | 4.5714285714286 Weeks</t>
  </si>
  <si>
    <t>P25700035</t>
  </si>
  <si>
    <t>AKSHITA</t>
  </si>
  <si>
    <t>ARUN</t>
  </si>
  <si>
    <t>BURANDE</t>
  </si>
  <si>
    <t>Akshita Arun Burande</t>
  </si>
  <si>
    <t>akshitaburande85@gmail.com</t>
  </si>
  <si>
    <t>p25700035@student.nicmar.ac.in</t>
  </si>
  <si>
    <t>17-Jul-2000</t>
  </si>
  <si>
    <t>English, Hindi &amp; Marathi</t>
  </si>
  <si>
    <t>7033 0970 6210</t>
  </si>
  <si>
    <t>ARUN PARASHRAMJI BURANDE</t>
  </si>
  <si>
    <t>ASHA ARUN BURANDE</t>
  </si>
  <si>
    <t>283, Jaidurga Society No.1, Near Vitthal Rukmini Mandir,  Narendra Nagar, Nagpur</t>
  </si>
  <si>
    <t>R.S. MUNDLE ENGLISH SCHOOL</t>
  </si>
  <si>
    <t>SANTAJI MAHAVIDYALAYA</t>
  </si>
  <si>
    <t>SMT. MANORAMABAI MUNDLE COLLEGE OF ARCHITECTURE</t>
  </si>
  <si>
    <t>AutoCAD,MS Office,MS Project,Autodesk Revit,Rhinoceros 3D,Lumion,Sketchup,Photoshop</t>
  </si>
  <si>
    <t>Collective Praxis DPM LLP | Junior Architect | Nagpur | Jun 2024 | Jun 2025 | 0Y 11M | 1.44
SUPPOSE ARCHITECTURE STUDIO | Junior Architect | Nagpur | Oct 2023 | May 2024 | 0Y 7M | 1.2</t>
  </si>
  <si>
    <t>1 Year 7 Months</t>
  </si>
  <si>
    <t>Archi Builders and Developers Pvt. Ltd | Project Management Intern | Nagpur  | May 2026 | Jul 2026 | 8 Weeks | Campus Internship
D.Studio Architects | Intern | Nagpur | Aug 2022 | Oct 2022 | 9 Weeks
Shitesh Agrawal Architects | Intern | Pune | Feb 2022 | Jul 2022 | 25.571428571429 Weeks</t>
  </si>
  <si>
    <t>P25700036</t>
  </si>
  <si>
    <t>NAMITHA</t>
  </si>
  <si>
    <t>SHARAN</t>
  </si>
  <si>
    <t>A</t>
  </si>
  <si>
    <t>Namitha Sharan A</t>
  </si>
  <si>
    <t>namithamba2025@gmail.com</t>
  </si>
  <si>
    <t>p25700036@student.nicmar.ac.in</t>
  </si>
  <si>
    <t>05-May-2004</t>
  </si>
  <si>
    <t>English,Tamil,Hindi</t>
  </si>
  <si>
    <t>7746 8480 1756</t>
  </si>
  <si>
    <t>ALWIN GNANASEHAR.S</t>
  </si>
  <si>
    <t>HEMALATHA.A</t>
  </si>
  <si>
    <t>6/21,7TH,STREET ,NEHRU COLONY,NANGANALLUR,CHENNAI 6000114</t>
  </si>
  <si>
    <t>Chennai</t>
  </si>
  <si>
    <t>PRINCE MATRICULATION HIGHER SECONDARY SCHOOL</t>
  </si>
  <si>
    <t>COLLEGE OF ENGINEERING, GUINDY</t>
  </si>
  <si>
    <t>AutoCAD,MS Office,MS Project,Primavera,Cost X,Revit</t>
  </si>
  <si>
    <t>LARSEN &amp; TOUBRO | INTERN-EDRC DEPARTMENT  | MANAPAKKAM ,CHENNAI,TAMILNADU. | Jun 2024 | Jul 2024 | 4.2857142857143 Weeks</t>
  </si>
  <si>
    <t>Finance for Non-Financial Managers
TBMs,Pile Rigs,Cranes &amp; Hauling Vehicles
Construction Equipment Maintenance &amp; Safety</t>
  </si>
  <si>
    <t>P25700037</t>
  </si>
  <si>
    <t>UTKARSH</t>
  </si>
  <si>
    <t>VILASRAO</t>
  </si>
  <si>
    <t>SATHE</t>
  </si>
  <si>
    <t>Utkarsh Vilasrao Sathe</t>
  </si>
  <si>
    <t>satheutkarsh456@gmail.com</t>
  </si>
  <si>
    <t>p25700037@student.nicmar.ac.in</t>
  </si>
  <si>
    <t>12-Feb-2000</t>
  </si>
  <si>
    <t>7056 5553 1904</t>
  </si>
  <si>
    <t>LABOUR</t>
  </si>
  <si>
    <t>NISHA</t>
  </si>
  <si>
    <t>HOUSE NO.381,WARD NO.12,SUBHASH CHOWK,GOND PLOT.</t>
  </si>
  <si>
    <t>CHANAKYA SCHOOL OF INTELLIGENCE</t>
  </si>
  <si>
    <t>MAHARASHTRA STATE BOARD OF SECONDARY AND HIGHER SECONDARY EDUCATION,WARDHA,MAHARASHTRA</t>
  </si>
  <si>
    <t>SHRI VIDYAVATI DEODIYA VIDYALAYA AND JUNIOR COLLEGE</t>
  </si>
  <si>
    <t>MAHARASHTRA STATE BOARD OF SECONDARY AND HIGHER SECONDARY EDUCATION,NAGPUR</t>
  </si>
  <si>
    <t>DR. BABASAHEB AMBEDKAR TECHNOLOGICAL UNIVERSITY,LONERE</t>
  </si>
  <si>
    <t>BAJAJ INSTITUTE OF TECHNOLOGY,WARDHA,MAHARASHTRA</t>
  </si>
  <si>
    <t>AutoCAD,MS Office,Revit-architecture</t>
  </si>
  <si>
    <t>Suryapriya Construction Pvt. Ltd. | Site Execution, QS+Billing | Bengaluru | May 2026 | Jul 2026 | 8.7142857142857 Weeks | Campus Internship
PWD | TRAINEE EXECUTION ENGINEER | SELOO, WARDHA | Feb 2022 | Jul 2022 | 25.571428571429 Weeks</t>
  </si>
  <si>
    <t>P25700038</t>
  </si>
  <si>
    <t>SANKET</t>
  </si>
  <si>
    <t>KANHERE</t>
  </si>
  <si>
    <t>Sanket Vijay Kanhere</t>
  </si>
  <si>
    <t>sanketkanhere03@gmail.com</t>
  </si>
  <si>
    <t>p25700038@student.nicmar.ac.in</t>
  </si>
  <si>
    <t>22-Feb-2003</t>
  </si>
  <si>
    <t>3298 9198 3819</t>
  </si>
  <si>
    <t>VIJAY KANHERE</t>
  </si>
  <si>
    <t>MAYA KANHERE</t>
  </si>
  <si>
    <t>Plot No. 36 S/E Railway Coloney Pratap Nagar, Nagpur</t>
  </si>
  <si>
    <t>NARAYANA VIDYALAYAM</t>
  </si>
  <si>
    <t>CBSE, NAGPUR/MAHARASHTRA</t>
  </si>
  <si>
    <t>MKH SANCHETI PUBLIC SCHOOL AND COLLEGE</t>
  </si>
  <si>
    <t>STATE BOARD , NAGPUR/MAHARASHTRA</t>
  </si>
  <si>
    <t>YESHWANTRAO CHAVAN COLLEGE OF ENGINEERING, NAGPUR/MAHARASTRA</t>
  </si>
  <si>
    <t>AutoCAD,MS Office,MS Project,Primavera,Revit,Staad Pro</t>
  </si>
  <si>
    <t>Sagar Skyscrapers LLP | Junior Trainee Engineer | Manjri, Pune | May 2026 | Jun 2026 | 7.7142857142857 Weeks | Campus Internship
Siddh Constructions |  Intern- Site Execution | Nagpur  | Jan 2025 | Apr 2025 | 16.714285714286 Weeks</t>
  </si>
  <si>
    <t>P25700039</t>
  </si>
  <si>
    <t>LALNGHAKLIEN</t>
  </si>
  <si>
    <t>CHONZIK</t>
  </si>
  <si>
    <t>Joseph Lalnghaklien Chonzik</t>
  </si>
  <si>
    <t>jojochonzik@gmail.com</t>
  </si>
  <si>
    <t>p25700039@student.nicmar.ac.in</t>
  </si>
  <si>
    <t>30-Nov-1998</t>
  </si>
  <si>
    <t>English, Hindi, Assamese, Hmar</t>
  </si>
  <si>
    <t>7155 1093 1588</t>
  </si>
  <si>
    <t>CHAWNGROLIEN CHONZIK</t>
  </si>
  <si>
    <t>RACHEL CHONZIK</t>
  </si>
  <si>
    <t>3C Nirvana Enclave, Basisthapur Byelane 3, Beltola, Guwahati</t>
  </si>
  <si>
    <t>Kamrup Metropolitan</t>
  </si>
  <si>
    <t>Assam</t>
  </si>
  <si>
    <t>DON BOSCO SCHOOL</t>
  </si>
  <si>
    <t>CENTRAL BOARD OF SECONDARY EDUCATION, GUWAHATI</t>
  </si>
  <si>
    <t>SCHOOL OF PLANNING AND ARCHITECTURE</t>
  </si>
  <si>
    <t>SCHOOL OF PLANNING AND ARCHITECTURE, BHOPAL</t>
  </si>
  <si>
    <t>AutoCAD,MS Office,MS Project,Primavera,Sketchup,Photoshop</t>
  </si>
  <si>
    <t>Myriad Hues | Junior Architect | Bangalore | May 2023 | Oct 2024 | 1Y 4M | 2.16</t>
  </si>
  <si>
    <t>1 Year 4 Months</t>
  </si>
  <si>
    <t>Revespaces | Interior designer | Wakad, Pune | May 2026 | Jul 2026 | 8.7142857142857 Weeks | Campus Internship
Sustainable Organisation for Innovation and Living | Intern architect | Namchi, Sikkim | Jun 2021 | Dec 2021 | 25.857142857143 Weeks</t>
  </si>
  <si>
    <t>P25700041</t>
  </si>
  <si>
    <t>SADICHHA</t>
  </si>
  <si>
    <t>PATTNAIK</t>
  </si>
  <si>
    <t>Sadichha Pattnaik</t>
  </si>
  <si>
    <t>sadichhapattnaik@gmail.com</t>
  </si>
  <si>
    <t>p25700041@student.nicmar.ac.in</t>
  </si>
  <si>
    <t>22-Mar-1998</t>
  </si>
  <si>
    <t>English,Hindi,Odia</t>
  </si>
  <si>
    <t>7504 7167 5175</t>
  </si>
  <si>
    <t>BIBHUTI BHUSAN PATTNAIK</t>
  </si>
  <si>
    <t>SANJU PATTNAIK</t>
  </si>
  <si>
    <t>LECTURER</t>
  </si>
  <si>
    <t>PLOT.NO-317C, Infront Of The Emerald Apartment, Laxmisagar</t>
  </si>
  <si>
    <t>DAV PUBLIC SCHOOL,UNIT-VIII,BHUBANESWAR</t>
  </si>
  <si>
    <t>CENTRAL BOARD OF SECONDARY EDUCATION, BHUBANESWAR,ODISHA</t>
  </si>
  <si>
    <t>BJB JUNIOR COLLEGE, BHUBANESWAR</t>
  </si>
  <si>
    <t>COUNCIL OF HIGHER SECONDARY EDUCATION, BHUBANESWAR, ODISHA</t>
  </si>
  <si>
    <t>2013-Jul</t>
  </si>
  <si>
    <t>VEER SURENDRA SAI UNIVERSITY OF TECHNOLOGY,BURLA</t>
  </si>
  <si>
    <t>M.Tech</t>
  </si>
  <si>
    <t>AutoCAD,MS Office,MS Project,Primavera,STAAD Pro.</t>
  </si>
  <si>
    <t>MINISTRY OF HOUSING AND URBAN AFFAIRS | TULIP INTERN at Bhubaneswar Municipal Corporation | BHUBANESWAR | Feb 2024 | Feb 2025 | 52.142857142857 Weeks
CENTRAL PUBLIC WORKS DEPARTMENT | INTERN | BHUBANESWAR | May 2019 | Jun 2019 | 4.4285714285714 Weeks
Central Tool Room and Training Center | Intern | Bhubaneswar | Jun 2019 | Jun 2019 | 4 Weeks</t>
  </si>
  <si>
    <t>P25700042</t>
  </si>
  <si>
    <t>SANJYOT</t>
  </si>
  <si>
    <t>Sanjyot S</t>
  </si>
  <si>
    <t>sanjyot1215@gmail.com</t>
  </si>
  <si>
    <t>p25700042@student.nicmar.ac.in</t>
  </si>
  <si>
    <t>15-Dec-1999</t>
  </si>
  <si>
    <t>English,Hindi, Marathi</t>
  </si>
  <si>
    <t>9863 6603 3981</t>
  </si>
  <si>
    <t>SOMESHWAR SULGADLE</t>
  </si>
  <si>
    <t>JYOTI SULGADLE</t>
  </si>
  <si>
    <t>Trupti Plot No. 66 Yogi Rajendra Nagar Vijapur Road Solapur</t>
  </si>
  <si>
    <t>SULGADLE SANJYOT SOMESHWAR</t>
  </si>
  <si>
    <t>2005-Jun</t>
  </si>
  <si>
    <t>SRI CHAITANYA JUNIOR KALASALA</t>
  </si>
  <si>
    <t>SOLAPUR UNIVERISTY</t>
  </si>
  <si>
    <t>WALCHAND INSTITUTE OF TECHNOLOGY, SOLAPUR</t>
  </si>
  <si>
    <t>SOLAPUR UNIVERSITY</t>
  </si>
  <si>
    <t>AutoCAD,MS Office,MS Project,Primavera,Staad Pro,ETABS,Navisworks</t>
  </si>
  <si>
    <t>Spec Technical Solutions Pvt Ltd | Trainee Civil Engineer  | Belapur CBD | Apr 2024 | Jun 2025 | 1Y 2M | 2.65</t>
  </si>
  <si>
    <t>Banglore Metro Rail Corporation Limited | Execution | Casting Yard, Bagluru Cross, Yelahanka, Banglore. | May 2026 | Jul 2026 | 8.7142857142857 Weeks | Campus Internship
RAJ UTTARA GROUP | SITE ENGINEER  | DHARASHIV | Apr 2023 | Mar 2024 | 51.571428571429 Weeks</t>
  </si>
  <si>
    <t>P25700043</t>
  </si>
  <si>
    <t>BHAIRAVI</t>
  </si>
  <si>
    <t>DINESH</t>
  </si>
  <si>
    <t>Bhairavi Dinesh Patil</t>
  </si>
  <si>
    <t>bhairavi.d.patil@gmail.com</t>
  </si>
  <si>
    <t>p25700043@student.nicmar.ac.in</t>
  </si>
  <si>
    <t>23-Aug-2001</t>
  </si>
  <si>
    <t>ENGLISH, HINDI, KANNADA, MARATHI</t>
  </si>
  <si>
    <t>2971 2585 9001</t>
  </si>
  <si>
    <t>DINESH V PATIL</t>
  </si>
  <si>
    <t>DEEPA D PATIL</t>
  </si>
  <si>
    <t>'Shri Mataurobindo Krupa', #10 SBI Colony, Keshav Nagar, Dharwad</t>
  </si>
  <si>
    <t>Dharwad</t>
  </si>
  <si>
    <t>SMT. VIDYA P HANCHINMANI</t>
  </si>
  <si>
    <t>GOVERNMENT OF KARNATAKA</t>
  </si>
  <si>
    <t>KLE TECHNOLOGICAL UNIVERSITY</t>
  </si>
  <si>
    <t>KLE TECHNOLOGICAL UNIVERSITY HUBBALLI</t>
  </si>
  <si>
    <t>AutoCAD,MS Office,MS Project,Primavera,Revit,SketchUp,CostX</t>
  </si>
  <si>
    <t>Chandroo Iyer Associates | Junior Architect | Bangalore | Aug 2023 | Oct 2024 | 1Y 2M | 3.06</t>
  </si>
  <si>
    <t>Convergence Property Development Services Pvt. Ltd. | Project Management Intern | Bangalore | May 2026 | Jun 2026 | 7.5714285714286 Weeks | Campus Internship
THINKSPACE ARCHITECTS | ARCHITECTAL INTERN | HUBBALLI | Jan 2022 | May 2022 | 17.714285714286 Weeks</t>
  </si>
  <si>
    <t>P25700044</t>
  </si>
  <si>
    <t>MUKTHAR</t>
  </si>
  <si>
    <t>SAMAD</t>
  </si>
  <si>
    <t>Mukthar A Samad</t>
  </si>
  <si>
    <t>mukthar.samad02@gmail.com</t>
  </si>
  <si>
    <t>p25700044@student.nicmar.ac.in</t>
  </si>
  <si>
    <t>29-Apr-2002</t>
  </si>
  <si>
    <t>English,Malayalam</t>
  </si>
  <si>
    <t>6435 7597 6630</t>
  </si>
  <si>
    <t>C I ABDUL SAMAD</t>
  </si>
  <si>
    <t>SAFIYA SAMAD</t>
  </si>
  <si>
    <t>Fathima Manzil Pallarimangalam PO Pallarimangalam Kothamangalam</t>
  </si>
  <si>
    <t>THE VILLAGE INTERNATIONAL SCHOOL THODUPUZHA</t>
  </si>
  <si>
    <t>A. P. J. ABDUL KALAM TECHNOLOGICAL UNIVERSITY, THIRUVANANTHAPURAM</t>
  </si>
  <si>
    <t>MAR ATHANASIUS COLLEGE OF ENGINEERING KOTHAMANGALAM</t>
  </si>
  <si>
    <t>2020-Oct</t>
  </si>
  <si>
    <t>Econstruct Design &amp; Build Pvt. Ltd. | Summer Intern | Bangalore | May 2026 | Jun 2026 | 8.1428571428571 Weeks | Campus Internship
EKK INFRASTRUCTURE LIMITED | Intern | Chalakudy | May 2023 | May 2023 | 1.4285714285714 Weeks</t>
  </si>
  <si>
    <t>P25700045</t>
  </si>
  <si>
    <t>SANAD</t>
  </si>
  <si>
    <t>SHUAIB</t>
  </si>
  <si>
    <t>Sanad Shuaib</t>
  </si>
  <si>
    <t>sanadpalasseri@gmail.com</t>
  </si>
  <si>
    <t>p25700045@student.nicmar.ac.in</t>
  </si>
  <si>
    <t>03-Nov-2000</t>
  </si>
  <si>
    <t>ENGLISH ,HINDI ,MALAYALAM</t>
  </si>
  <si>
    <t>7861 5655 0668</t>
  </si>
  <si>
    <t>SHUAIB PALASSERI</t>
  </si>
  <si>
    <t>LATHEEFA SHUAIB</t>
  </si>
  <si>
    <t>Fathima Mahal, Manattiparambu, Vengara, P.O. Valiyora Malappuram 676304</t>
  </si>
  <si>
    <t>GULF ASIAN ENGLISH SCHOOL SHARJAH U.A.E</t>
  </si>
  <si>
    <t>CENTRAL BOARD OF SECONDARY EDUCATION ,SHARJAH ,U.A.E</t>
  </si>
  <si>
    <t>A.P.J. ABDUL KALAM TECHNOLOGICAL UNIVERSITY, KERALA</t>
  </si>
  <si>
    <t>MEA ENGINEERING COLLEGE, PERINTHALMANNA, MALAPPURAM, KERALA</t>
  </si>
  <si>
    <t>Bangalore Metro Rail Corporation Ltd. | Site Execution and Site Engineer |  Phase-2B/Package-2 ,Yelahanka ,Bangalore , Karnataka | May 2026 | Jul 2026 | 8.7142857142857 Weeks | Campus Internship</t>
  </si>
  <si>
    <t>AUTOCAD</t>
  </si>
  <si>
    <t>P25700046</t>
  </si>
  <si>
    <t>SWEETY</t>
  </si>
  <si>
    <t>DILIP</t>
  </si>
  <si>
    <t>DALVI</t>
  </si>
  <si>
    <t>Sweety Dilip Dalvi</t>
  </si>
  <si>
    <t>sweetydalvi11@gmail.com</t>
  </si>
  <si>
    <t>p25700046@student.nicmar.ac.in</t>
  </si>
  <si>
    <t>11-Dec-2001</t>
  </si>
  <si>
    <t>3925 4251 9174</t>
  </si>
  <si>
    <t>DILIP DALVI</t>
  </si>
  <si>
    <t>SUNITA DALVI</t>
  </si>
  <si>
    <t>HOUSE-WIFE</t>
  </si>
  <si>
    <t>Sr. No. 56/5, Samarth Nagar, Near Old Kharadi Jakat Naka, Kharadi</t>
  </si>
  <si>
    <t>ST. FRANCIS DE SALES HIGH SCHOOL</t>
  </si>
  <si>
    <t>PUNE, MAHARASHTRA</t>
  </si>
  <si>
    <t>CUSROW WADIA INSTITUTE OF TECHNOLOGY, PUNE, MAHARASHTRA</t>
  </si>
  <si>
    <t>DHOLE PATIL COLLEGE OF ENGINEERING, PUNE, MAHARASHTRA</t>
  </si>
  <si>
    <t>iResearch Services | Associate | Pune | Jul 2023 | Jun 2025 | 1Y 10M | 5.3</t>
  </si>
  <si>
    <t>Wani Projects and Infra Pvt. Ltd. | Project Planning Intern | Pune, Maharashtra | May 2026 | Jun 2026 | 8.1428571428571 Weeks | Campus Internship
Guru Construction | Intern | Pune | May 2022 | Jun 2022 | 4.4285714285714 Weeks</t>
  </si>
  <si>
    <t>P25700048</t>
  </si>
  <si>
    <t>Sachin Yadav</t>
  </si>
  <si>
    <t>sachinyadav6777@gmail.com</t>
  </si>
  <si>
    <t>p25700048@student.nicmar.ac.in</t>
  </si>
  <si>
    <t>01-Nov-2001</t>
  </si>
  <si>
    <t>O-ve</t>
  </si>
  <si>
    <t>6318 4287 4504</t>
  </si>
  <si>
    <t>SUKHBIR SINGH</t>
  </si>
  <si>
    <t>ARMY</t>
  </si>
  <si>
    <t>POONAM DEVI</t>
  </si>
  <si>
    <t>124,LEHRODA,NARNAUL,MAHENDRAGARH,HARYANA(123001)</t>
  </si>
  <si>
    <t>Mahendragarh</t>
  </si>
  <si>
    <t>ARMY PUBLIC SCHOOL UDHAMPUR J&amp;K</t>
  </si>
  <si>
    <t>M R PUB SCH VILL. MITTERPURA DT MOHINDERGARH HRY</t>
  </si>
  <si>
    <t>NIMS UNIVERSITY RAJASTHAN</t>
  </si>
  <si>
    <t>AutoCAD,MS Office,MS Project,Primavera,REVIT</t>
  </si>
  <si>
    <t>DLF Home Developers Limited  | Planning and Execution | GURUGRAM | May 2026 | Jul 2026 | 8 Weeks | Campus Internship
DLF Limited | INTERN | GURUGRAM | Jun 2023 | Jul 2023 | 4.4285714285714 Weeks
KRISHNA BUILDESTATES PVT LTD | JUNIOR ENGINEER  | GURUGRAM | Apr 2025 | Jun 2025 | 10 Weeks
ULTRATECH | ASSISTANT CHEMIST | PUNE | Jan 2025 | Feb 2025 | 5.1428571428571 Weeks</t>
  </si>
  <si>
    <t>P25700049</t>
  </si>
  <si>
    <t>CHANDRALIKA</t>
  </si>
  <si>
    <t>BORAH</t>
  </si>
  <si>
    <t>Chandralika Borah</t>
  </si>
  <si>
    <t>chandralika2001@gmail.com</t>
  </si>
  <si>
    <t>p25700049@student.nicmar.ac.in</t>
  </si>
  <si>
    <t>20-Oct-2001</t>
  </si>
  <si>
    <t>ENGLISH,HINDI,ASSAMESE</t>
  </si>
  <si>
    <t>9116 7055 3856</t>
  </si>
  <si>
    <t>PUTUL KUMAR BORAH</t>
  </si>
  <si>
    <t>SWAPNALI BORAH</t>
  </si>
  <si>
    <t>B.O.C GATE, LANE NO. 3_x000D_
P.O DULIAJAN, DIST DIBRUGARH_x000D_
ASSAM</t>
  </si>
  <si>
    <t>Dibrugarh</t>
  </si>
  <si>
    <t>DELHI PUBLIC SCHOOL,DULIAJAN</t>
  </si>
  <si>
    <t>CENTRAL BOARD OF SECONDARY EDUCATION,DELHI</t>
  </si>
  <si>
    <t>ASSAM SCIENCE AND TECHNOLOGY UNIVERSITY</t>
  </si>
  <si>
    <t>GIRIJANANDA CHOWDHURY INSTITUTE OF MANAGEMENT AND TECHNOLOGY,AZARA</t>
  </si>
  <si>
    <t xml:space="preserve">AutoCAD,MS Office,MS Project, Primavera </t>
  </si>
  <si>
    <t>Shilpkar Construction Private Limited  | Project Planning and Management Intern  | DELHI-NCR | May 2026 | Jun 2026 | 8.1428571428571 Weeks | Campus Internship
OIL INDIA LIMITED, DULIAJAN | CIVIL ENGINEERING | DULIAJAN,ASSAM | Aug 2022 | Sep 2022 | 3.5714285714286 Weeks</t>
  </si>
  <si>
    <t>P25700050</t>
  </si>
  <si>
    <t>DIVYANGI</t>
  </si>
  <si>
    <t>GAUR</t>
  </si>
  <si>
    <t>Divyangi Gaur</t>
  </si>
  <si>
    <t>divyangigaur2000@gmail.com</t>
  </si>
  <si>
    <t>p25700050@student.nicmar.ac.in</t>
  </si>
  <si>
    <t>28-May-2000</t>
  </si>
  <si>
    <t>HINDI AND ENGLISH</t>
  </si>
  <si>
    <t>6856 6515 9949</t>
  </si>
  <si>
    <t>SAMEER GAUR</t>
  </si>
  <si>
    <t>KAMINI GAUR</t>
  </si>
  <si>
    <t>B5/217, Deluxe Apartment Vasundhara Enclave, New Delhi -96</t>
  </si>
  <si>
    <t>East Delhi</t>
  </si>
  <si>
    <t>VISHWA BHARATI PUBLIC SCHOOL</t>
  </si>
  <si>
    <t>CENTRAL BOARD OF SECONDARY EDUCATION , NOIDA/ UTTAR PRADESH</t>
  </si>
  <si>
    <t>INTEGRAL UNIVERSITY, LUCKNOW</t>
  </si>
  <si>
    <t>FACULTY OF ARCHITECTURE, PLANNING AND DESIGN, INTEGRAL UNIVERSITY, LUCKNOW</t>
  </si>
  <si>
    <t>AutoCAD,MS Excel,Sketchup,Autodesk Revit,MS Power Point,Photoshop,Lumion, MSP, Primavera, Navisworks, CostX</t>
  </si>
  <si>
    <t>Oasis Design Inc | Architect | New Delhi | Oct 2023 | Jun 2025 | 1Y 8M | 4.2</t>
  </si>
  <si>
    <t>Cushman &amp; Wakefield  | Internship | Gurgaon | May 2026 | Jul 2026 | 8.7142857142857 Weeks | Campus Internship
Edifice Consultants Pvt. Ltd. | Intern | Mumbai | Feb 2022 | May 2022 | 15.428571428571 Weeks</t>
  </si>
  <si>
    <t>Council of Architecture, Certificate of Registration</t>
  </si>
  <si>
    <t>P25700051</t>
  </si>
  <si>
    <t>SANJAYKUMAR</t>
  </si>
  <si>
    <t>KOKANE</t>
  </si>
  <si>
    <t>Vaishnavi Sanjaykumar Kokane</t>
  </si>
  <si>
    <t>vaishnavikokanevk@gmail.com</t>
  </si>
  <si>
    <t>p25700051@student.nicmar.ac.in</t>
  </si>
  <si>
    <t>13-Aug-2002</t>
  </si>
  <si>
    <t>5435 8671 7688</t>
  </si>
  <si>
    <t>SANJAYKUMAR KOKANE</t>
  </si>
  <si>
    <t>EXECUTIVE ENGINEER PWD</t>
  </si>
  <si>
    <t>JYOTI KOKANE</t>
  </si>
  <si>
    <t>604, The Status, Opp. CCM, Forest Colony, Parijat Nagar, Untwadi, Nashik, 422008</t>
  </si>
  <si>
    <t>SANJIVANI ACADEMY</t>
  </si>
  <si>
    <t>CBSE MAHARASHTRA</t>
  </si>
  <si>
    <t>SANJIVANI POLYTECHNIC, KOPARGAON, MAHARASHTRA</t>
  </si>
  <si>
    <t>MIT WORLD PEACE UNIVERSITY, PUNE</t>
  </si>
  <si>
    <t xml:space="preserve">Primavera P6, MS Project, Excel, AutoCAD, Revit, NavisWorks, CostX </t>
  </si>
  <si>
    <t>Masin Projects Private Limited | Intern - Delay  | Gurgaon | May 2026 | Jul 2026 | 8.7142857142857 Weeks | Campus Internship
PWD | Intern  | Ratnagiri | Aug 2024 | Jun 2025 | 43.142857142857 Weeks</t>
  </si>
  <si>
    <t>Digitalisation Tools for Sustainable and Resilient Infrastructure System, organised by IIT Jodhpur â€“ Technology, Innovation &amp; Start-up Centre.
Finance for Non-Financial Managers.
Microsoft Excel:Beginner to Advanced in animation 2025 + AI</t>
  </si>
  <si>
    <t>P25700052</t>
  </si>
  <si>
    <t>TUSHAR</t>
  </si>
  <si>
    <t>BARATE</t>
  </si>
  <si>
    <t>Tushar Barate</t>
  </si>
  <si>
    <t>tbarate641@gmail.com</t>
  </si>
  <si>
    <t>p25700052@student.nicmar.ac.in</t>
  </si>
  <si>
    <t>12-Nov-2000</t>
  </si>
  <si>
    <t>9295 1785 7805</t>
  </si>
  <si>
    <t>BHAUSAHEB</t>
  </si>
  <si>
    <t>MIRABAI</t>
  </si>
  <si>
    <t>At Waghapur , Post- Kotul , Tal- Akole, Dist- Ahmednagar</t>
  </si>
  <si>
    <t>MOTHER MARY ENGLISH HIGH SCHOOL</t>
  </si>
  <si>
    <t>DR DEVENDRA AMRUTLAL OHARA JUNIOR COLLEGE</t>
  </si>
  <si>
    <t>DY PATIL COLLEGE OF ENGINEERING AKURDI, PUNE</t>
  </si>
  <si>
    <t>AutoCAD,MS Office,REVIT Architecture,Staad Pro</t>
  </si>
  <si>
    <t>JAGTAP INFRAVENTURES INDIA Pvt.Ltd | Site Engineer | kolhar, Tal-Rahuri, Dist- Ahmednagar | Sep 2023 | May 2025 | 1Y 8M | 3</t>
  </si>
  <si>
    <t>R.K. CONSTRUCTION Civil Engg &amp; Contractor | Intern | Sangli | Jan 2022 | Feb 2022 | 4.4285714285714 Weeks</t>
  </si>
  <si>
    <t>P25700054</t>
  </si>
  <si>
    <t>TEJAS</t>
  </si>
  <si>
    <t>JANARDHAN</t>
  </si>
  <si>
    <t>PADKONDE</t>
  </si>
  <si>
    <t>Tejas Janardhan Padkonde</t>
  </si>
  <si>
    <t>tejasjp2001@gmail.com</t>
  </si>
  <si>
    <t>p25700054@student.nicmar.ac.in</t>
  </si>
  <si>
    <t>10-Nov-2001</t>
  </si>
  <si>
    <t>English, Hindi, Marathi, Arabic</t>
  </si>
  <si>
    <t>6395 1503 8710</t>
  </si>
  <si>
    <t>RANI</t>
  </si>
  <si>
    <t>Bright Parl Apartment,Desai Nagar, Latur,Maharashtra</t>
  </si>
  <si>
    <t>INDIAN SCHOOL MULADHA</t>
  </si>
  <si>
    <t>CENTRAL BOARD OF SECONDARY EDUCATION/ MULADHA/SULTANATE OF OMAN</t>
  </si>
  <si>
    <t>PURANMAL LAHOTI GOVERNMENT POLYTECHNIC ,LATUR, MAHARASHTRA</t>
  </si>
  <si>
    <t>BRACT'S, VISHWAKARMA INSTITUTE OF INFORMATION TECHNOLOGY, PUNE, MAHARASHTRA</t>
  </si>
  <si>
    <t>2025-may</t>
  </si>
  <si>
    <t>AutoCAD,MS Office,MS Project,Primavera,SKETCH-UP,Auto level</t>
  </si>
  <si>
    <t>GRANT THORTRN BHARAT  | Transformation consultant-Digi govt intern | PUNE | May 2026 | Jul 2026 | 6.1428571428571 Weeks | Campus Internship
SDS SURVEYORS AND ENGINEERS PVT LTD | TRAINEE  | Office No. 12, 2nd Floor, PS Angan Society, Magarpatta South Gate, Hadapsar Pune | Jan 2025 | May 2025 | 20 Weeks</t>
  </si>
  <si>
    <t>P25700055</t>
  </si>
  <si>
    <t>MANIDEEP</t>
  </si>
  <si>
    <t>BASA</t>
  </si>
  <si>
    <t>Manideep Basa</t>
  </si>
  <si>
    <t>basamanideep45@gmail.com</t>
  </si>
  <si>
    <t>p25700055@student.nicmar.ac.in</t>
  </si>
  <si>
    <t>24-Jul-2003</t>
  </si>
  <si>
    <t>ENGLISH, TELUGU, HINDI</t>
  </si>
  <si>
    <t>2794 7250 2516</t>
  </si>
  <si>
    <t>PAVAN KUMAR</t>
  </si>
  <si>
    <t>GOVT.EMPLOYEE</t>
  </si>
  <si>
    <t>SHOBHA RANI</t>
  </si>
  <si>
    <t>9-6-70, RAMNAGAR, KARIMNAGAR, 505001</t>
  </si>
  <si>
    <t>Karimnagar</t>
  </si>
  <si>
    <t>MILLENNIUM HIGH SCHOOL</t>
  </si>
  <si>
    <t>HANUMAKONDA, WARANGAL, TELANGANA</t>
  </si>
  <si>
    <t>GOVENMENT POLYTECHNIC, HUSNABAD(636), HUSNABAD, SIDDIPET</t>
  </si>
  <si>
    <t>SREENIDHI INSTITUTE OF SCIENCE AND TECHNOLOGY, YAMNAMPET, GHATKESHAR, HYDERABAD</t>
  </si>
  <si>
    <t>2022-Oct</t>
  </si>
  <si>
    <t>AutoCAD,MS Office,MS Project,REVIT</t>
  </si>
  <si>
    <t>Bhate and Raje Construction Co.Pvt.Ltd | QA/QC Intern | Navi Mumbai,Airoli | May 2026 | Jul 2026 | 8.5714285714286 Weeks | Campus Internship</t>
  </si>
  <si>
    <t>NPTEL German-1 Online Course</t>
  </si>
  <si>
    <t>P25700056</t>
  </si>
  <si>
    <t>PRITHVI</t>
  </si>
  <si>
    <t>ANANTHA</t>
  </si>
  <si>
    <t>AKIRI</t>
  </si>
  <si>
    <t>Prithvi Anantha Akiri</t>
  </si>
  <si>
    <t>rprithvi552@gmail.com</t>
  </si>
  <si>
    <t>p25700056@student.nicmar.ac.in</t>
  </si>
  <si>
    <t>10-Apr-1999</t>
  </si>
  <si>
    <t>6636 7652 5887</t>
  </si>
  <si>
    <t>AKIRI CHAKRADHAR</t>
  </si>
  <si>
    <t>AKIRI SWARNALATHA</t>
  </si>
  <si>
    <t>Dhanush Enclave FF3 Beside Y2K Park Srilakshmi Nagar_x000D_
Sujatha Nagar Visakhapatnam 530051</t>
  </si>
  <si>
    <t>LITTLE ROCK INDIAN SCHOOL</t>
  </si>
  <si>
    <t>KARNATAKA</t>
  </si>
  <si>
    <t>ANDHRA PRADESH</t>
  </si>
  <si>
    <t>PRIST UNIVERSITY</t>
  </si>
  <si>
    <t>PRIST UNIVERSITY, THANJAVUR</t>
  </si>
  <si>
    <t>Megha Engineering and Infrastructure Limited | Graduate Engineer Trainee | Kasaragod, Kerala | Jan 2023 | Jan 2024 | 0Y 11M | 2.24
Vishwa Samudra Engineering Pvt Ltd | Junior Engineer | Kollam, Kerala | Feb 2024 | Sep 2024 | 0Y 6M | 4.15
Rithwik Projects Pvt Ltd | Engineer | Navi Mumbai, Maharashtra  | Oct 2024 | Jul 2025 | 0Y 8M | 4.2</t>
  </si>
  <si>
    <t>2 Years 3 Months</t>
  </si>
  <si>
    <t>Jyoti Structures Limited | Intern | Bhuj, Gujarat | May 2026 | Jul 2026 | 8.7142857142857 Weeks | Campus Internship</t>
  </si>
  <si>
    <t>P25700057</t>
  </si>
  <si>
    <t>DHARSHAN</t>
  </si>
  <si>
    <t>R</t>
  </si>
  <si>
    <t>Dharshan R</t>
  </si>
  <si>
    <t>rd8610373247@gmail.com</t>
  </si>
  <si>
    <t>p25700057@student.nicmar.ac.in</t>
  </si>
  <si>
    <t>11-Sep-2003</t>
  </si>
  <si>
    <t>Tamil, Telugu, English</t>
  </si>
  <si>
    <t>5097 9251 8036</t>
  </si>
  <si>
    <t>S RAJENDRAN</t>
  </si>
  <si>
    <t>GOVERNMENT STAFF</t>
  </si>
  <si>
    <t>R MAHALAKSHMI</t>
  </si>
  <si>
    <t>2/1580, J, VELAMMAL NAGAR, SIVAKASI.</t>
  </si>
  <si>
    <t>Virudhunagar</t>
  </si>
  <si>
    <t>SRI SHENBAGA VINAYAGAR MATRIC HR. SEC. SCHOOL</t>
  </si>
  <si>
    <t>STATE BOARD, TAMILNADU</t>
  </si>
  <si>
    <t>ANNA UNIVERSITY, CHENNAI.</t>
  </si>
  <si>
    <t>R.M.K. ENGINEERING COLLEGE, KAVARAIPETTAI, THIRUVALLUR DISTRICT, TAMILNADU.</t>
  </si>
  <si>
    <t>Sobha Limited  | Planning Intern  | Bengaluru | May 2026 | Jul 2026 | 9 Weeks | Campus Internship
Sri Maaligaa Constructions | Site Supervision  | Sivakasi | Jul 2023 | Jul 2023 | 4.1428571428571 Weeks</t>
  </si>
  <si>
    <t>P25700058</t>
  </si>
  <si>
    <t>ANUSHKA</t>
  </si>
  <si>
    <t>JADHAV</t>
  </si>
  <si>
    <t>Anushka Vishnu Jadhav</t>
  </si>
  <si>
    <t>rujutajadhav25@gmail.com</t>
  </si>
  <si>
    <t>p25700058@student.nicmar.ac.in</t>
  </si>
  <si>
    <t>25-Dec-2002</t>
  </si>
  <si>
    <t>Marathi, Hindi,English</t>
  </si>
  <si>
    <t>6990 6090 6399</t>
  </si>
  <si>
    <t>VISHNU JADHAV</t>
  </si>
  <si>
    <t>ARUNA JADHAV</t>
  </si>
  <si>
    <t>Block No-9,Plot No-71,Hari Om Darshan Chs ,_x000D_
Gandhinagar Dombivli East</t>
  </si>
  <si>
    <t>TILAK NAGAR VIDYA MANDIR</t>
  </si>
  <si>
    <t>MAHARASHTRA STATE OF BOARD OF SECONDARY AND HIGHER SECONDARY EDUCATION PUNE</t>
  </si>
  <si>
    <t>GOVERNMENT POLYTECHNIC THANE</t>
  </si>
  <si>
    <t>2022-Mar</t>
  </si>
  <si>
    <t>SHIVAJI UNIVERSITY</t>
  </si>
  <si>
    <t>DEPARMENT OF TECHNOLOGY ,KOLHAPUR</t>
  </si>
  <si>
    <t>2022-Nov</t>
  </si>
  <si>
    <t>Godrej Properties  | Operation Department  | Godrej Horizon Wadala  | Jun 2026 | Jul 2026 | 4.2857142857143 Weeks | Campus Internship</t>
  </si>
  <si>
    <t>P25700059</t>
  </si>
  <si>
    <t>ROHIT</t>
  </si>
  <si>
    <t>LOKHANDE</t>
  </si>
  <si>
    <t>Rohit Arjun Lokhande</t>
  </si>
  <si>
    <t>rohitlokhande183@gmail.com</t>
  </si>
  <si>
    <t>p25700059@student.nicmar.ac.in</t>
  </si>
  <si>
    <t>08-Feb-2002</t>
  </si>
  <si>
    <t>5888 7116 3867</t>
  </si>
  <si>
    <t>ARCHANA</t>
  </si>
  <si>
    <t>VEDANT SOCIETY B, FLAT NO 8, GUNJALWADI, SANGAMNER, AHILYANAGAR,MAHARSHTRA.</t>
  </si>
  <si>
    <t>Mali Galli, Shevgaon</t>
  </si>
  <si>
    <t>DR. B.G. DERE ENGLISH MEDIUM SCHOOL, SANGAMNER</t>
  </si>
  <si>
    <t>STATE BOARD OF MAHARASHTRA, MAHARASHTRA</t>
  </si>
  <si>
    <t>DR. D.A. OHRA JUNIOR COLLEGE, SANGAMNER</t>
  </si>
  <si>
    <t>SAVITRIBAI PHULE PUNE UNIVERSITY, PUNE</t>
  </si>
  <si>
    <t>AMRUTVAHINI COLLEGE OF ENGINEERING, SANGAMNER, MAHARASHTRA</t>
  </si>
  <si>
    <t>AutoCAD,MS Office,MS Project,Primavera,MSExcel</t>
  </si>
  <si>
    <t>Plansquare Procon Private Limited | Planning Engineer | Nashik | Aug 2024 | Jul 2025 | 0Y 11M | 1.8</t>
  </si>
  <si>
    <t>Masin Projects Private Limited | Summer Intern - Delay/Quantum | Navi Mumbai | May 2026 | Jul 2026 | 8.7142857142857 Weeks | Campus Internship
ARL Enterprises | Construction Site Supervisor | Nilwande Dam, Akole, Ahilyanagar Maharashtra. | Jan 2024 | Mar 2024 | 12.857142857143 Weeks</t>
  </si>
  <si>
    <t>Primavera P6 Professional Project Management</t>
  </si>
  <si>
    <t>P25700060</t>
  </si>
  <si>
    <t>D SREE</t>
  </si>
  <si>
    <t>BALAJI</t>
  </si>
  <si>
    <t>D Sree Balaji</t>
  </si>
  <si>
    <t>sreebalajidommadi@gmail.com</t>
  </si>
  <si>
    <t>p25700060@student.nicmar.ac.in</t>
  </si>
  <si>
    <t>29-Dec-2001</t>
  </si>
  <si>
    <t>English, Telugu, Hindi, Tamil</t>
  </si>
  <si>
    <t>8649 3251 5377</t>
  </si>
  <si>
    <t>D PURUSHOTHAM REDDY</t>
  </si>
  <si>
    <t>D GUNA SUNDARI</t>
  </si>
  <si>
    <t>7-32, SESACHALAPURAM (V), MAPAKSHI PART</t>
  </si>
  <si>
    <t>Chittoor</t>
  </si>
  <si>
    <t>KESHAVAREDDY EM HS</t>
  </si>
  <si>
    <t>BOARD OF SECONDARY EDUCATION CHITTOOR/ANDHRA PRADESH</t>
  </si>
  <si>
    <t>SRI VIVEKANANDA JUNIOR COLLEGE</t>
  </si>
  <si>
    <t>BOARD OF INTERMEDIATE EDUCATION CHITTOOR/ANDHRA PRADESH</t>
  </si>
  <si>
    <t>PERI INSTITUTE OF TECHNOLOGY CHENNAI/TAMIL NADU</t>
  </si>
  <si>
    <t>AutoCAD,MS Office,MS Project,Primavera,STAAD PRO</t>
  </si>
  <si>
    <t>MA CONSULTING SERVICES PVT. LTD | Graduate Engineer Trainee | HYDERABAD | Jun 2024 | Jun 2025 | 1Y 0M | 3.38</t>
  </si>
  <si>
    <t>TRUBOARD PARTNERS | Asset Managment | Mumbai | May 2026 | Jun 2026 | 8.1428571428571 Weeks | Campus Internship
MA CONSULTING SERVICES PVT LTD. | INTERN | HYDERABAD,TELANGANA | Jan 2024 | May 2024 | 21.142857142857 Weeks</t>
  </si>
  <si>
    <t>P25700061</t>
  </si>
  <si>
    <t>GOWDA M R</t>
  </si>
  <si>
    <t>Rahul Gowda M R</t>
  </si>
  <si>
    <t>armrg15@gmail.com</t>
  </si>
  <si>
    <t>p25700061@student.nicmar.ac.in</t>
  </si>
  <si>
    <t>15-Dec-2002</t>
  </si>
  <si>
    <t>Kannada ,English ,Hindi</t>
  </si>
  <si>
    <t>8212 0477 6115</t>
  </si>
  <si>
    <t>M.RANGANATH</t>
  </si>
  <si>
    <t>SAVITHA DEVI .T</t>
  </si>
  <si>
    <t>#214/55,Sri Ranga Nilaya ,Shantinagar, Arshinakunte ,Nelamangala ,Bangalore Rural-562123</t>
  </si>
  <si>
    <t>Bangalore Rural</t>
  </si>
  <si>
    <t>ST MARY'S HIGH SCHOOL</t>
  </si>
  <si>
    <t>KARNATAKA SECONDARY EDUCATION EXAMINATION BOARD</t>
  </si>
  <si>
    <t>VIDYA MANDIR INDEPENDENT PU COLLEGE</t>
  </si>
  <si>
    <t>DEPARTMENT OF PRE-UNIVERSITY EDUCATION, BANGALORE.</t>
  </si>
  <si>
    <t>VISVESVARAYA TECHNOLOGICAL UNIVERSITY ,BELAGAVI ,KARNATAKA</t>
  </si>
  <si>
    <t>SJB SCHOOL OF ARCHITECTURE AND PLANNING ,BANGALORE</t>
  </si>
  <si>
    <t>AutoCAD,Sketchup,Lumion,Enscape,Photoshop,Revit,VN,D5,Ms office,Ms Projects,Primavera,Costx</t>
  </si>
  <si>
    <t>STAR INFRATECH | Civil Engineering Intern | TUMAKURU | May 2026 | Jul 2026 | 9.2857142857143 Weeks | Campus Internship
SDEG | ARCHITECTURE | BENGALURU | Dec 2024 | Apr 2025 | 17.428571428571 Weeks</t>
  </si>
  <si>
    <t>UDL Photoshop Masterclass
Designing for Greater Efficiency</t>
  </si>
  <si>
    <t>P25700063</t>
  </si>
  <si>
    <t>POONAM</t>
  </si>
  <si>
    <t>PURSHOTTAM</t>
  </si>
  <si>
    <t>KANADE</t>
  </si>
  <si>
    <t>Poonam Purshottam Kanade</t>
  </si>
  <si>
    <t>poonampkn95@gmail.com</t>
  </si>
  <si>
    <t>p25700063@student.nicmar.ac.in</t>
  </si>
  <si>
    <t>ENGLISH, MARATHI(MT), HINDI</t>
  </si>
  <si>
    <t>3220 1623 8737</t>
  </si>
  <si>
    <t>SHIVAJI</t>
  </si>
  <si>
    <t>.</t>
  </si>
  <si>
    <t>JAYASHREE</t>
  </si>
  <si>
    <t>4,37 DEEPAK APPARTMENT 75/D TARDEO ROAD MUMBAI 400034</t>
  </si>
  <si>
    <t>K.S.L.R SHINDE HIGHSCHOOL ARNYESHWAR PUNE 411009</t>
  </si>
  <si>
    <t>GOVERNMENT POLYTECHNIC MUMBAI</t>
  </si>
  <si>
    <t>2010-Aug</t>
  </si>
  <si>
    <t>2014-Jan</t>
  </si>
  <si>
    <t>MUMBAI UNIVERCITY</t>
  </si>
  <si>
    <t>VIDYAVARDHINIS COLLEGE OF ENGINEERING AND TECHNOLOGY</t>
  </si>
  <si>
    <t>AutoCAD,MS Office,SAP PP</t>
  </si>
  <si>
    <t>MCON RASAYAN PVT LTD | ASSISTANT TECHNICAL MANAGER | MUMBAI | Aug 2019 | Jan 2023 | 3Y 4M | 2.4
NEURAL SECURE SERVICES PVT LTD | ACCOUNT MANAGER SPECIAL ACCOUNTS | MUMBAI | Feb 2023 | May 2025 | 2Y 3M | 7.2</t>
  </si>
  <si>
    <t>5 Years 8 Months</t>
  </si>
  <si>
    <t>P25700064</t>
  </si>
  <si>
    <t>TANUSH</t>
  </si>
  <si>
    <t>KUNDAN</t>
  </si>
  <si>
    <t>GANDHI</t>
  </si>
  <si>
    <t>Tanush Kundan Gandhi</t>
  </si>
  <si>
    <t>tanushgandhi1@gmail.com</t>
  </si>
  <si>
    <t>p25700064@student.nicmar.ac.in</t>
  </si>
  <si>
    <t>12-Oct-2003</t>
  </si>
  <si>
    <t>8517 7523 8468</t>
  </si>
  <si>
    <t>HARSHALI</t>
  </si>
  <si>
    <t>699/1 Plot No.34/37 Vishwakarma Housing Society , Chile Colony , Jawahar Nagar , Kolhapur.</t>
  </si>
  <si>
    <t>Kolhapur</t>
  </si>
  <si>
    <t>TAVANAPPA PATNE HIGH SCHOOL</t>
  </si>
  <si>
    <t>GOVERNMENT POLYTECHNIC KOLHAPUR</t>
  </si>
  <si>
    <t>KOLHAPUR INSTITUTE OF TECHNOLOGY'S COLLEGE OF ENGINEERING, KOLHAPUR</t>
  </si>
  <si>
    <t>Padam Interiors | Intern | Mumbai | May 2026 | Jul 2026 | 8.7142857142857 Weeks | Campus Internship
SAMVARDHAN ENVIRO PROJECTS | INTERN | KOLHAPUR | Feb 2025 | Apr 2025 | 8.4285714285714 Weeks</t>
  </si>
  <si>
    <t>P25700065</t>
  </si>
  <si>
    <t>SUSHIN</t>
  </si>
  <si>
    <t>J</t>
  </si>
  <si>
    <t>Sushin J</t>
  </si>
  <si>
    <t>sushinjerald@gmail.com</t>
  </si>
  <si>
    <t>p25700065@student.nicmar.ac.in</t>
  </si>
  <si>
    <t>15-Apr-2002</t>
  </si>
  <si>
    <t>ENGLISH TAMIL HINDI</t>
  </si>
  <si>
    <t>9366 8720 6851</t>
  </si>
  <si>
    <t>P JERALD</t>
  </si>
  <si>
    <t>EX SERVICEMEN</t>
  </si>
  <si>
    <t>J RESILINA</t>
  </si>
  <si>
    <t>NO 4 8TH STREET JYOTHI NAGAR CARSHED COMPLEX POWERLINE ROAD ANNANUR</t>
  </si>
  <si>
    <t>Tiruvallur</t>
  </si>
  <si>
    <t>VELAMMAL VIDHYASHRAM SURAPET</t>
  </si>
  <si>
    <t>VELAMMAL VIDHYASHRAM SURAPET CHENNAI TAMILNADU</t>
  </si>
  <si>
    <t>RAJALAKSHMI ENGINEERINGCOLLEGE</t>
  </si>
  <si>
    <t>Colliers International (India) Property Services Private Limited | Trainee | Chennai | Jul 2023 | Aug 2023 | 2.1428571428571 Weeks</t>
  </si>
  <si>
    <t>P25700066</t>
  </si>
  <si>
    <t>SWAGAT</t>
  </si>
  <si>
    <t>BHANJA DEO</t>
  </si>
  <si>
    <t>Swagat Kumar Bhanja Deo</t>
  </si>
  <si>
    <t>swagatbhanjadeo@gmail.com</t>
  </si>
  <si>
    <t>p25700066@student.nicmar.ac.in</t>
  </si>
  <si>
    <t>30-Aug-2000</t>
  </si>
  <si>
    <t>English, Hindi and Odia</t>
  </si>
  <si>
    <t>A-ve</t>
  </si>
  <si>
    <t>4550 8544 9895</t>
  </si>
  <si>
    <t>SATYANARAYAN BHANJADEO</t>
  </si>
  <si>
    <t>GOVERNMENT SECTOR</t>
  </si>
  <si>
    <t>M BHARATEE</t>
  </si>
  <si>
    <t>Sambhunagar Pada, Block 2, East Lane 03, Bhawanipatna</t>
  </si>
  <si>
    <t>Kalahandi</t>
  </si>
  <si>
    <t>VIMALA CONVENT SCHOOL</t>
  </si>
  <si>
    <t>INDIAN CERTIFICATE OF SECONDARY EDUCATION / BHAWANIPATNA, ODISHA</t>
  </si>
  <si>
    <t>2006-May</t>
  </si>
  <si>
    <t>GOURI SHANKAR RESIDENTIAL ENGLISH MEDIUM SCHOOL</t>
  </si>
  <si>
    <t>CENTRAL BOARD OF SECONDARY EDUCATION, BHUBANESWAR, ODISHA</t>
  </si>
  <si>
    <t>SIKSHA 'O' ANUSANDHAN</t>
  </si>
  <si>
    <t>INSTITUTE OF TECHNICAL EDUCATION AND RESEARCH, BHUBANESWAR, ODISHA</t>
  </si>
  <si>
    <t>AutoCAD,MS Office,MS Project,STAAD.Pro</t>
  </si>
  <si>
    <t>Convenient Construction Consultancy Private Limited | Site Execution and Control Intern | Bhubaneswar | May 2026 | Jul 2026 | 9.7142857142857 Weeks | Campus Internship</t>
  </si>
  <si>
    <t>AutoCAD (Civil)
Finance for Non-Financial Managers</t>
  </si>
  <si>
    <t>P25700067</t>
  </si>
  <si>
    <t>DHARAMTHOK</t>
  </si>
  <si>
    <t>Sanket Raju Dharamthok</t>
  </si>
  <si>
    <t>dharamthoksanket@gmail.com</t>
  </si>
  <si>
    <t>p25700067@student.nicmar.ac.in</t>
  </si>
  <si>
    <t>17-Nov-1999</t>
  </si>
  <si>
    <t>8229 9683 9399</t>
  </si>
  <si>
    <t>RAJASHREE</t>
  </si>
  <si>
    <t>NARAHARI NAGAR BEHIND TAPAR HOSTEL RAJAPETH AMRAVATI</t>
  </si>
  <si>
    <t>MANIBAI GUJRATHI ENGLISH HIGH SCHOOL</t>
  </si>
  <si>
    <t>MAHARASHTRA STATE BOARD OF SECONDARY AND HIGHER SECONDARY EDUCATION,PUNE,MAHARASHTRA</t>
  </si>
  <si>
    <t>SHRI SHIVAJI SCIENCE COLLEGE</t>
  </si>
  <si>
    <t>SIPNA COLLEGE OF ENGINEERING AND TECHNOLOGY/AMRAVATI/MAHARASHTRA</t>
  </si>
  <si>
    <t>AutoCAD,MS Office,MS Project,REVIT,NAVISWORKS</t>
  </si>
  <si>
    <t>AASHI SOLUTIONS PVT. LTD. | TRAINEE ENGINEER  | PUNE | May 2024 | Jun 2025 | 1Y 1M | 2.37</t>
  </si>
  <si>
    <t>Basil Decor LLP  | Project Management Intern | Pune | May 2026 | Jul 2026 | 9.2857142857143 Weeks | Campus Internship
BLUEPRINTS DESIGN CONSULTING SERVICES PVT. LTD. | BIM INTERN | PUNE | Sep 2023 | Dec 2023 | 12.714285714286 Weeks
CIVIL (Engg) CAD CENTRE | CIVIL ENGINEERING INTERN | AMRAVATI | Jun 2019 | Jul 2019 | 6.5714285714286 Weeks</t>
  </si>
  <si>
    <t>BIM PROFESSIONAL COURSE
AUTODESK CERTIFIED USER "REVIT FOR ARCHITECTURE"
AUTOCAD</t>
  </si>
  <si>
    <t>P25700068</t>
  </si>
  <si>
    <t>SUDHARSHAN</t>
  </si>
  <si>
    <t>Sudharshan V</t>
  </si>
  <si>
    <t>sudharshanvenkat007@gmail.com</t>
  </si>
  <si>
    <t>p25700068@student.nicmar.ac.in</t>
  </si>
  <si>
    <t>07-Oct-2003</t>
  </si>
  <si>
    <t>Tamil, English</t>
  </si>
  <si>
    <t>5999 1755 2021</t>
  </si>
  <si>
    <t>VENKATACHALAPATHY R</t>
  </si>
  <si>
    <t>CIVIL ENGINEER &amp; PROPRIETOR</t>
  </si>
  <si>
    <t>PARAMESHWARI</t>
  </si>
  <si>
    <t>24, 2nd Cross, Nehru Nagar, Thengaithittu, Mudaliyarpet</t>
  </si>
  <si>
    <t>Puducherry</t>
  </si>
  <si>
    <t>PETIT SEMINARE HIGHER SECONDARY SCHOOL</t>
  </si>
  <si>
    <t>TAMIL NADU BOARD OF SECONDARY EDUCATION,  PUDUCHERRY</t>
  </si>
  <si>
    <t>VELLORE INSTITUTE OF TECHNOLOGY , VELLORE</t>
  </si>
  <si>
    <t>AutoCAD, MS Office, MS Project, Primavera, arcGIS,  Revit</t>
  </si>
  <si>
    <t>Larsen &amp; Toubro | Project Management intern | Chennai  | May 2026 | Jul 2026 | 8.7142857142857 Weeks | Campus Internship
Chennai Metro Rail Limited | Civil Engineering Trainee | Chennai | Aug 2023 | Sep 2023 | 4.2857142857143 Weeks</t>
  </si>
  <si>
    <t>KPMG Lean Six Sigma Green Belt</t>
  </si>
  <si>
    <t>P25700069</t>
  </si>
  <si>
    <t>VIKRAM</t>
  </si>
  <si>
    <t>Atul Vikram Singh</t>
  </si>
  <si>
    <t>atulofficial7395@gmail.com</t>
  </si>
  <si>
    <t>p25700069@student.nicmar.ac.in</t>
  </si>
  <si>
    <t>05-Sep-2002</t>
  </si>
  <si>
    <t>English , Hindi</t>
  </si>
  <si>
    <t>7459 1075 0370</t>
  </si>
  <si>
    <t>MANISH KUMAR SINGH</t>
  </si>
  <si>
    <t>CLERK</t>
  </si>
  <si>
    <t>REEMA SINGH</t>
  </si>
  <si>
    <t>NEW COLONY MISHRAULIYA RAUZA GHAZIPUR</t>
  </si>
  <si>
    <t>Vill- Bharatpur , Post- Gadaipur</t>
  </si>
  <si>
    <t>MAHATAMA JYOTI RAO PHULE PUBLIC SCHOOL GHAZIPUR</t>
  </si>
  <si>
    <t>CENTRAL BOARD OF SECONDARY EDUCATION  GHAZIPUR</t>
  </si>
  <si>
    <t>DR. A.P.J. ABDUL KALAM TECHNICAL UNIVERSITY UP</t>
  </si>
  <si>
    <t>SHRI RAM SWAROOP MEMORIAL COLLEGE OF ENGG. AND MANAGEMENT , LUCKNOW</t>
  </si>
  <si>
    <t>DEE VEE PROJECTS LIMITED | JR ENGINEER | SGTBSGMC , PANJUPUR YAMUNA NAGAR HARYANA | Feb 2025 | Jun 2025 | 0Y 4M | 1.68</t>
  </si>
  <si>
    <t>0 Years 4 Months</t>
  </si>
  <si>
    <t>Sobha Ltd. | Project Management Intern | Gurugram | May 2026 | Jul 2026 | 9 Weeks | Campus Internship
UTTAR PRADESH JAL NIGAM | TRAINEE | GOMTI NAGAR LUCKNOW | Jun 2022 | Jul 2022 | 4.1428571428571 Weeks</t>
  </si>
  <si>
    <t>AutoCad</t>
  </si>
  <si>
    <t>P25700070</t>
  </si>
  <si>
    <t>ABHISHEK</t>
  </si>
  <si>
    <t>SHINDE</t>
  </si>
  <si>
    <t>Abhishek Sanjay Shinde</t>
  </si>
  <si>
    <t>01abhinicmar@gmail.com</t>
  </si>
  <si>
    <t>p25700070@student.nicmar.ac.in</t>
  </si>
  <si>
    <t>21-May-2001</t>
  </si>
  <si>
    <t>6544 1747 0620</t>
  </si>
  <si>
    <t>SANJAY SHINDE</t>
  </si>
  <si>
    <t>PRAMILA SHINDE</t>
  </si>
  <si>
    <t>Akola Naka, Kata Road, Behind Dr. Aahale Hospital, Washim</t>
  </si>
  <si>
    <t>Washim</t>
  </si>
  <si>
    <t>LIONS VIDYA NIKETAN, WASHIM</t>
  </si>
  <si>
    <t>MAHARASHTRA STATE BOARD, WASHIM</t>
  </si>
  <si>
    <t>GOVERNMENT POLYTECHNIC WASHIM.</t>
  </si>
  <si>
    <t>2017-Oct</t>
  </si>
  <si>
    <t>D. Y. PATIL COLLEGE OF ENGINEERING, AKURDI, PUNE.</t>
  </si>
  <si>
    <t>AutoCAD, MS Office, MS Project, Primavera, STAAD Pro Connect  Edition  (Beginner), STAAD  Foundation (Beginner), MSCIT Certification, Revit (BIM)</t>
  </si>
  <si>
    <t>Maruti Suzuki Arena, Wonder Cars Pvt. Ltd. | Relationship Manager  | Pimpri, Pune | Dec 2024 | Feb 2025 | 0Y 2M | 2.16
Knest Aluform Pvt. Ltd | Design Engineer  | Pimpri, Pune | Jul 2023 | Nov 2023 | 0Y 4M | 3</t>
  </si>
  <si>
    <t>0 Years 7 Months</t>
  </si>
  <si>
    <t>Ernst &amp; Young LLP | Business Risk Consultant | Mumbai - Dadar  | May 2026 | Jul 2026 | 8.2857142857143 Weeks | Campus Internship
SHARANGDHAR ASSOCIATES | CONSTRUCTIONÂ ENGINEERINGÂ INTERNÂ (OFFICEÂ &amp;Â SITE) | WASHIM | Nov 2020 | May 2021 | 28.428571428571 Weeks
UNIQUE CONTRACTS PVT. LTD. | SITE ENGINEER  | AKURDI, PUNE | Feb 2025 | Jul 2025 | 20 Weeks</t>
  </si>
  <si>
    <t>Business Analysis Foundation
Finance for Non-Financial Managers, Emory University
Oracle Primavera P6 Professional Project Management
AI Usage and Data - Driven Thinking by Harvard Business Impact 
EY Artificial Intelligence – Applied AI – Bronze Learning (2026) badge</t>
  </si>
  <si>
    <t>P25700071</t>
  </si>
  <si>
    <t>NAKULAN</t>
  </si>
  <si>
    <t>Nakulan A</t>
  </si>
  <si>
    <t>nakulan.ar@outlook.com</t>
  </si>
  <si>
    <t>p25700071@student.nicmar.ac.in</t>
  </si>
  <si>
    <t>31-Dec-2002</t>
  </si>
  <si>
    <t>TAMIL, ENGLISH</t>
  </si>
  <si>
    <t>5794 1218 7398</t>
  </si>
  <si>
    <t>M ARUNACHALAM</t>
  </si>
  <si>
    <t>BUISNESS</t>
  </si>
  <si>
    <t>S RUBA GAYATHRI</t>
  </si>
  <si>
    <t>3/86, Gandhi Nagar,_x000D_
Malaipalayam Road Opp Bank Of Baroda,_x000D_
Senjerimalai</t>
  </si>
  <si>
    <t>Coimbatore</t>
  </si>
  <si>
    <t>BVM GLOBAL @ KARPAGAM CAMPUS</t>
  </si>
  <si>
    <t>CENTRAL BOARD OF SECONDARY EDUCATION, COIMBATORE, TAMIL NADU</t>
  </si>
  <si>
    <t>VIDHYA NIKETAN PUBLIC SCHOOL</t>
  </si>
  <si>
    <t>PSG COLLEGE OF TECHNOLOGY, COIMBATORE, TAMIL NADU</t>
  </si>
  <si>
    <t>AutoCAD,MS Office,MS Project,Primavera,STADD Pro</t>
  </si>
  <si>
    <t>J Kumar Infraprojects LTD. | Management Intern | Chennai | May 2026 | Jul 2026 | 9.7142857142857 Weeks | Campus Internship</t>
  </si>
  <si>
    <t>Pavement Construction Technology
Finance for Non-Financial Managers</t>
  </si>
  <si>
    <t>P25700072</t>
  </si>
  <si>
    <t>NIRMAL</t>
  </si>
  <si>
    <t>BHARADWAJ</t>
  </si>
  <si>
    <t>Nirmal Bharadwaj</t>
  </si>
  <si>
    <t>bharadwajnirmal@gmail.com</t>
  </si>
  <si>
    <t>p25700072@student.nicmar.ac.in</t>
  </si>
  <si>
    <t>10-Apr-1994</t>
  </si>
  <si>
    <t>8926 9319 0264</t>
  </si>
  <si>
    <t>GOVIND PRASAD</t>
  </si>
  <si>
    <t>PVT CONTRACT JOB</t>
  </si>
  <si>
    <t>SUNITA SHARMA</t>
  </si>
  <si>
    <t>KRISHNA COLONY, NEAR YADAV HOTEL_x000D_
BARI ROAD, DHOLPUR</t>
  </si>
  <si>
    <t>Dholpur</t>
  </si>
  <si>
    <t>JAWAHAR NAVODAYA VIDHALAYA, DHOLPUR</t>
  </si>
  <si>
    <t>CENTRAL BOARD OF SECONDARY EDUCATION NEW DELHI</t>
  </si>
  <si>
    <t>2007-Apr</t>
  </si>
  <si>
    <t>2008-May</t>
  </si>
  <si>
    <t>SANATAN DHARM SHIKSHA SADAN SR SEC SCHOOL DHOLPUR</t>
  </si>
  <si>
    <t>BOARD OF SECONDARY EDUCATION RAJASTHAN</t>
  </si>
  <si>
    <t>DR. A.P.J. ABDUL KALAM TECHNICAL UNIVERSITY, LUCKNOW, U.P.</t>
  </si>
  <si>
    <t>KAMLA NEHRU INSTITUTE OF TECHNOLOGY, SULTANPUR (U.P.)</t>
  </si>
  <si>
    <t>AutoCAD,MS Office,MS Project,Primavera,Basic SAP/ERP,CostX,BIM,Revit,Candy,Staad Pro,MX Roads,Power BI,Key Account Management (B2B),BOQ Formulation &amp; Costing,Material &amp; Vendor Due Diligence,Construction Chemicals &amp; Waterproofing Specifications</t>
  </si>
  <si>
    <t>Ansal Properties &amp; Infrastructure Limited | Project Engineer (Civil) | Ajmer-Rajasthan | Jun 2015 | Nov 2016 | 1Y 5M | 4
National Highways Infrastructure Development Corporation Limited (outsourced contract) | Graduate Engineer (Gr-II) | New Delhi | Nov 2016 | Nov 2019 | 3Y 0M | 7.2
Civil Mantra Infracon Private Limited | Design Engineer Highway &amp; Tunnel | Gurugram-Haryana | Dec 2019 | Dec 2020 | 1Y 0M | 8.4
National Highways Infrastructure Development Corporation Limited (outsourced contract) | Manager (Project) | Leh-Ladakh | Dec 2020 | Sep 2022 | 1Y 9M | 14
Bigzen Developers Private Limited | Project Manager (Civil) | Gurugram-Haryana | Oct 2022 | Dec 2024 | 2Y 2M | 20</t>
  </si>
  <si>
    <t>9 Years 6 Months</t>
  </si>
  <si>
    <t>Chuan Lim Engineering Pte Ltd (CLE) | Advanced Construction Management (ACM) Intern | Singapore | May 2026 | Jul 2026 | 8.8571428571429 Weeks | Campus Internship
PNC-TRG (JV) | Trainee | Dholpur | Jun 2014 | Jul 2014 | 4.1428571428571 Weeks
PNC-TRG (JV) | Trainee | Dholpur | Jun 2013 | Jun 2013 | 3.8571428571429 Weeks</t>
  </si>
  <si>
    <t>ONE YEAR ADVANCED DIPLOMA IN DRAFTING, NEGOTIATION AND  ENFORCEMENT OF CONTRACTS
AI Foundations for Business Professionals by Said Business School (Oxford University)
Introduction to Model Context Protocol &amp; Advance Course by Anthropic AI
Retrieval Augmented Generation (RAG)- by Deeplearning.AI
Lean Six Sigma-Green Belt (KPMG)
Indian Green Building Council-Accredited  Professional
International Business by The University of New Mexico
Operations Management by IESE Business School, University of Navarra
Building Smarter: BIM in Practice by L&amp;T Edutech
Construction Management full course series-Columbia University</t>
  </si>
  <si>
    <t>P25700073</t>
  </si>
  <si>
    <t>DASHRATH</t>
  </si>
  <si>
    <t>DHUMAL</t>
  </si>
  <si>
    <t>Vaibhav Dashrath Dhumal</t>
  </si>
  <si>
    <t>vaibhavdhumal100@gmail.com</t>
  </si>
  <si>
    <t>p25700073@student.nicmar.ac.in</t>
  </si>
  <si>
    <t>13-Jan-2003</t>
  </si>
  <si>
    <t>MARATHI, HINDI, ENGLISH</t>
  </si>
  <si>
    <t>3832 4063 5382</t>
  </si>
  <si>
    <t>SEEMA</t>
  </si>
  <si>
    <t>12/701, Vijay Park, Kasarvadavali, Ghodbunder Road, Thane (west), Maharashtra- 400615.</t>
  </si>
  <si>
    <t>PAWAR PUBLIC SCHOOL, BHANDUP (W), MUMBAI</t>
  </si>
  <si>
    <t>CHANDRABHAN SHARMA JUNIOR COLLEGE OF SCIENCE AND COMMERCE, POWAI, MUMBAI</t>
  </si>
  <si>
    <t>JAGDALE INFRASTRUCTURE PRIVATE LIMITED | INTERN | THANE | Jun 2023 | Jul 2023 | 4.2857142857143 Weeks</t>
  </si>
  <si>
    <t>P25700074</t>
  </si>
  <si>
    <t>MD KASHIF</t>
  </si>
  <si>
    <t>NADEEM</t>
  </si>
  <si>
    <t>Md Kashif Nadeem</t>
  </si>
  <si>
    <t>nadeem.kashif1011@gmail.com</t>
  </si>
  <si>
    <t>p25700074@student.nicmar.ac.in</t>
  </si>
  <si>
    <t>11-Oct-1993</t>
  </si>
  <si>
    <t>ENGLISH,HINDI,URDU</t>
  </si>
  <si>
    <t>6456 2595 4396</t>
  </si>
  <si>
    <t>MD WAKEEL AHMAD ANSARI</t>
  </si>
  <si>
    <t>RETIRED GOVERNMENT PRINCIPAL</t>
  </si>
  <si>
    <t>AZMATI KHATOON</t>
  </si>
  <si>
    <t>FLAT NO-304, ASSISTANT PROFESSOR APARTMENT, GOVERNMENT ENGINEERING COLLEGE, NAWADA, NEAR BUDHAUL BUS STAND, DIST-NAWADA, BIHAR</t>
  </si>
  <si>
    <t>Nawada</t>
  </si>
  <si>
    <t>HARRAKH COLONY, WARD NO-12, INFRONT OF KABRISTAN MAIN GATE, DIST-BEGUSARAI, BIHAR</t>
  </si>
  <si>
    <t>Begusarai</t>
  </si>
  <si>
    <t>ST.PAUL'S SCHOOL, BEGUSARAI</t>
  </si>
  <si>
    <t>INDIAN CERTIFICATE OF SECONDARY EDUCATION EXAMINATION, NEW DELHI</t>
  </si>
  <si>
    <t>2009-May</t>
  </si>
  <si>
    <t>RAMMOHAN ROY SEMINARY +2, PATNA</t>
  </si>
  <si>
    <t>BIHAR SCHOOL EXAMINATION BOARD, PATNA</t>
  </si>
  <si>
    <t>RAJIV GANDHI PROUDYOGIKI VISHWAVIDYALAYA, BHOPAL</t>
  </si>
  <si>
    <t>JAI NARAIN COLLEGE OF TECHNOLOGY &amp; SCIENCE, BHOPAL</t>
  </si>
  <si>
    <t>2019-Dec</t>
  </si>
  <si>
    <t>AutoCAD,MS Office,MS Project,Primavera, Revit &amp; Navisworks (BIM Basic),Civil 3D,CostX</t>
  </si>
  <si>
    <t>GOVERNMENT ENGINEERING COLLEGE, NAWADA | ASSISTANT PROFESSOR | NAWADA | May 2021 | Nov 2022 | 1Y 6M | 6</t>
  </si>
  <si>
    <t>VSL INDIA PRIVATE LTD | Project Intern | PATNA | May 2026 | Jul 2026 | 8.7142857142857 Weeks | Campus Internship
CSIR- CENTRAL ROAD RESEARCH INSTITUTE | POST GRADUATE RESEARCH SCHOLAR | NEW DELHI | Dec 2018 | Dec 2019 | 51.857142857143 Weeks
NATIONAL HIGHWAY AUTHORITY OF INDIA | Industrial Training | Muzzafarpur | Jun 2015 | Jun 2015 | 2.5714285714286 Weeks</t>
  </si>
  <si>
    <t>Application of Primavera Software
Ethics in Engineering Practice by NPTEL
Project Admin (Scholar) by digiQC
Construction Equipment Maintenance &amp; Safety  by L&amp;T EduTech</t>
  </si>
  <si>
    <t>P25700075</t>
  </si>
  <si>
    <t>Ashutosh Yadav</t>
  </si>
  <si>
    <t>ashudev955@gmail.com</t>
  </si>
  <si>
    <t>p25700075@student.nicmar.ac.in</t>
  </si>
  <si>
    <t>22-Aug-2002</t>
  </si>
  <si>
    <t>9818 1176 8755</t>
  </si>
  <si>
    <t>RAM BILASH SINGH YADAV</t>
  </si>
  <si>
    <t>ASSISTANT GENERAL MANAGER</t>
  </si>
  <si>
    <t>SUSHILA YADAV</t>
  </si>
  <si>
    <t>PHULLANPUR,SHIV NAGAR COLONY,GHAZIPUR,UTTAR PRADESH-233001</t>
  </si>
  <si>
    <t>Vill-Devkhatiya,PO:Belwa Urf Rasulpur,DIST:Ghazipur,Uttar Pradesh-233305</t>
  </si>
  <si>
    <t>DR A I MEMO SUNBEAM SCHOOL ROHANIA VARANASI UP</t>
  </si>
  <si>
    <t>CENTRAL BOARD OF SECONDARY EDUCATION /UTTAR PRADESH</t>
  </si>
  <si>
    <t>CHANDIGARH UNIVERSITY MOHALI/PUNJAB</t>
  </si>
  <si>
    <t>AutoCAD,MS Office,MS Project,Primavera,PLAXIS 3D,STAAD.Pro,Abaqus,REVIT</t>
  </si>
  <si>
    <t>Arvind Technocrats &amp; Engineers LLP | internship trainee | BELGAUM  | Jun 2023 | Jul 2023 | 6.1428571428571 Weeks</t>
  </si>
  <si>
    <t>P25700076</t>
  </si>
  <si>
    <t>RAKHONDE</t>
  </si>
  <si>
    <t>Tejas Anil Rakhonde</t>
  </si>
  <si>
    <t>tejasrakhonde@gmail.com</t>
  </si>
  <si>
    <t>p25700076@student.nicmar.ac.in</t>
  </si>
  <si>
    <t>14-May-2000</t>
  </si>
  <si>
    <t>4868 5582 7489</t>
  </si>
  <si>
    <t>772, Khadse Nagar, Sancheti Plot, Nandura, Dist- Buldhana, Maharashtra Pin - 443404.</t>
  </si>
  <si>
    <t>SCHOOL OF SCHOLARS, AKOLA</t>
  </si>
  <si>
    <t>GOVERNMENT COLLEGE OF ENGINEERING, YAVATMAL</t>
  </si>
  <si>
    <t>SINDHIKAR ENGINEERS, JALGAON | SITE CIVIL ENGINEEER | JALGAON | Jan 2023 | Mar 2024 | 1Y 2M | 2.4</t>
  </si>
  <si>
    <t>MUNICIPAL COUNCIL &amp;  MAHARASHTRA JEEVAN PRADHIKARAN, AMRAVATI. | TRAINEE ENGINEER | AMRAVATI | Jan 2022 | Jun 2022 | 25.714285714286 Weeks
MUNICIPAL COUNCIL, NANDURA. | TRAINEE ENGINEER | NANDURA | Aug 2021 | Aug 2021 | 4.2857142857143 Weeks
SINDHIKAR ENGINEERS, JALGAON | TRAINEE ENGINEER | Jalgaon | Jun 2019 | Jun 2019 | 4.1428571428571 Weeks</t>
  </si>
  <si>
    <t>AUTOCAD
Finance for Non-Financial Managers</t>
  </si>
  <si>
    <t>P25700077</t>
  </si>
  <si>
    <t>NISHANT</t>
  </si>
  <si>
    <t>GUPTA</t>
  </si>
  <si>
    <t>Nishant Manoj Gupta</t>
  </si>
  <si>
    <t>nishantg987@gmail.com</t>
  </si>
  <si>
    <t>p25700077@student.nicmar.ac.in</t>
  </si>
  <si>
    <t>23-Dec-2000</t>
  </si>
  <si>
    <t>9612 6931 8910</t>
  </si>
  <si>
    <t>MANOJ GUPTA</t>
  </si>
  <si>
    <t>RITA GUPTA</t>
  </si>
  <si>
    <t>E-52, JHAROKHA 2, AKURLI ROAD, KANDIVALI EAST</t>
  </si>
  <si>
    <t>Shop No 2, M.D. Road, Shinde Chawl, Kandivali East</t>
  </si>
  <si>
    <t>CHILDREN'S ACADEMY</t>
  </si>
  <si>
    <t>SECONDARY SCHOOL CERTIFICATE (SSC), MAHARASHTRA STATE</t>
  </si>
  <si>
    <t>THAKUR COLLEGE OF SCIENCE AND COMMERCE</t>
  </si>
  <si>
    <t>HIGHER SECONDARY CERTIFICATE (HSC), MAHARASHTRA STATE</t>
  </si>
  <si>
    <t>THAKUR POLYTECHNIC, MAHARASHTRA</t>
  </si>
  <si>
    <t>THAKUR COLLEGE OF ENGINEERING AND TECHNOLOGY</t>
  </si>
  <si>
    <t>Kalpataru | Execution | Mumbai | Jan 2024 | Jun 2025 | 1Y 5M | 3.53</t>
  </si>
  <si>
    <t>Shreeji Sharan | Project Controls | Mumbai | May 2026 | Jul 2026 | 9 Weeks | Campus Internship
Shreeji Sharan | Project Intern | Mumbai | Dec 2022 | Dec 2022 | 3.2857142857143 Weeks
Shreeji Sharan | Project Intern | Mumbai | Jun 2022 | Jun 2022 | 4.1428571428571 Weeks
Shraddha Enterprises | Project Intern | Mumbai | May 2019 | Jun 2019 | 5.8571428571429 Weeks</t>
  </si>
  <si>
    <t>Autodesk Certified Professional: AutoCAD for Design and Drafting Exam Prep</t>
  </si>
  <si>
    <t>P25700078</t>
  </si>
  <si>
    <t>ROHAN</t>
  </si>
  <si>
    <t>RAMESH</t>
  </si>
  <si>
    <t>KSHIRSAGAR</t>
  </si>
  <si>
    <t>Rohan Ramesh Kshirsagar</t>
  </si>
  <si>
    <t>kshirsagarrohan1811@gmail.com</t>
  </si>
  <si>
    <t>p25700078@student.nicmar.ac.in</t>
  </si>
  <si>
    <t>18-Nov-2002</t>
  </si>
  <si>
    <t>MARATHI,ENGLISH,HINDI</t>
  </si>
  <si>
    <t>7509 8976 6570</t>
  </si>
  <si>
    <t>SUNITA</t>
  </si>
  <si>
    <t>2/B Abhimanshree Nagar Marathi Peth Solapur</t>
  </si>
  <si>
    <t>HARIBHAI DEVKARAN PRASHALA SOLAPUR,MAHARASHTRA</t>
  </si>
  <si>
    <t>SOLAPUR/ MAHARASHTRA</t>
  </si>
  <si>
    <t>SES POLYTECHNIC SOLAPUR/ MAHARASHTRA</t>
  </si>
  <si>
    <t>SAVITRIBAI PHULE UNIVERSITY PUNE</t>
  </si>
  <si>
    <t>SINHGAD INSTITUTE OF TECHNOLOGY AND SCIENCE NARHE PUNE / MAHARASHTRA</t>
  </si>
  <si>
    <t>Sairaj Engineering &amp; Constructions LLP | Junior Civil Engineer | Solapur | May 2024 | May 2025 | 1Y 0M | 1.5</t>
  </si>
  <si>
    <t>BG Shirke Construction Technology Pvt. Ltd. | Engineering Intern | Pune | May 2026 | Jul 2026 | 8.5714285714286 Weeks | Campus Internship
Synergy SKL Infradevelopment | Engineering Intern | Pune | Jan 2023 | Feb 2023 | 3.1428571428571 Weeks</t>
  </si>
  <si>
    <t>Revit
AutoCAD
Finance for Non-Financial Managers
MSP
MEP
Living with climate change and Water Management
Project Admin (Scholar)</t>
  </si>
  <si>
    <t>P25700079</t>
  </si>
  <si>
    <t>SARJERAO</t>
  </si>
  <si>
    <t>SOLUNKE</t>
  </si>
  <si>
    <t>Tejas Sarjerao Solunke</t>
  </si>
  <si>
    <t>tejassolunke5021@gmail.com</t>
  </si>
  <si>
    <t>p25700079@student.nicmar.ac.in</t>
  </si>
  <si>
    <t>23-Feb-2003</t>
  </si>
  <si>
    <t>MARATHI,HINDI,ENGLISH</t>
  </si>
  <si>
    <t>6132 9613 0979</t>
  </si>
  <si>
    <t>BANER</t>
  </si>
  <si>
    <t>Malunje Khurd</t>
  </si>
  <si>
    <t>ASHTVINAYAK ENGLISH MEDIUM SCHOOL</t>
  </si>
  <si>
    <t>TRIMURTI ARTS,COMMERCE &amp; SCIENCE COLLEGE</t>
  </si>
  <si>
    <t>2021-Apr</t>
  </si>
  <si>
    <t>PIMPRI CHINCHWAD COLLEGE OF ENGINEERING,PUNE</t>
  </si>
  <si>
    <t>AutoCAD,MS Office,MS Project,Primavera,Staad Pro</t>
  </si>
  <si>
    <t>Box Office Space | Execution Intern | Pune | May 2026 | Jul 2026 | 8.7142857142857 Weeks | Campus Internship
Mudra Realities | Site Engineer | Shrirampur | Jun 2024 | Jul 2024 | 4.2857142857143 Weeks</t>
  </si>
  <si>
    <t>P25700080</t>
  </si>
  <si>
    <t>AMAN</t>
  </si>
  <si>
    <t>MADANMOHAN</t>
  </si>
  <si>
    <t>Aman Madanmohan Singh</t>
  </si>
  <si>
    <t>aman.rcoem@gmail.com</t>
  </si>
  <si>
    <t>p25700080@student.nicmar.ac.in</t>
  </si>
  <si>
    <t>06-Jun-2001</t>
  </si>
  <si>
    <t>ENGLISH, HINDI, MARATHI, MAITHILI AND BHOJPURI</t>
  </si>
  <si>
    <t>6574 1937 2904</t>
  </si>
  <si>
    <t>JYOTILATA</t>
  </si>
  <si>
    <t>70/71 Kachore Colony, Chinchbhawan Wardha Road</t>
  </si>
  <si>
    <t>MONTFORT SR SEC. SCHOOL</t>
  </si>
  <si>
    <t>CENTRAL BOARD OF SECONDARY EDUCATION, NAGPUR/MAHARASHTRA</t>
  </si>
  <si>
    <t>2006-Jun</t>
  </si>
  <si>
    <t>BHAVANS B P VIDYA MANDIR</t>
  </si>
  <si>
    <t>RAMDEOBABA COLLEGE OF ENGINEERING AND MANAGEMENT, NAGPUR/MAHARASHTRA</t>
  </si>
  <si>
    <t>AutoCAD,MS Office,MS Project,Primavera,Bluebeam Revu,On Screen Takeoff,Autodesk Construction Cloud,Procore,Planswift,Bim360,Navisworks,CostX,Revit,BEAM AI,Power BI</t>
  </si>
  <si>
    <t>VConstruct India Pvt Ltd | Associate Project Engineer | Pune | Apr 2023 | Apr 2024 | 1Y 0M | 4.75
Modeledge BIM Solutions | Senior Engineer | Nagpur | May 2024 | Nov 2024 | 0Y 6M | 8.2
7 Petals Horticulture | Executive Engineer - Planning &amp; Coordination | Mumbai | Dec 2024 | Jul 2025 | 0Y 7M | 10.28</t>
  </si>
  <si>
    <t>2 Years 2 Months</t>
  </si>
  <si>
    <t>Chuan lim Engineering Pte Ltd | Summer Intern | Singapore (remote) | May 2026 | Jul 2026 | 8.5714285714286 Weeks | Campus Internship
MINISTRY OF ROAD TRANSPORT AND HIGHWAY | SITE ENGINEER INTERN | SONAMARG - J&amp;K | Dec 2022 | Mar 2023 | 13.285714285714 Weeks</t>
  </si>
  <si>
    <t>Architectural Design ( AutoCAD 2D, Revit Arch &amp; 3D Max)
Six Sigma Yellow Belt
Digital Marketing Fundamentals
Corporate Sales Fundamentals
American Society of Civil Engineers
Python Basics for Data Science
Python for Absolute Begineers
Project Execution and Control
Project Delivery in Business Analysis and Capstone Project
Finance for Non-Financial Managers</t>
  </si>
  <si>
    <t>P25700081</t>
  </si>
  <si>
    <t>NANDAMOORI</t>
  </si>
  <si>
    <t>Nandamoori Balaji</t>
  </si>
  <si>
    <t>nandamooribalaji@gmail.com</t>
  </si>
  <si>
    <t>p25700081@student.nicmar.ac.in</t>
  </si>
  <si>
    <t>23-Sep-2001</t>
  </si>
  <si>
    <t>9594 3322 1728</t>
  </si>
  <si>
    <t>NANDAMOORI SUBRAMANYAM VENKATESULU</t>
  </si>
  <si>
    <t>LABOUR CONTRACTOR</t>
  </si>
  <si>
    <t>NANDAMOORI LAKSHMI</t>
  </si>
  <si>
    <t>D.no:8-49, S.N Puram, Tirupati</t>
  </si>
  <si>
    <t>SRIVIDYANIKETHAN EM SCHOOL</t>
  </si>
  <si>
    <t>BOARD OF SECONDARY EDUCATION, ANDHRA PRADESH</t>
  </si>
  <si>
    <t>SRI CHAITANYA JR COLLEGE</t>
  </si>
  <si>
    <t>JAWAHARLAL NEHRU TECHNOLOGICAL UNIVERSITY ANANTAPUR</t>
  </si>
  <si>
    <t>SRI VENKATESWARA COLLEGE OF ENGINEERING, TIRUPATI</t>
  </si>
  <si>
    <t>AutoCAD,MS Office,MS Project,Primavera,Construction Planning &amp; control,Contract review &amp; commercial analysis using ai,Claims fundamentals and delay analysis,Project risk identification and mitigation,Financial feasibility review,Advanced MS excel,Quantity</t>
  </si>
  <si>
    <t>NBCC | Intern | Greater noida | May 2026 | Jul 2026 | 9.5714285714286 Weeks | Campus Internship
VAMSIRAM PRUDHVI BUILDERS LLP | INTERN | TIRUPATI | Jan 2024 | Jun 2024 | 25.714285714286 Weeks
SAMSKRUTHI HOMES | INTERN | TIRUPATI | Jan 2025 | Jun 2025 | 25.714285714286 Weeks</t>
  </si>
  <si>
    <t>BIM
Ethics in Engineering Practice
GenAI for contract managers
GenAI for contract drafting basics
AutoCAD
Accounting &amp; Finance
Microsoft project 2021</t>
  </si>
  <si>
    <t>P25700082</t>
  </si>
  <si>
    <t>KANNAN</t>
  </si>
  <si>
    <t>RAJAPANDIAN S</t>
  </si>
  <si>
    <t>Kannan Rajapandian S</t>
  </si>
  <si>
    <t>kannanrajapandian22@gmail.com</t>
  </si>
  <si>
    <t>p25700082@student.nicmar.ac.in</t>
  </si>
  <si>
    <t>22-Aug-2003</t>
  </si>
  <si>
    <t>ENGLISH,TAMIL</t>
  </si>
  <si>
    <t>2865 1643 6029</t>
  </si>
  <si>
    <t>R SUNDARALINGA VIVEKANANTHAN</t>
  </si>
  <si>
    <t>S SASIKALA</t>
  </si>
  <si>
    <t>POST OFFICE, 25/1, NICMAR UNIVERSITY, N.I.A, BALEWADI RD, RAM NAGAR, BANER.</t>
  </si>
  <si>
    <t>4/184,Rajam Nagar Main Road,s.kolathur,kovilambakkam,_x000D_
Chennai</t>
  </si>
  <si>
    <t>SUNSHINE CHENNAI SENIOR SECONDARY SCHOOL</t>
  </si>
  <si>
    <t>CENTRAL BOARD OF SECONDARY EDUCATION ,CHENNAI/TAMIL NADU</t>
  </si>
  <si>
    <t>SRI SIVASUBRAMANIYA NADAR COLLEGE OF ENGINEERING,CHENNAI/TAMIL NADU</t>
  </si>
  <si>
    <t>AutoCAD,MS Office,MS Project,Stadd pro</t>
  </si>
  <si>
    <t>Goa State Infrastructure Development Corporation Limited | Site execution Engineer | Goa | May 2026 | Jul 2026 | 8.7142857142857 Weeks | Campus Internship
JAIN HOUSING &amp; CONSTRUCTION LTD. | SITE ENGINEER  | CHENNAI | Jun 2024 | Jul 2024 | 4.2857142857143 Weeks
HANU HOMES | PROJECTS &amp; DESIGN DEPARTMENT | CHENNAI | Jan 2025 | Mar 2025 | 12.714285714286 Weeks</t>
  </si>
  <si>
    <t>P25700083</t>
  </si>
  <si>
    <t>DARSHANIK</t>
  </si>
  <si>
    <t>REWATKAR</t>
  </si>
  <si>
    <t>Darshanik Prakash Rewatkar</t>
  </si>
  <si>
    <t>drewatkar248@gmail.com</t>
  </si>
  <si>
    <t>p25700083@student.nicmar.ac.in</t>
  </si>
  <si>
    <t>10-Apr-2002</t>
  </si>
  <si>
    <t>2866 3552 4972</t>
  </si>
  <si>
    <t>PRAJAKTA</t>
  </si>
  <si>
    <t>Plot No. 48-G, Behind S.D. Hospital, Ganesh Nagar, Nagpur</t>
  </si>
  <si>
    <t>PANDIT BACHHARAJ VYAS VIDYALAYA &amp; JUNIOR COLLEGE</t>
  </si>
  <si>
    <t>MAHARASHTRA STATE BOARD OF SECONDARY AND HIGHER SECONDARY EDUCATION, PUNE, MAHARASHTRA</t>
  </si>
  <si>
    <t>PRERNA JUNIOR COLLEGE, VIHIRGAON</t>
  </si>
  <si>
    <t>GOVERNMENT POLYTECHNIC, NAGPUR</t>
  </si>
  <si>
    <t>AJEENKYA D.Y. PATIL SCHOOL OF ENGINEERING, LOHEGAON, PUNE</t>
  </si>
  <si>
    <t>2024-Oct</t>
  </si>
  <si>
    <t>AutoCAD,MS Office,MS Project,Primavera,Revit,Lumion,SketchUp</t>
  </si>
  <si>
    <t>Sobha Limited | Project Management | Gurugram | May 2026 | Jul 2026 | 9 Weeks | Campus Internship
OM SAI RAM BUILDERS &amp; DEVELOPERS | JUNIOR ENGINEER, SUPERVISOR | NAGPUR | Feb 2023 | Mar 2023 | 4.1428571428571 Weeks
OM SAI RAM BUILDERS &amp; DEVELOPERS | JUNIOR ENGINEER (SITE INTERN) | NAGPUR | Nov 2020 | Nov 2020 | 1 Weeks
OM SAI RAM BUILDERS &amp; DEVELOPERS | SITE ENGINEER, SUPERVISOR | NAGPUR | Jul 2024 | May 2025 | 47.714285714286 Weeks</t>
  </si>
  <si>
    <t>P25700084</t>
  </si>
  <si>
    <t>ROHITH</t>
  </si>
  <si>
    <t>M J</t>
  </si>
  <si>
    <t>Rohith M J</t>
  </si>
  <si>
    <t>mjrohith2000@gmail.com</t>
  </si>
  <si>
    <t>p25700084@student.nicmar.ac.in</t>
  </si>
  <si>
    <t>13-Nov-2000</t>
  </si>
  <si>
    <t>ENGLISH, MALAYALAM, HINDI</t>
  </si>
  <si>
    <t>5739 4159 5418</t>
  </si>
  <si>
    <t>JAYAN M R</t>
  </si>
  <si>
    <t>DIVISIONAL MANAGER AT AT LIC OF INDIA</t>
  </si>
  <si>
    <t>JYOTHI K P</t>
  </si>
  <si>
    <t>2B MRG Shivapriya_x000D_
Kottekkad Road, Viyyur</t>
  </si>
  <si>
    <t>KENDRIYA VIDYALAYA  PURANATTUKKARA THRISSUR, KERALA</t>
  </si>
  <si>
    <t>APJ ABDUL KALAM KERALA TECHNOLOGICAL UNIVERSITY</t>
  </si>
  <si>
    <t>SCMS SCHOOL OF ENGINEERING AND TECHNOLOGY, KARUKUTTY, KERALA</t>
  </si>
  <si>
    <t>AutoCAD,MS Office,MS Project,PowerBI</t>
  </si>
  <si>
    <t>Asian Paints Limited | Sales Engineering: Waterproofing (SE)    | Coimbatore | May 2026 | Jul 2026 | 8.7142857142857 Weeks | Campus Internship</t>
  </si>
  <si>
    <t>P25700085</t>
  </si>
  <si>
    <t>ATHARVA</t>
  </si>
  <si>
    <t>MAHANTESH</t>
  </si>
  <si>
    <t>KOKALKI</t>
  </si>
  <si>
    <t>Atharva Mahantesh Kokalki</t>
  </si>
  <si>
    <t>kokalkiatharva@gmail.com</t>
  </si>
  <si>
    <t>p25700085@student.nicmar.ac.in</t>
  </si>
  <si>
    <t>03-Apr-2000</t>
  </si>
  <si>
    <t>ENGLISH HINDI MARATHI</t>
  </si>
  <si>
    <t>8903 2822 7635</t>
  </si>
  <si>
    <t>MAHANTESH RAJSHEKHAR KOKALKI</t>
  </si>
  <si>
    <t>ARCHITECT</t>
  </si>
  <si>
    <t>ANURADHA MAHANTESH KOKALKI</t>
  </si>
  <si>
    <t>55 New Industrial Estate Near Night College, Ichalkaranji-416115</t>
  </si>
  <si>
    <t>LITERA VALLEY ZEE SCHOOL</t>
  </si>
  <si>
    <t>MANERE HIGH SCHOOL AND JUNIOR COLLEGE</t>
  </si>
  <si>
    <t>KLS GOGTE INSTITUE OF TECHNOLOGY</t>
  </si>
  <si>
    <t>AutoCAD,MS Office,BIM,StaddPro</t>
  </si>
  <si>
    <t>Prathamesh Construction | Junior Civil Engineer | Ichalkaranji | Jul 2023 | Sep 2024 | 1Y 2M | 1.8</t>
  </si>
  <si>
    <t>Synergy School of Business Skills | BIM | Belagavi | Sep 2021 | Oct 2021 | 8.5714285714286 Weeks</t>
  </si>
  <si>
    <t>Cambridge Assessment English
Course on ETBAS Essential
Synergy School of Business Skills
Wipo Academy</t>
  </si>
  <si>
    <t>P25700086</t>
  </si>
  <si>
    <t>DEEPAK</t>
  </si>
  <si>
    <t>TAMBATKAR</t>
  </si>
  <si>
    <t>Shivam Deepak Tambatkar</t>
  </si>
  <si>
    <t>shivamtambatkar384@gmail.com</t>
  </si>
  <si>
    <t>p25700086@student.nicmar.ac.in</t>
  </si>
  <si>
    <t>23-Oct-2001</t>
  </si>
  <si>
    <t>MARATHI , HINDI , ENGLISH</t>
  </si>
  <si>
    <t>8036 8814 5317</t>
  </si>
  <si>
    <t>DEEPAK TAMBATKAR</t>
  </si>
  <si>
    <t>WORKER</t>
  </si>
  <si>
    <t>SUWARNA TAMBATKAR</t>
  </si>
  <si>
    <t>PRAKALP PRIDE, NEAR BANER ROAD HIGHWAY, PUNE 411045</t>
  </si>
  <si>
    <t>Telecom Colony, Near T-point , Karanja (Lad), Dist. Washim 444105</t>
  </si>
  <si>
    <t>JD CHAWARE VIDYAMANDIR KARANJA (LAD), DIST. WASHIM 444105</t>
  </si>
  <si>
    <t>AMRAVATI DIVISIONAL BOARD , MAHARASHTRA STATE BOARD (SSC)</t>
  </si>
  <si>
    <t>SWA.VITTHALRAO ADHAO JR. COLLEGE , MANORA</t>
  </si>
  <si>
    <t>MAHARSHTRA STATE BOARD (HSC)</t>
  </si>
  <si>
    <t>G H RAISONI COLLEGE OF ENGINEERING AND MANAGEMENT , PUNE</t>
  </si>
  <si>
    <t>AutoCAD,MS Office,MS Project,Primavera,Revit Structure,BIM,Navisworks</t>
  </si>
  <si>
    <t>Shreeji Infrastructure India  | Summer Intern | Bhopal, Madhya Pradesh | May 2026 | Jun 2026 | 8 Weeks | Campus Internship
Global Business Solutions | Trainee Engineer | Ramwadi ,Pune  | Jun 2023 | Dec 2023 | 29.142857142857 Weeks</t>
  </si>
  <si>
    <t>Civil CAD  (PDCC)</t>
  </si>
  <si>
    <t>P25700087</t>
  </si>
  <si>
    <t>NIMISH</t>
  </si>
  <si>
    <t>MAHESH</t>
  </si>
  <si>
    <t>BHOIR</t>
  </si>
  <si>
    <t>Nimish Mahesh Bhoir</t>
  </si>
  <si>
    <t>nimishbhoir023@gmail.com</t>
  </si>
  <si>
    <t>p25700087@student.nicmar.ac.in</t>
  </si>
  <si>
    <t>ENGLISH, MARATHI, HINDI</t>
  </si>
  <si>
    <t>4081 1428 9372</t>
  </si>
  <si>
    <t>JYOTI</t>
  </si>
  <si>
    <t>Shree Krupa CHS, Plot-71, Room No-501, Sector-21, Kharghar, Navi Mumbai</t>
  </si>
  <si>
    <t>ST. JOSEPH'S HIGH SCHOOL, NEW PANVEL</t>
  </si>
  <si>
    <t>MAHARASHTRA STATE BOARD OF SECONDARY AND HIGHER SECONDARY EDUCATION, MUMBAI DIVISIONAL BOARD</t>
  </si>
  <si>
    <t>CHANGU KANA THAKUR JR. COLLEGE, NEW PANVEL</t>
  </si>
  <si>
    <t>TERNA ENGINEERING COLLEGE, NERUL, MAHARASHTRA</t>
  </si>
  <si>
    <t>AutoCAD,MS Office,MS Project,Primavera,ETABS,REVIT,STAAD PRO,BBS</t>
  </si>
  <si>
    <t>M.G. CONSTRUCTION | Trainee Civil Engineer | REGD. OFFICE: SHOP NO. 4, SHREEJI DHAM CO-OP, HSG. SOC. LTD., PLOT NO.-18/19, SECTOR-50, SEAWOODS, NERUL, NAVI MUMBAI- 400706. | Oct 2023 | Mar 2025 | 1Y 5M | 1.8</t>
  </si>
  <si>
    <t>1 Year 6 Months</t>
  </si>
  <si>
    <t>New Consolidated Construction Company Limited | PLANNING INTERN | JUINAGAR, NAVI MUMBAI | May 2026 | Jul 2026 | 8.5714285714286 Weeks | Campus Internship
CITY AND INDUSTRIAL DEVELOUPMENT CORPORATION OF MAHARASHTRA LIMITED | INTERN | BAMANDONGRI STATION, KHARKOPAR STATION(WEST), KHARKOPAR (EAST) AND TALOJA SECTOR 39, NAVI MUMBAI | Dec 2021 | Jan 2022 | 4.2857142857143 Weeks</t>
  </si>
  <si>
    <t>A Complete BIM Course with Revit, Dynamo and Navisworks
SAP Certified Application Associate- Business Foundation &amp; Integration with SAP ERP 6.07</t>
  </si>
  <si>
    <t>P25700088</t>
  </si>
  <si>
    <t>VARAD</t>
  </si>
  <si>
    <t>VINOD</t>
  </si>
  <si>
    <t>SAWARDEKAR</t>
  </si>
  <si>
    <t>Varad Vinod Sawardekar</t>
  </si>
  <si>
    <t>varads1917@gmail.com</t>
  </si>
  <si>
    <t>p25700088@student.nicmar.ac.in</t>
  </si>
  <si>
    <t>26-Jan-2000</t>
  </si>
  <si>
    <t>4335 3038 7451</t>
  </si>
  <si>
    <t>VEENA</t>
  </si>
  <si>
    <t>506, Shanti Niwas, Fitwala Road, Prabhadevi West</t>
  </si>
  <si>
    <t>DR.ANTONIO DA SILVA HIGH SCHOOL</t>
  </si>
  <si>
    <t>MAHARASHTRA STATE BOARD OF SECONDARY AND HIGHER SECONDARY EDUCATION/ MUMBAI DIVISIONAL BOARD</t>
  </si>
  <si>
    <t>GOVERNMENT POLYTECHNIC, MUMBAI / MAHARASHTRA</t>
  </si>
  <si>
    <t>SARDAR PATEL COLLEGE OF ENGINEERING, MUMBAI / MAHARASHTRA</t>
  </si>
  <si>
    <t>AutoCAD,MS Office,MS Project,Primavera,Power Bi,revit structure,shallow foundation,MS Excel</t>
  </si>
  <si>
    <t>Lodha Developers | Site Engineer | Mumbai | Aug 2021 | May 2025 | 3Y 9M | 6.72</t>
  </si>
  <si>
    <t>3 Years 9 Months</t>
  </si>
  <si>
    <t>Deloitte | Intern- Audit and assuarance | Mumbai | May 2026 | Jul 2026 | 8.5714285714286 Weeks | Campus Internship
Rajasthan Construction Pvt.Ltd | Intern | Mumbai | Dec 2019 | Jan 2020 | 3.4285714285714 Weeks
M/S ROYAL COMBINE | INTERN | MUMBAI | Jun 2017 | Jun 2017 | 2 Weeks</t>
  </si>
  <si>
    <t>P25700089</t>
  </si>
  <si>
    <t>KAUSHAL</t>
  </si>
  <si>
    <t>Kaushal Mahesh Shinde</t>
  </si>
  <si>
    <t>shindekaushal2002@gmail.com</t>
  </si>
  <si>
    <t>p25700089@student.nicmar.ac.in</t>
  </si>
  <si>
    <t>05-Nov-2002</t>
  </si>
  <si>
    <t>7210 2048 3590</t>
  </si>
  <si>
    <t>MAHESH DINKARRAO SHINDE</t>
  </si>
  <si>
    <t>SUSHMA MAHESH SHINDE</t>
  </si>
  <si>
    <t>1182/107, Damodar Residency, E Ward, Mali Colony, Kolhapur.</t>
  </si>
  <si>
    <t>DR. D. Y. PATIL'S SHANTINIKETAN</t>
  </si>
  <si>
    <t>CENTRAL BOARD OF SECONDARY EDUCATION DELHI</t>
  </si>
  <si>
    <t>ALL INDIA SHRI SHIVAJI MEMORIAL SOCIETY COLLEGE OF ENGINEERING</t>
  </si>
  <si>
    <t>AutoCAD,MS Office,MS Project,Primavera,CostX,Revit Architecture</t>
  </si>
  <si>
    <t>Chaphalkar Karandikar Developers | Jr. Site Engineer  | Shivajinagar, Pune  | Aug 2024 | Jun 2025 | 0Y 10M | 2.64</t>
  </si>
  <si>
    <t>Goel Ganga Group  | Summer Intern | Pune | May 2026 | Jul 2026 | 8.7142857142857 Weeks | Campus Internship</t>
  </si>
  <si>
    <t>P25700090</t>
  </si>
  <si>
    <t>BODDU</t>
  </si>
  <si>
    <t>Rohith Boddu</t>
  </si>
  <si>
    <t>rohithboddu8779@gmail.com</t>
  </si>
  <si>
    <t>p25700090@student.nicmar.ac.in</t>
  </si>
  <si>
    <t>09-Sep-2003</t>
  </si>
  <si>
    <t>TELUGU,ENGLISH,HINDI</t>
  </si>
  <si>
    <t>6750 9472 8415</t>
  </si>
  <si>
    <t>BODDU NAGESWARA RAO</t>
  </si>
  <si>
    <t>BODDU SATYAVENI</t>
  </si>
  <si>
    <t>5-32Aa, KAALUVA VEEDHI,NIMMAKAYALA KOTTHAPALLI,UPPALAGUPTAM MANDAL,EASTGODAVARI,ANDHRA PRADHESH</t>
  </si>
  <si>
    <t>TIRMULA PROACTIVE (EM) HIGH SCHOOL</t>
  </si>
  <si>
    <t>ANDHRAPRADHESH BOARD OF SECONDARY EDUCATION</t>
  </si>
  <si>
    <t>TIRMULA JUNIOR COLLEGE</t>
  </si>
  <si>
    <t>ANDHRA PRADESH BOARD OF INTERMEDIATE EDUCATION</t>
  </si>
  <si>
    <t>JAWAHARLAL NEHRU TECHNOLOGICAL UNIVERSITY ,KAKINADA</t>
  </si>
  <si>
    <t>GAYATRI VIDYA PARISHAD COLLEGE OF ENGINEERING(AUTONOMOUS)  ,VISAKHAPATNAM</t>
  </si>
  <si>
    <t>AutoCAD, MS Office, MS Project, Primavera, STAAD Pro, Basics of BIM</t>
  </si>
  <si>
    <t>SOBHA LTD  | COSTING INTERN | KERALA  | May 2026 | Jul 2026 | 9 Weeks | Campus Internship
INTERNSHALA | INTERN TRAINEE | INTERN SHALA TRAININGS ONLINE MODE | Aug 2022 | Oct 2022 | 6.1428571428571 Weeks
PANCHAYAT RAJ  (PRI) SUB DIVISON | INTERN TRAINEE  | AMALAPURAM | Jun 2023 | Jul 2023 | 4.2857142857143 Weeks</t>
  </si>
  <si>
    <t>P25700091</t>
  </si>
  <si>
    <t>GANESH</t>
  </si>
  <si>
    <t>DHANRAJ</t>
  </si>
  <si>
    <t>KODNANI</t>
  </si>
  <si>
    <t>Ganesh Dhanraj Kodnani</t>
  </si>
  <si>
    <t>kodnaniganesh@gmail.com</t>
  </si>
  <si>
    <t>p25700091@student.nicmar.ac.in</t>
  </si>
  <si>
    <t>18-Jun-2003</t>
  </si>
  <si>
    <t>HINDI, ENGLISH, MARATHI</t>
  </si>
  <si>
    <t>5416 0759 7364</t>
  </si>
  <si>
    <t>Plot 261, Sector 25, Pradhikaran, Nigdi, Pune - 411044.</t>
  </si>
  <si>
    <t>ST. URSULA HIGH SCHOOL</t>
  </si>
  <si>
    <t>CITY PRIDE JUNIOR COLLEGE</t>
  </si>
  <si>
    <t>PIMPRI CHINCHWAD COLLEGE OF ENGINEERING, PUNE</t>
  </si>
  <si>
    <t>GreenSpace Realty | Project Management Intern | Pune | May 2026 | Jul 2026 | 8.7142857142857 Weeks | Campus Internship
ANP Corp. | Site Engineer | Pune | Jun 2024 | Jul 2024 | 5 Weeks</t>
  </si>
  <si>
    <t>P25700092</t>
  </si>
  <si>
    <t>ADWAITH</t>
  </si>
  <si>
    <t>SHAJI</t>
  </si>
  <si>
    <t>Adwaith Shaji</t>
  </si>
  <si>
    <t>adwaithshaji07@gmail.com</t>
  </si>
  <si>
    <t>p25700092@student.nicmar.ac.in</t>
  </si>
  <si>
    <t>04-Nov-2002</t>
  </si>
  <si>
    <t>ENGLISH, HINDI, MALAYALAM, TAMIL</t>
  </si>
  <si>
    <t>6112 8717 4758</t>
  </si>
  <si>
    <t>SHAJIMON R</t>
  </si>
  <si>
    <t>BINDU C K</t>
  </si>
  <si>
    <t>Andumadam House, _x000D_
Kappadu P.O, Kanjirappally,_x000D_
Kottayam, Kerala</t>
  </si>
  <si>
    <t>Kottayam</t>
  </si>
  <si>
    <t>AKJM HIGHER SECONDARY SCHOOL KANJIRAPPALLY</t>
  </si>
  <si>
    <t>GOVERNMENT OF KERALA, GENERAL EDUCATION DEPARTMENT, KANJIRAPPALLY, KERALA</t>
  </si>
  <si>
    <t>GOVERNMENT OF KERALA, BOARD OF HIGHER SECONDARY EXAMINATION</t>
  </si>
  <si>
    <t>APJ ABDUL KALAM TECHNOLOGICAL UNIVERSITY, TRIVANDRUM, KERALA, INDIA</t>
  </si>
  <si>
    <t>AMAL JYOTHI COLLEGE OF ENGINEERING, KANJIRAPPALLY, KERALA</t>
  </si>
  <si>
    <t>AutoCAD,MS Office,MS Project,Primavera,IMOS,PYTHA</t>
  </si>
  <si>
    <t>DLife Interiors | Junior Quantity Analyst | Vyttila, Eranakulam | Nov 2024 | May 2025 | 0Y 6M | 2.24</t>
  </si>
  <si>
    <t>Sobha Limited  | Management Intern | Bangalore | May 2026 | Jul 2026 | 9 Weeks | Campus Internship
Kerala State Public Works Department | Site Engineer Intern | Kottayam | May 2023 | May 2023 | 0.57142857142857 Weeks</t>
  </si>
  <si>
    <t>National Service Scheme Volunteer
Student Member of Indian Concrete Institute</t>
  </si>
  <si>
    <t>P25700093</t>
  </si>
  <si>
    <t>MUSTAFA</t>
  </si>
  <si>
    <t>KHAN</t>
  </si>
  <si>
    <t>Mustafa Khan</t>
  </si>
  <si>
    <t>mustafakhan12102002@gmail.com</t>
  </si>
  <si>
    <t>p25700093@student.nicmar.ac.in</t>
  </si>
  <si>
    <t>12-Oct-2002</t>
  </si>
  <si>
    <t>HINDI,ENGLISH,RUSSIAN</t>
  </si>
  <si>
    <t>5107 5094 6454</t>
  </si>
  <si>
    <t>HAMID KHAN</t>
  </si>
  <si>
    <t>KULSUM KHAN</t>
  </si>
  <si>
    <t>HOUSEMAKER</t>
  </si>
  <si>
    <t>B-251, Florence Elite Sushant Lok-3, Sector-57</t>
  </si>
  <si>
    <t>ST. PBN PUBLIC SCHOOL</t>
  </si>
  <si>
    <t>CENTRAL BOARD OF SECONDARY EDUCATION, HARYANA</t>
  </si>
  <si>
    <t>SURAJ SCHOOL</t>
  </si>
  <si>
    <t>AMITY UNIVERSITY</t>
  </si>
  <si>
    <t>AMITY SCHOOL OF ENGINEERING &amp; TECHNOLOGY, GURUGRAM</t>
  </si>
  <si>
    <t>JKUMAR INFRAPROJECTS LIMITED | Project Intern | NOIDA, UTTAR PRADESH | May 2026 | Jul 2026 | 9.7142857142857 Weeks | Campus Internship
ABR INFRASOLUTIONS PRIVATE LIMITED | JR. CIVIL ENGINEER | GREATER NOIDA | Feb 2024 | Nov 2024 | 43 Weeks
UMANG ENGINEERS | INTERN  | TAPUKARA | Dec 2022 | Feb 2023 | 8.8571428571429 Weeks</t>
  </si>
  <si>
    <t>AutoCAD Civil Arch.</t>
  </si>
  <si>
    <t>P25700094</t>
  </si>
  <si>
    <t>MAULI</t>
  </si>
  <si>
    <t>SUDHAKAR</t>
  </si>
  <si>
    <t>RUDRAWAR</t>
  </si>
  <si>
    <t>Mauli Sudhakar Rudrawar</t>
  </si>
  <si>
    <t>maulirudrawar@gmail.com</t>
  </si>
  <si>
    <t>p25700094@student.nicmar.ac.in</t>
  </si>
  <si>
    <t>5002 7410 0856</t>
  </si>
  <si>
    <t>SANGITA</t>
  </si>
  <si>
    <t>VTP LEONARA ,PUNE</t>
  </si>
  <si>
    <t>'Sant Krupa', Padma Nagar, Near Sai Baba Temple</t>
  </si>
  <si>
    <t>SHRI KESHAVRAJ MADHYAMIK VIDYALAYA</t>
  </si>
  <si>
    <t>SECONDARY SCHOOL CERTIFICATE ,LATUR, MAHARASHTRA</t>
  </si>
  <si>
    <t>SANT TUKARAM NATIONAL MODEL SCHOOL</t>
  </si>
  <si>
    <t>CENTRAL BOARD OF SECONDARY EDUCATION LATUR MAHARASHTRA</t>
  </si>
  <si>
    <t>COLLEGE OF ENGINEERING PUNE, PUNE , MAHARASHTRA</t>
  </si>
  <si>
    <t>AutoCAD,MS Office,MS Project,Primavera,MS Excel,Revit,Power BI</t>
  </si>
  <si>
    <t>Manisha Group Pvt. Ltd. | Billing Engineer | Pune | Sep 2023 | Feb 2024 | 0Y 5M | 1.8</t>
  </si>
  <si>
    <t>New Consolidated Construction Company Ltd (NCCCL) | Planning and Execution Intern | Dombivli, Mumbai | May 2026 | Jul 2026 | 8.7142857142857 Weeks | Campus Internship</t>
  </si>
  <si>
    <t>Staad Pro
Project Planning using MSP
QS and Billing using MS Excel</t>
  </si>
  <si>
    <t>P25700095</t>
  </si>
  <si>
    <t>SREEHARI</t>
  </si>
  <si>
    <t>Sreehari V</t>
  </si>
  <si>
    <t>sreehariv181@gmail.com</t>
  </si>
  <si>
    <t>p25700095@student.nicmar.ac.in</t>
  </si>
  <si>
    <t>18-Jan-2000</t>
  </si>
  <si>
    <t>4065 8415 5943</t>
  </si>
  <si>
    <t>O.P.ANANDHAKRISHNAN</t>
  </si>
  <si>
    <t>BUILDING SUPER</t>
  </si>
  <si>
    <t>SAI GEETHA .V</t>
  </si>
  <si>
    <t>INDIRALAYAM(HOUSE),ARANGOTTUKARA(P/O),THRISSUR(DIST),KERALA</t>
  </si>
  <si>
    <t>SREE MAHARSHI VIDYALAYA</t>
  </si>
  <si>
    <t>CBSE - KERALA</t>
  </si>
  <si>
    <t>CBSE-KERALA</t>
  </si>
  <si>
    <t>THEJUS ENGINEERING COLLEGE  ,KERALA</t>
  </si>
  <si>
    <t>AutoCAD,MS Office,REVIT ARCHITECTURE,REVIT STRUCTURE</t>
  </si>
  <si>
    <t>SAM BUILDERS | Site engineer | palakkad | Jun 2023 | Oct 2024 | 1Y 4M | 1.2</t>
  </si>
  <si>
    <t>SUPREME DESIGNERS | SITE ENGINEER | THRISSUR | May 2022 | Apr 2023 | 51.571428571429 Weeks</t>
  </si>
  <si>
    <t>P25700096</t>
  </si>
  <si>
    <t>PRANAY</t>
  </si>
  <si>
    <t>SUTAR</t>
  </si>
  <si>
    <t>Pranay Bhanudas Sutar</t>
  </si>
  <si>
    <t>pranaybsutar@gmail.com</t>
  </si>
  <si>
    <t>p25700096@student.nicmar.ac.in</t>
  </si>
  <si>
    <t>14-Feb-1998</t>
  </si>
  <si>
    <t>2098 7983 9337</t>
  </si>
  <si>
    <t>BHANUDAS SUTAR</t>
  </si>
  <si>
    <t>SUREKHA SUTAR</t>
  </si>
  <si>
    <t>403 Varadvinayak Apt. House No.408/475 Shiravane Sector 1 Nerul Navi Mumbai 400706</t>
  </si>
  <si>
    <t>ST. XAVIER'S HIGH SCHOOL</t>
  </si>
  <si>
    <t>2002-Jun</t>
  </si>
  <si>
    <t>AGNEL POLYTECHNIC VASHI MAHARASHTRA</t>
  </si>
  <si>
    <t>PILLAI HOC COLLEGE OF ENGINEERING AND TECHNOLOGY</t>
  </si>
  <si>
    <t>Indrayani Developers | Site Engineer | Mumbai Goa hwy, near karnala bird sanctuary Panvel | May 2021 | Apr 2023 | 1Y 11M | 2.2</t>
  </si>
  <si>
    <t>Shrikrupa Enterprises | Project intern | Nerul,NaviMumbai | Jul 2023 | Dec 2023 | 26.142857142857 Weeks
City and Industrial Development Corporation  (CIDCO) | Trainee | Navi Mumbai metro Rail 1 | Jun 2019 | Jul 2019 | 2.8571428571429 Weeks
Ajwani Infrastructure private Ltd. | Trainee engineer | NaviMumbai | May 2016 | Jun 2016 | 4.4285714285714 Weeks</t>
  </si>
  <si>
    <t>NON destructive test on Concrete: An innovative Approach
ISRO's Remote sensing and Digital Image analysis
MACQUARIE University's EXCEl skills for Business : Essentials.
GOOGLE's Foundation of Project Management
Business Foundation &amp; Integration with SAP ERP 6.07
Planning &amp; Control with  Oracle Primavera PPM  Professional
Primavera P6 - Project Setup and Basic Management
Construction Cost Estimation and cost Control (Columbia University)
Data Driven Decisions With Power BI
Google's Agile Project Management Certificate
Google's Project Management Professional Certificate (PMP)</t>
  </si>
  <si>
    <t>P25700097</t>
  </si>
  <si>
    <t>SARTHAK</t>
  </si>
  <si>
    <t>Sarthak Sharma</t>
  </si>
  <si>
    <t>sarthak.sharma.ce@gmail.com</t>
  </si>
  <si>
    <t>p25700097@student.nicmar.ac.in</t>
  </si>
  <si>
    <t>9545 2500 6303</t>
  </si>
  <si>
    <t>VIRENDER KUMAR SHARMA</t>
  </si>
  <si>
    <t>POOJA SHARMA</t>
  </si>
  <si>
    <t>153/3, Jail Road, Mandi</t>
  </si>
  <si>
    <t>Mandi</t>
  </si>
  <si>
    <t>Himachal Pradesh</t>
  </si>
  <si>
    <t>OUR LADY OF THE SNOWS HIGH SCHOOL</t>
  </si>
  <si>
    <t>INDIAN CERTIFICATE OF SECONDARY EDUCATION, KULLU, HIMACHAL PRADESH</t>
  </si>
  <si>
    <t>2006-Mar</t>
  </si>
  <si>
    <t>HIM ACADEMY PUBLIC SCHOOL</t>
  </si>
  <si>
    <t>CENTRAL BOARD OF SECONDARY EDUCATION, HAMIRPUR, HIMACHAL PRADESH</t>
  </si>
  <si>
    <t>SRM INSTITUTE OF SCIENCE AND TECHNOLOGY</t>
  </si>
  <si>
    <t>SRM INSTITUTE OF SCIENCE AND TECHNOLOGY, KATTANKULATHUR, TAMIL NADU</t>
  </si>
  <si>
    <t xml:space="preserve">AutoCAD, MS Excel, MS Project, CostX, STAAD.Pro, Oracle Primavera P6, MS Office </t>
  </si>
  <si>
    <t>Geoquest India Private Limited | Operations Intern | Delhi | May 2026 | Jun 2026 | 8 Weeks | Campus Internship
Patel Engineering Ltd. | Civil Engineering Intern | Kinnaur, Himachal Pradesh | Jun 2023 | Jul 2023 | 4.1428571428571 Weeks</t>
  </si>
  <si>
    <t>Combat Sports
VIT
IZNIK
NPTEL</t>
  </si>
  <si>
    <t>P25700098</t>
  </si>
  <si>
    <t>BABU</t>
  </si>
  <si>
    <t>KORUBOTHU</t>
  </si>
  <si>
    <t>Karthik Babu Korubothu</t>
  </si>
  <si>
    <t>karthikkorubothu29@gmail.com</t>
  </si>
  <si>
    <t>p25700098@student.nicmar.ac.in</t>
  </si>
  <si>
    <t>29-Jun-2003</t>
  </si>
  <si>
    <t>ENGLISH, HINDI &amp; TELUGU</t>
  </si>
  <si>
    <t>5985 8110 4209</t>
  </si>
  <si>
    <t>KORUBOTHU KRISHNA</t>
  </si>
  <si>
    <t>KORUBOTHU SUWARNA</t>
  </si>
  <si>
    <t>1-1/52 Kondapur Village, Ghatkesar Mandal</t>
  </si>
  <si>
    <t>Medchal</t>
  </si>
  <si>
    <t>MINERVA GRAMMAR SCHOOL</t>
  </si>
  <si>
    <t>SAMSKRUTI COLLEGE OF ENGINEERING AND TECHNOLOGY</t>
  </si>
  <si>
    <t>Goa State Infrastructure Development Corporation GSIDC | Intern Site Execution | Bambolim GOA | May 2026 | Jul 2026 | 8.7142857142857 Weeks | Campus Internship
Ministry Of Road Transport &amp; Highways | Intern | Uppal, Hyderabad | Aug 2023 | Nov 2023 | 13.142857142857 Weeks
Irrigation &amp; CAD Department | Intern | Choppadandi(V), Karminagar | May 2023 | May 2023 | 2.5714285714286 Weeks</t>
  </si>
  <si>
    <t>P25700099</t>
  </si>
  <si>
    <t>AFRIDHEEN</t>
  </si>
  <si>
    <t>SHAIK</t>
  </si>
  <si>
    <t>Afridheen Shaik</t>
  </si>
  <si>
    <t>afridheenshaik1019@gmail.com</t>
  </si>
  <si>
    <t>p25700099@student.nicmar.ac.in</t>
  </si>
  <si>
    <t>23-Aug-2002</t>
  </si>
  <si>
    <t>ENGLISH,HINDI, TELUGU, URDU</t>
  </si>
  <si>
    <t>3876 7039 0842</t>
  </si>
  <si>
    <t>SHAIK ANJAIAH</t>
  </si>
  <si>
    <t>BUSSINESMAN</t>
  </si>
  <si>
    <t>SHAIK MASTAN BEE</t>
  </si>
  <si>
    <t>2-54,kakanipalem, Addanki, Addanki Mandal, Addanki(North)(u) Bapatla District, Andhra Pradesh-523201</t>
  </si>
  <si>
    <t>Bapatla</t>
  </si>
  <si>
    <t>SRI CHAITANYA TECHNO SCHOOL</t>
  </si>
  <si>
    <t>JAWAHARLAL NEHRU TECHNOLOGICAL UNIVERSITY KAKINADA</t>
  </si>
  <si>
    <t>S.R.K.R ENGINEERING COLLEGE,BHIMAVARAM</t>
  </si>
  <si>
    <t>AutoCAD,MS Office,MS Project,Primavera,ETABS,Revit</t>
  </si>
  <si>
    <t>SOBHA Limited | Planning Intern | Thrissur,Kerala | May 2026 | Jul 2026 | 9 Weeks | Campus Internship
Municipal Administration Department | Intern | Bhimavaram | Dec 2024 | Apr 2025 | 17.285714285714 Weeks
ASCENT CS GLOBAL | INTERN | HYDERABAD | Jul 2023 | Sep 2023 | 8.8571428571429 Weeks
Skill Dzire | Intern | Hyderabad | Dec 2024 | Apr 2025 | 17.285714285714 Weeks</t>
  </si>
  <si>
    <t>P25700100</t>
  </si>
  <si>
    <t>DNYANESHWAR</t>
  </si>
  <si>
    <t>GIRI</t>
  </si>
  <si>
    <t>Dnyaneshwar Shivaji Giri</t>
  </si>
  <si>
    <t>710giri30102002@gmail.com</t>
  </si>
  <si>
    <t>p25700100@student.nicmar.ac.in</t>
  </si>
  <si>
    <t>30-Oct-2002</t>
  </si>
  <si>
    <t>4416 8923 7103</t>
  </si>
  <si>
    <t>SHARDA</t>
  </si>
  <si>
    <t>Tuljabhawani Coloney Nagzari Road, Ambajogai</t>
  </si>
  <si>
    <t>Beed</t>
  </si>
  <si>
    <t>YOGESHWARI NUTAN VIDHALAYA AMBAJOGAI</t>
  </si>
  <si>
    <t>MAHARASHTRA</t>
  </si>
  <si>
    <t>YOGESHWARI POLYTECHNIC COLLEGE AMBAJOGAI</t>
  </si>
  <si>
    <t>D.K.T.E TEXTILE AND ENGINEERING INSTITUTE ICHALKARANJI</t>
  </si>
  <si>
    <t>AutoCAD,MS Office,MS Project,Primavera,Revit,Staddpro,CostX</t>
  </si>
  <si>
    <t>Rohan Builders Pune | Graduate Engineer Trainee (GET) | pune | Jul 2024 | Oct 2024 | 0Y 3M | 3.18
Infra Market | Graduate Engineer Trainee (Technical) | pune | Oct 2024 | Jan 2025 | 0Y 2M | 4</t>
  </si>
  <si>
    <t xml:space="preserve"> Badiyani Constructions | Summer Intern-Design Coordination+Exectution | pune | May 2026 | Jul 2026 | 9.7142857142857 Weeks | Campus Internship
UNIQUE UHPC INFRA LLP | Site Engineer Intern | Satara | Dec 2022 | Jan 2023 | 3.1428571428571 Weeks</t>
  </si>
  <si>
    <t>Research Paper publication
Rohan Skill Development Centre
REVIT
AUTOCAD</t>
  </si>
  <si>
    <t>P25700101</t>
  </si>
  <si>
    <t>TANISH</t>
  </si>
  <si>
    <t>SAMNERKAR</t>
  </si>
  <si>
    <t>Tanish Prashant Samnerkar</t>
  </si>
  <si>
    <t>tsamnerkar@gmail.com</t>
  </si>
  <si>
    <t>p25700101@student.nicmar.ac.in</t>
  </si>
  <si>
    <t>17-Apr-2003</t>
  </si>
  <si>
    <t>AB-ve</t>
  </si>
  <si>
    <t>5716 6794 5840</t>
  </si>
  <si>
    <t>PRASHANT BHIKA WANI</t>
  </si>
  <si>
    <t>MANISHA PRASHANT WANI</t>
  </si>
  <si>
    <t>11,'Prashant' Bunglow, Indraprastha Colony, Upnagar, Nashik-6</t>
  </si>
  <si>
    <t>SACRED HEART CONVENT HIGH SCHOOL</t>
  </si>
  <si>
    <t>GURU GOBIND SINGH POLYTECHNIC, NASHIK</t>
  </si>
  <si>
    <t>GOKHALE EDUCATION SOCIETY'S R. H. SAPAT COLLEGE OF ENGINEERING, MANAGEMENT STUDIES AND RESEARCH, NASHIK</t>
  </si>
  <si>
    <t>Fortune Group  | Construction Management Intern | Nashik | May 2026 | Jul 2026 | 8 Weeks | Campus Internship
RACHANA GROUP | SITE ENGINEER | NASHIK | Jan 2024 | Mar 2024 | 6.5714285714286 Weeks</t>
  </si>
  <si>
    <t>AutoCad
Professional Estimation and Costing Course
Professional Billing Course
Internship training in construction skill development</t>
  </si>
  <si>
    <t>P25700103</t>
  </si>
  <si>
    <t>Karthik K S</t>
  </si>
  <si>
    <t>karthikgeena678@gmail.com</t>
  </si>
  <si>
    <t>p25700103@student.nicmar.ac.in</t>
  </si>
  <si>
    <t>30-Aug-2002</t>
  </si>
  <si>
    <t>ENGLISH,MALAYALAM</t>
  </si>
  <si>
    <t>5610 6450 4723</t>
  </si>
  <si>
    <t>K U SUBRAMANIAN</t>
  </si>
  <si>
    <t>KERALA COOPERATIVE BANK MANAGER</t>
  </si>
  <si>
    <t>GEENA C M</t>
  </si>
  <si>
    <t>RET. GOVERNMENT EMPLOYEE</t>
  </si>
  <si>
    <t>KAIPPULLY HOUSE MEDICAL COLLEGE PO THRISSUR</t>
  </si>
  <si>
    <t>CHINMAYA VIDYALAYA KOLAZHY</t>
  </si>
  <si>
    <t>VIVEKODAYAM BOYS HIGHER SECONDARY SCHOOL</t>
  </si>
  <si>
    <t>GOVERNMENT OF KERALA BOARD OF HIGHER SECONDARY EXAMINATIONS</t>
  </si>
  <si>
    <t>JYOTHI ENGINEERING COLLEGE THRISSUR</t>
  </si>
  <si>
    <t>ACC LIMITED | HELP BIKE ENGINEER | Thrissur | Oct 2024 | Feb 2025 | 0Y 4M | 3</t>
  </si>
  <si>
    <t>Uralungal Labour Contract Co-Operative Society Ltd (ULCCS Ltd) | Site Execution | ERNAKULAM | May 2026 | Jul 2026 | 7.7142857142857 Weeks | Campus Internship
THRISSUR BUILDERS PRIVATE LIMITED | INTERN | THRISSUR | Feb 2024 | Mar 2024 | 1.7142857142857 Weeks
PUBLIC WORK DEPARTMENTS KERALA | INTERN | WADDAKKANCHERRY | May 2023 | May 2023 | 1 Weeks</t>
  </si>
  <si>
    <t>P25700104</t>
  </si>
  <si>
    <t>RUTWIK</t>
  </si>
  <si>
    <t>SATISHRAO</t>
  </si>
  <si>
    <t>BHOGE</t>
  </si>
  <si>
    <t>Rutwik Satishrao Bhoge</t>
  </si>
  <si>
    <t>bhogerutwik2002@gmail.com</t>
  </si>
  <si>
    <t>p25700104@student.nicmar.ac.in</t>
  </si>
  <si>
    <t>23-Feb-2002</t>
  </si>
  <si>
    <t>9514 6997 3421</t>
  </si>
  <si>
    <t>SATISH K. BHOGE</t>
  </si>
  <si>
    <t>HARSHIKA S. BHOGE</t>
  </si>
  <si>
    <t>Ramnagar Bhagat Singh Chowk, C/o Sandip Bhandwalkar House, Wardha</t>
  </si>
  <si>
    <t>SUSHIL HIMATSINGAKA VIDYALAYA WARDHA</t>
  </si>
  <si>
    <t>MAHARASHTRA STATE BOARD OF SECONDARY AND HIGHER SECONDARY EDUCATION, PUNE , MAHARASHTRA</t>
  </si>
  <si>
    <t>ACHARYA SHRIMANNARAYAN POLYTECHNIC, PIPRI (MEGHE), WARDHA</t>
  </si>
  <si>
    <t>DR. BABASAHEB AMBEDKAR TECHNOLOGICAL UNIVERSITY LONERE - RAIGAD, MAHARASHTRA</t>
  </si>
  <si>
    <t>BAJAJ INSTITUTE OF TECHNOLOGY, WARDHA</t>
  </si>
  <si>
    <t>AutoCAD,MS Office,MS Project,Primavera,ESTIMATION,Revit,ETabs</t>
  </si>
  <si>
    <t>HonarAI Pvt Ltd | Graduate Engineer Trainee | Nashik | Jan 2024 | Mar 2025 | 1Y 2M | 2.4</t>
  </si>
  <si>
    <t>K Raheja Corp | Management Intern | pune | May 2026 | Jul 2026 | 8.5714285714286 Weeks</t>
  </si>
  <si>
    <t>P25700105</t>
  </si>
  <si>
    <t>NARESH</t>
  </si>
  <si>
    <t>RAJPUT</t>
  </si>
  <si>
    <t>Ashutosh Naresh Rajput</t>
  </si>
  <si>
    <t>rajputashu5514@gmail.com</t>
  </si>
  <si>
    <t>p25700105@student.nicmar.ac.in</t>
  </si>
  <si>
    <t>29-Jul-2000</t>
  </si>
  <si>
    <t>2929 4828 6064</t>
  </si>
  <si>
    <t>NARESH PRABHAKAR RAJPUT</t>
  </si>
  <si>
    <t>MAYA PRABHAKAR RAJPUT</t>
  </si>
  <si>
    <t>AT POST BULDHANA NEAR SARASWATI COLLEGE CHIKALI ROAD</t>
  </si>
  <si>
    <t>ST. JOSEPH'S ENGLISH HIGH SCHOOL BULDHANA</t>
  </si>
  <si>
    <t>MAHARASHTRA STATE BOARD OF SECONDARY AND HIGHER SECONDARY EDUCATION PUNE</t>
  </si>
  <si>
    <t>RAMBHAU LINGADE POLYTECHNIC COLLEGE BULDHANA</t>
  </si>
  <si>
    <t>DR. D.Y. PATIL COLLEGE OF ENGINEERING AKURDI, PUNE</t>
  </si>
  <si>
    <t>ABHIJEET INFRASERV PVT LTD | Site Engineer | CHIKHALI | May 2026 | Jun 2026 | 8 Weeks | Campus Internship
SHIVPRABHU CONSTRUCTION | SITE ENGINEER  | BULDHANA | Oct 2025 | Feb 2025 | -34.571428571429 Weeks</t>
  </si>
  <si>
    <t>P25700106</t>
  </si>
  <si>
    <t>NITISH</t>
  </si>
  <si>
    <t>BARUAH</t>
  </si>
  <si>
    <t>Nitish Baruah</t>
  </si>
  <si>
    <t>nitishbaruah724@gmail.com</t>
  </si>
  <si>
    <t>p25700106@student.nicmar.ac.in</t>
  </si>
  <si>
    <t>19-Dec-1999</t>
  </si>
  <si>
    <t>ENGLISH, HINDI, ASSAMESE</t>
  </si>
  <si>
    <t>6134 7282 7525</t>
  </si>
  <si>
    <t>ROHINI KUMAR BARUAH</t>
  </si>
  <si>
    <t>ACCOUNTS OFFICER, ASSAM SECRETARIAT (RETIRED)</t>
  </si>
  <si>
    <t>HIRAMONI BARUAH</t>
  </si>
  <si>
    <t>Kharghuli Road, Near Subham Residency, Kharghuli</t>
  </si>
  <si>
    <t>DON BOSCO SCHOOL GUWHATI ASSAM</t>
  </si>
  <si>
    <t>CENTRAL BOARD OF SECONDARY EDUCATION, GUWAHATI, ASSAM</t>
  </si>
  <si>
    <t>TEZPUR UNIVERSITY ( A CENTRAL UNIVERSITY ), TEZPUR, ASSAM</t>
  </si>
  <si>
    <t>AutoCAD,MS Office,MS Project,Primavera,Revit,STAAD Pro</t>
  </si>
  <si>
    <t>MaRS Planning &amp; Engineering Services Pvt. Ltd.  | Internship Trainee | Balighat, Simaluguri Town ( Nazira), Sivasagar District , Assam | May 2026 | Jul 2026 | 8.7142857142857 Weeks | Campus Internship
Construction Industry Development Council, New Delhi | Intern (online) | Guwahati | Jun 2021 | Jul 2021 | 4.1428571428571 Weeks
OFFICE OF THE EXECUTIVE ENGINEER, DUDHNOI AND GOALPARA EAST TERRITORIAL ROAD DIVISION, GOALPARA, ASSAM (Public Works Department Government of Assam) | Intern | Goalpara, Assam | Dec 2020 | Jan 2021 | 4.4285714285714 Weeks</t>
  </si>
  <si>
    <t>AUTOCAD
STAAD Pro
Revit</t>
  </si>
  <si>
    <t>P25700107</t>
  </si>
  <si>
    <t>DELVIN</t>
  </si>
  <si>
    <t>DAVIS</t>
  </si>
  <si>
    <t>C</t>
  </si>
  <si>
    <t>Delvin Davis C</t>
  </si>
  <si>
    <t>delvindavis97@gmail.com</t>
  </si>
  <si>
    <t>p25700107@student.nicmar.ac.in</t>
  </si>
  <si>
    <t>27-Jun-1997</t>
  </si>
  <si>
    <t>ENGLISH, MALAYALAM,  HINDI</t>
  </si>
  <si>
    <t>5055 8012 2559</t>
  </si>
  <si>
    <t>DAVIS C J</t>
  </si>
  <si>
    <t>RETD. POSTAL ASSISTANT</t>
  </si>
  <si>
    <t>LINET</t>
  </si>
  <si>
    <t>Chemmannur House Thiroor, Behind St.Thomas Church, Mulagunnathukavu P.O, Thrissur.</t>
  </si>
  <si>
    <t>2004-Jun</t>
  </si>
  <si>
    <t>JYOTHI ENGINEERING COLLEGE THRISSUR/KERALA</t>
  </si>
  <si>
    <t>AutoCAD,MS Office,MS Project,Primavera,Planswift,MS Excel</t>
  </si>
  <si>
    <t>PROGRAMME IMPLEMENTATION UNIT, LSGD | SITE ENGINEER | Thrissur | Nov 2024 | Jun 2025 | 0Y 7M | 3
USHUS PROPERTIES AND INFRASTRUCTURE PVT.LTD. (TBPL) | SITE ENGINEER TRAINEE | Thrissur | Sep 2022 | Feb 2023 | 0Y 5M | 0.96</t>
  </si>
  <si>
    <t>SOBHA Limited | Planning Engineer | Marina One, Kochi, Kerala | May 2026 | Jul 2026 | 9 Weeks | Campus Internship
CENTRE OF SCIENCE AND TECHNOLOGY FOR RURAL DEVELOPMENT | SITE SUPERVISION | THRISSUR | Jul 2018 | Jul 2018 | 0.57142857142857 Weeks</t>
  </si>
  <si>
    <t>QUANTITY SURVEYING
Finance for Non-Financial Managers
NPTEL/Business and Sustainable Development
NPTEL/Ethics in Engineering Practice</t>
  </si>
  <si>
    <t>P25700108</t>
  </si>
  <si>
    <t>KOUNAIN</t>
  </si>
  <si>
    <t>Kounain Khan</t>
  </si>
  <si>
    <t>kounain422@gmail.com</t>
  </si>
  <si>
    <t>p25700108@student.nicmar.ac.in</t>
  </si>
  <si>
    <t>02-Feb-2003</t>
  </si>
  <si>
    <t>5619 3286 5986</t>
  </si>
  <si>
    <t>NAWAB ALI</t>
  </si>
  <si>
    <t>TASLEEMUNNISA</t>
  </si>
  <si>
    <t>Plot No. 2/B/8, Shivaji Nagar, Govandi</t>
  </si>
  <si>
    <t>ENFANT INDIA ENGLISH SCHOOL</t>
  </si>
  <si>
    <t>SECONDARY SCHOOL CERTIFICATE, MUMBAI/ MAHARASHTRA</t>
  </si>
  <si>
    <t>VIVEKANAND EDUCATION SOCIETY'S POLYTECHNIC COLLEGE, MUMBAI/ MAHARASHTRA</t>
  </si>
  <si>
    <t>MAHATMA GANDHI MISSION'S COLLEGE OF ENGINEERING &amp; TECHNOLOGY, NAVI MUMBAI/ MAHARASHTRA</t>
  </si>
  <si>
    <t>Aakar Abhinav Consultants Pvt Ltd | Site Engineer | Mumbai, Maharashtra | Oct 2024 | Jul 2025 | 0Y 8M | 2.88</t>
  </si>
  <si>
    <t>P25700109</t>
  </si>
  <si>
    <t>SUBINIT</t>
  </si>
  <si>
    <t>NANDI</t>
  </si>
  <si>
    <t>Subinit Nandi</t>
  </si>
  <si>
    <t>nandisubinit@gmail.com</t>
  </si>
  <si>
    <t>p25700109@student.nicmar.ac.in</t>
  </si>
  <si>
    <t>09-Apr-1999</t>
  </si>
  <si>
    <t>BENGALI, ENGLISH, HINDI</t>
  </si>
  <si>
    <t>7619 4311 3106</t>
  </si>
  <si>
    <t>SIBAMOY NANDI</t>
  </si>
  <si>
    <t>RETIRED AXEN, NF RAILWAYS</t>
  </si>
  <si>
    <t>PAPRI NANDI</t>
  </si>
  <si>
    <t>B-14/13, KALYANI, NADIA, WEST BENGAL</t>
  </si>
  <si>
    <t>Nadia</t>
  </si>
  <si>
    <t>PANNALAL INSTITUTION</t>
  </si>
  <si>
    <t>WEST BENGAL BOARD OF SECONDARY EDUCATION WEST BENGAL</t>
  </si>
  <si>
    <t>WEST BENGAL COUNCIL OF HIGHER SECONDARY EDUCATION  WEST BENGAL</t>
  </si>
  <si>
    <t>HOOGHLY ENGINEERING &amp;TECHNOLOGY COLLEGE  WEST BENGAL</t>
  </si>
  <si>
    <t xml:space="preserve">AutoCAD, MS Office, MS Project, Primavera, BIM, CostX, </t>
  </si>
  <si>
    <t>VENSAR CONSTRUCTIONS COMPANY LIMITED | Graduate Trainee Engineer  | NAGALAND | Aug 2024 | Jun 2025 | 0Y 10M | 2.16</t>
  </si>
  <si>
    <t>Larsen &amp; Toubro Limited  | PLANNING AND EXECUTION | KALYANI, NADIA, WEST BENGAL | May 2026 | Jul 2026 | 8.7142857142857 Weeks | Campus Internship
Northeast Frontier Railway | INTERN | Maligaon, Guwahati | Jul 2022 | Aug 2022 | 4.1428571428571 Weeks</t>
  </si>
  <si>
    <t>WIND ENERGY</t>
  </si>
  <si>
    <t>P25700110</t>
  </si>
  <si>
    <t>Aditya Sarjerao Kshirsagar</t>
  </si>
  <si>
    <t>kshirsagaraditya2411@gmail.com</t>
  </si>
  <si>
    <t>p25700110@student.nicmar.ac.in</t>
  </si>
  <si>
    <t>24-Nov-2001</t>
  </si>
  <si>
    <t>4287 7810 1763</t>
  </si>
  <si>
    <t>SARJERAO B KSHIRSAGAR</t>
  </si>
  <si>
    <t>MEERA S KSHIRSAGAR</t>
  </si>
  <si>
    <t>Om Sadan, 71/1/2/197, Krushna Chowk Road ,near Samarth Vihar, New Sangavi Pune</t>
  </si>
  <si>
    <t>DAV PUBLIC SCHOOL AUNDH, PUNE</t>
  </si>
  <si>
    <t>CENTRAL BOARD OF SECONDARY EDUCATION (CBSE) PUNE, MAHARASHTRA</t>
  </si>
  <si>
    <t>2005-Feb</t>
  </si>
  <si>
    <t>A I S S M S POLYTECHNIC PUNE</t>
  </si>
  <si>
    <t>DR. D. Y. PATIL INSTITUTE OF TECHNOLOGY PUNE</t>
  </si>
  <si>
    <t>AutoCAD,MS Office,MS Project,Primavera,Staad pro,Ideastatica,RAM CONNECTIONS,CostX,Revit</t>
  </si>
  <si>
    <t>Partik Constructions | Site Engineer | Hinjawadi | Jun 2023 | Dec 2023 | 0Y 6M | 2.16
Antarkar Consulting Engineers | Structural Engineer | Bavdhan | Mar 2024 | Mar 2025 | 1Y 0M | 2.48</t>
  </si>
  <si>
    <t>Reliance Industries Limited, New Energy Business | Management Intern | Reliance Corporate Park, Ghansoli, Navi Mumbai | May 2026 | Jul 2026 | 8.5714285714286 Weeks | Campus Internship
RESONIC CONSTRUCTION | JUNIOR ENGINEER | PUNE | Dec 2023 | Feb 2024 | 8 Weeks
MAHARASHTRA METRO RAIL CORPORATION LIMITE, PUNE METRO | JUNIOR SITE ENGINEER INTERN | PUNE | Dec 2021 | Jan 2022 | 4.2857142857143 Weeks
ZILLA PARISHAD PUNE | JUNIOR ENGINEER | PUNE | May 2019 | Jun 2019 | 6 Weeks</t>
  </si>
  <si>
    <t>MSCIT
Information Technology
STAAD.PRO CONNECT edition
Finance for Non-Financial Managers</t>
  </si>
  <si>
    <t>P25700111</t>
  </si>
  <si>
    <t>DEVANSHU</t>
  </si>
  <si>
    <t>KODHEY</t>
  </si>
  <si>
    <t>Devanshu Dilip Kodhey</t>
  </si>
  <si>
    <t>devanshukodhey@gmail.com</t>
  </si>
  <si>
    <t>p25700111@student.nicmar.ac.in</t>
  </si>
  <si>
    <t>20-Jul-2003</t>
  </si>
  <si>
    <t>8857 6565 3854</t>
  </si>
  <si>
    <t>DILIP VITTHALRAO KODHEY</t>
  </si>
  <si>
    <t>RETIRED OFFICER</t>
  </si>
  <si>
    <t>VARSHA DILIP KODHEY</t>
  </si>
  <si>
    <t>FLAT NO. 1708, R16 - A BUILDING LIFE REPUBLIC MULSHI PUNE MARUNJI</t>
  </si>
  <si>
    <t>Plot No.459, New Subhedar Lay-out Near NIT Garden Nagpur</t>
  </si>
  <si>
    <t>SANJUBA HIGH SCHOOL</t>
  </si>
  <si>
    <t>MAHARASHTRA STATE BOARD OF SECONDARY AND HIGHER SECONDARY EDUCATION, PUNE  MAHARASHTRA</t>
  </si>
  <si>
    <t>G. H. RAISONI POLYTECHNIC, NAGPUR</t>
  </si>
  <si>
    <t>2019-Oct</t>
  </si>
  <si>
    <t>PRIYADARSHANI COLLEGE OF ENGINEERING, NAGPUR MAHARASHTRA.</t>
  </si>
  <si>
    <t>NABHA POWER LIMITED - Owned by L&amp;T | Trainee | Rajpura, Punjab. | Jun 2024 | Jul 2024 | 3 Weeks
PREETEE Builder | Trainee Engineer | Nagpur | Jul 2023 | Jul 2023 | 2.7142857142857 Weeks
KUKREJA INFRASTRUCTURE | Management Intern (Planning, Business Development)  | Nagpur | May 2026 | Jul 2026 | 9.2857142857143 Weeks</t>
  </si>
  <si>
    <t>P25700113</t>
  </si>
  <si>
    <t>PARMAR</t>
  </si>
  <si>
    <t>KIRPALSINH</t>
  </si>
  <si>
    <t>NARENDRASINH</t>
  </si>
  <si>
    <t>Parmar Kirpalsinh Narendrasinh</t>
  </si>
  <si>
    <t>parmarkirpal4189@gmail.com</t>
  </si>
  <si>
    <t>p25700113@student.nicmar.ac.in</t>
  </si>
  <si>
    <t>20-Dec-2002</t>
  </si>
  <si>
    <t>GUJARATI, HINDI AND ENGLISH</t>
  </si>
  <si>
    <t>6102 0358 9494</t>
  </si>
  <si>
    <t>NARENDRASINH PARMAR</t>
  </si>
  <si>
    <t>TALUKA HEALTH SUPERVISOR</t>
  </si>
  <si>
    <t>BHAVNABEN PARMAR</t>
  </si>
  <si>
    <t>A7 Shastri Park Society, Nava Bajar, Karjan</t>
  </si>
  <si>
    <t>Vadodara</t>
  </si>
  <si>
    <t>PRAMUKH SWAMI VIDHYALAYA</t>
  </si>
  <si>
    <t>GUJARAT SECONDARY &amp; HIGHER SECONDARY EDUCATION BOARD, GUJARAT</t>
  </si>
  <si>
    <t>SARDAR VALLBHBHAI NATIONAL INSTITUTE OF TECHNOLOGY</t>
  </si>
  <si>
    <t>SARDAR VALLBHBHAI NATIONAL INSTITUTE OF TECHNOLOGY, SURAT</t>
  </si>
  <si>
    <t>ANP Shelter LLP | INTERNSHIP TRAINEE | Pune | May 2026 | Jul 2026 | 8.7142857142857 Weeks | Campus Internship
GUJARAT ALKALIES AND CHEMICALS LIMITED | APPRENTICE GRADUATE ENGINEER | DAHEJ | Apr 2025 | Jun 2025 | 12.714285714286 Weeks
NATIONAL HIGHWAY AUTHORITY OF INDIA, PIU-SURAT | INTERNSHIP TRAINEE | SURAT | Jan 2024 | Apr 2024 | 14.714285714286 Weeks</t>
  </si>
  <si>
    <t>P25700114</t>
  </si>
  <si>
    <t>Aditya Krishna R</t>
  </si>
  <si>
    <t>adityakrishnar2002@gmail.com</t>
  </si>
  <si>
    <t>p25700114@student.nicmar.ac.in</t>
  </si>
  <si>
    <t>ENGLISH , MALAYALAM , HINDI</t>
  </si>
  <si>
    <t>4053 8309 4194</t>
  </si>
  <si>
    <t>P M REJIMON</t>
  </si>
  <si>
    <t>GOVERNMENT  SERVANT</t>
  </si>
  <si>
    <t>NIMMI DAMODHARAN</t>
  </si>
  <si>
    <t>REJI BHAVAN , MANIYAM KUNNU , POONJAR THEKKEKKARA , POONJAR THEKKEKKARA</t>
  </si>
  <si>
    <t>HOLY SPIRIT PUB SCH PAYYANITHOTTAM KOTTAYAM KL</t>
  </si>
  <si>
    <t>S M V HSS</t>
  </si>
  <si>
    <t>GOVERNMENT OF KERALA BOARD OF HIGHER SECONDARY EDUCATION</t>
  </si>
  <si>
    <t>A P J ABDUL KALAM TECHNOLOGICAL UNIVERSITY , THIRUVANANTHAPURAM , KERALA</t>
  </si>
  <si>
    <t>AMAL JYOTHI COLLEGE OF ENGINEERING , KANJIRAPPALLY , KERALA</t>
  </si>
  <si>
    <t>Silpi Global Pvt. Ltd. | Site Engineer | KOCHI | Jul 2024 | Jun 2025 | 0Y 10M | 2.34</t>
  </si>
  <si>
    <t>Rodic Consultants Pvt. Ltd. | Operations Intern | New Delhi | May 2026 | Jul 2026 | 8.5714285714286 Weeks | Campus Internship
Kerala State Public Works Department | Site Engineer Intern | KOTTAYAM  | May 2023 | May 2023 | 0.57142857142857 Weeks</t>
  </si>
  <si>
    <t>Introduction to AutoCAD</t>
  </si>
  <si>
    <t>P25700115</t>
  </si>
  <si>
    <t>Yash Santosh Kadam</t>
  </si>
  <si>
    <t>yk.yashkadam@gmail.com</t>
  </si>
  <si>
    <t>p25700115@student.nicmar.ac.in</t>
  </si>
  <si>
    <t>11-Feb-2003</t>
  </si>
  <si>
    <t>3916 9932 3288</t>
  </si>
  <si>
    <t>SANTOSH KADAM</t>
  </si>
  <si>
    <t>DIKSHA KADAM</t>
  </si>
  <si>
    <t>Dharma Apartments, Near Baal Gopal School, Pimpri Pune 411017.</t>
  </si>
  <si>
    <t>JAI HIND HIGH SCHOOL</t>
  </si>
  <si>
    <t>PIMPRI CHINCHWAD POLYTECHNIC, PUNE, MAHARASHTRA</t>
  </si>
  <si>
    <t>SYMBIOSIS SKILLS &amp; OPEN UNIVERSITY</t>
  </si>
  <si>
    <t>SYMBIOSIS SKILLS &amp; PROFESSIONAL UNIVERSITY, PUNE, MAHARASHTRA.</t>
  </si>
  <si>
    <t>P25700116</t>
  </si>
  <si>
    <t>DWITESH</t>
  </si>
  <si>
    <t>Dwitesh Dilip Pawar</t>
  </si>
  <si>
    <t>dwiteshpawar@gmail.com</t>
  </si>
  <si>
    <t>p25700116@student.nicmar.ac.in</t>
  </si>
  <si>
    <t>28-Jun-2002</t>
  </si>
  <si>
    <t>2250 9931 9141</t>
  </si>
  <si>
    <t>DILIP VISHRAM PAWAR</t>
  </si>
  <si>
    <t>SERVICE IN B.E.S.T</t>
  </si>
  <si>
    <t>DAKSHATA DILIP PAWAR</t>
  </si>
  <si>
    <t>201/7- Ravi Chintan, Ravi Chintan 7-8 CHS LTD., Gaurav Sankalp Phase-1, Next To Shanti Vidya Nagari, Near GCC Club, Hatkesh, Mira Road (E), Mira Bhayander Road, Thane</t>
  </si>
  <si>
    <t>VEDANT INTERNATIONAL HIGH SCHOOL</t>
  </si>
  <si>
    <t>ZAGDU SINGH CHARITABLE TRUST'S THAKUR POLYTECHNIC, KANDIVALI (E), MUMBAI, MAHARASHTRA.</t>
  </si>
  <si>
    <t>THAKUR COLLEGE OF ENGINEERING AND TECHNOLOGY, KANDIVALI (E), MUMBAI, MAHARASHTRA.</t>
  </si>
  <si>
    <t>AutoCAD, MS Office, MS Project, Primavera, Revit, SmartPLS</t>
  </si>
  <si>
    <t>Ajmera Group of Companies | Construction Management Intern  | Mumbai | May 2026 | Jul 2026 | 8 Weeks | Campus Internship
INDIAN KNOWLEDGE SYSTEM DIVISION MINISTRY OF EDUCATION, GOVERNMENT OF INDIA | RESEARCH INTERN | MUMBAI | Aug 2023 | Oct 2023 | 8.7142857142857 Weeks
MINISTRY OF HOUSING AND URBAN AFFAIRS | RESEARCH INTERN | MUMBAI | Jul 2022 | Aug 2022 | 5 Weeks</t>
  </si>
  <si>
    <t>P25700117</t>
  </si>
  <si>
    <t>Utkarsh Singh</t>
  </si>
  <si>
    <t>singhu381@gmail.com</t>
  </si>
  <si>
    <t>p25700117@student.nicmar.ac.in</t>
  </si>
  <si>
    <t>01-Oct-2001</t>
  </si>
  <si>
    <t>ENGLISH &amp; HINDI</t>
  </si>
  <si>
    <t>7155 4007 3416</t>
  </si>
  <si>
    <t>VIMLESH</t>
  </si>
  <si>
    <t>AUDIT OFFICER</t>
  </si>
  <si>
    <t>LEENA ANANT</t>
  </si>
  <si>
    <t>House No.1, Adarsh Street 3, Adarsh Nagar, Mowa, Raipur</t>
  </si>
  <si>
    <t>Raipur</t>
  </si>
  <si>
    <t>GYAN GANGA EDUCATIONAL ACADEMY</t>
  </si>
  <si>
    <t>CENTRAL BOARD OF SECONDARY EDUCATION (RAIPUR,CHATTISGARH)</t>
  </si>
  <si>
    <t>CHHATTISGARH SWAMI VIVEKANAND TECHNICAL UNIVERSITY, BHILAI, CHATTISSGARH</t>
  </si>
  <si>
    <t>SHRI SHANKARACHARYA INSTITUTE OF PROFESSIONAL MANAGEMENT AND TECHNOLOGY, RAIPUR ,CHATTISSGARH</t>
  </si>
  <si>
    <t>AutoCAD,MS Office,MS Project,Primavera,MS EXCEL,MS POWERPOINT,POWER BI</t>
  </si>
  <si>
    <t>RITES LIMITED | Project Management Intern | GURUGRAM | May 2026 | Jul 2026 | 9 Weeks | Campus Internship
NAVA RAIPUR ATAL NAGAR SMART CITY CORPORATION LIMITED | SITE INTERN | RAIPUR | Feb 2023 | Aug 2023 | 25.714285714286 Weeks
CAD BRAIN | Design and Analyst Intern | Raipur | Jul 2022 | Jul 2022 | 1.7142857142857 Weeks</t>
  </si>
  <si>
    <t>REVIT
AUTOCAD</t>
  </si>
  <si>
    <t>P25700118</t>
  </si>
  <si>
    <t>PALASH</t>
  </si>
  <si>
    <t>BHAGAT</t>
  </si>
  <si>
    <t>Palash Bhagat</t>
  </si>
  <si>
    <t>palash.bhagat04@gmail.com</t>
  </si>
  <si>
    <t>p25700118@student.nicmar.ac.in</t>
  </si>
  <si>
    <t>04-Aug-2000</t>
  </si>
  <si>
    <t>9007 0678 2351</t>
  </si>
  <si>
    <t>RAVINDRA NATH BHAGAT</t>
  </si>
  <si>
    <t>ASHA BHAGAT</t>
  </si>
  <si>
    <t>E-601,JAI VIJAY , KOLTE PATIL_x000D_
VILE PARLE,MUMBAI</t>
  </si>
  <si>
    <t>Unit D, Sector 4, Row House 9_x000D_
Row House 9</t>
  </si>
  <si>
    <t>Ranchi</t>
  </si>
  <si>
    <t>Jharkhand</t>
  </si>
  <si>
    <t>DELHI PUBLIC SCHOOL,SAIL TOWNSHIP DHURWA,RANCHI,JH</t>
  </si>
  <si>
    <t>SUSHANT UNIVERSITY , GURUGRAM</t>
  </si>
  <si>
    <t>SCHOOL OF ART AND ARCHITECTURE , GURUGRAM</t>
  </si>
  <si>
    <t>AutoCAD,MS Office,MS Project,Primavera,ARCHICAD,PHOTOSHOP,SKETCHUP,LUMION</t>
  </si>
  <si>
    <t>DESIGNERS GROUP | ARCHITECT | Mumbai | May 2024 | Jul 2025 | 1Y 2M | 3</t>
  </si>
  <si>
    <t>Cherry Hill Interiors Pvt. Ltd. | Project Management Intern – Interior Fit-Out | New Delhi | May 2026 | Jul 2026 | 8.2857142857143 Weeks | Campus Internship
We Design | Intern Architect | Delhi | Jun 2022 | Dec 2022 | 26.142857142857 Weeks</t>
  </si>
  <si>
    <t>P25700119</t>
  </si>
  <si>
    <t>AHMED</t>
  </si>
  <si>
    <t>SHEIKH</t>
  </si>
  <si>
    <t>Sahil Ahmed Sheikh</t>
  </si>
  <si>
    <t>sahil2b23@gmail.com</t>
  </si>
  <si>
    <t>p25700119@student.nicmar.ac.in</t>
  </si>
  <si>
    <t>27-Aug-1999</t>
  </si>
  <si>
    <t>ENGLISH , HINDI</t>
  </si>
  <si>
    <t>7827 7817 6531</t>
  </si>
  <si>
    <t>SHAKIR AHMED SHEIKH</t>
  </si>
  <si>
    <t>SHAMINA PARVIN SHEIKH</t>
  </si>
  <si>
    <t>G193/1-c ,near Church, Behind Lucky Palace, Bhopal Pura Road , Bhilwara</t>
  </si>
  <si>
    <t>Bhilwara</t>
  </si>
  <si>
    <t>SH ADARSH VIDYA NIKETAN SR. SEC. SCHOOL</t>
  </si>
  <si>
    <t>BOARD OF SECONDARY EDUCATION , RAJASTHAN</t>
  </si>
  <si>
    <t>SANGAM UNIVERSITY, BHILWARA, RAJASTHAN</t>
  </si>
  <si>
    <t>SANGAM UNIVERSITY</t>
  </si>
  <si>
    <t>Aditi Constructions | Site Engineer | BHILWARA, RAJASTHAN | Jul 2021 | Jun 2022 | 0Y 11M | 2.4</t>
  </si>
  <si>
    <t>SRI VAARAHI Real Assets | Real Estate Advisor  | Hyderabad | May 2026 | Jul 2026 | 8.7142857142857 Weeks | Campus Internship
GARUDA DEVELOPERS | INTERN | KUDASAN, GANDHINAGAR, GUJARAT | Jan 2021 | Jun 2021 | 24 Weeks</t>
  </si>
  <si>
    <t>AutoCAD / "Introduction to CAD"</t>
  </si>
  <si>
    <t>P25700121</t>
  </si>
  <si>
    <t>DEVGAONKAR</t>
  </si>
  <si>
    <t>Devgaonkar Yash Santosh</t>
  </si>
  <si>
    <t>ydevgaonkar@gmail.com</t>
  </si>
  <si>
    <t>p25700121@student.nicmar.ac.in</t>
  </si>
  <si>
    <t>3256 8722 9996</t>
  </si>
  <si>
    <t>SANTOSH DEVGAONKAR</t>
  </si>
  <si>
    <t>POOJA</t>
  </si>
  <si>
    <t>Rashin, Taluka: Karjat, District: Ahmednagar</t>
  </si>
  <si>
    <t>DYNAMIC ENGLISH SCHOOL</t>
  </si>
  <si>
    <t>KOTA MENTORS COLLEGE, KARJAT</t>
  </si>
  <si>
    <t>BHARTI VIDYAPEETH DEEMED UNIVERSITY PUNE</t>
  </si>
  <si>
    <t>BHARTI VIDYAPEETH COLLEGE OF ENGINEERING PUNE ,MAHARASHTRA</t>
  </si>
  <si>
    <t>Pune Metro Rail Corporation Limited (PMRCL)  | Civil, Construction Intern | Phugewadi Metro station, Pune | May 2026 | Jul 2026 | 9.7142857142857 Weeks | Campus Internship
PAVETECH CONSULTANTS PUNE | INTERN | PUNE | Jun 2024 | Aug 2024 | 8.7142857142857 Weeks</t>
  </si>
  <si>
    <t>P25700122</t>
  </si>
  <si>
    <t>MANISHA</t>
  </si>
  <si>
    <t>HADIMANI</t>
  </si>
  <si>
    <t>Manisha M Hadimani</t>
  </si>
  <si>
    <t>hadimanimanisha@gmail.com</t>
  </si>
  <si>
    <t>p25700122@student.nicmar.ac.in</t>
  </si>
  <si>
    <t>14-Dec-2002</t>
  </si>
  <si>
    <t>2294 7071 2810</t>
  </si>
  <si>
    <t>M M HADIMANI</t>
  </si>
  <si>
    <t>POLICE DEPT</t>
  </si>
  <si>
    <t>ANUMATI</t>
  </si>
  <si>
    <t>#16, Shakti Colony, NEAR Water Tank, Sub Jail, Hubli, Karnataka</t>
  </si>
  <si>
    <t>Hubli</t>
  </si>
  <si>
    <t>KENDRIYA VIDYALAYA NO. 1</t>
  </si>
  <si>
    <t>VIDYANIKETHAN SC PU COLLEGE</t>
  </si>
  <si>
    <t>PRELIMINARY UNIVERSITY EDUCATION, HUBLI, KARNATAKA</t>
  </si>
  <si>
    <t>KLE TECHNOLOGICAL UNIVERSITY ( BVB), HUBLI KARNATAKA</t>
  </si>
  <si>
    <t>KLE TECHNOLOGICAL UNIVERSITY (BVB), HUBLI KARNATAKA</t>
  </si>
  <si>
    <t>AutoCAD,MS Office,MS Project,Primavera,Sap2000,Revit,Etabs,Surfer,Python,Matlab</t>
  </si>
  <si>
    <t>Ahluwalia contracts (india) ltd | Intern | Bengaluru Karnataka | May 2026 | Jul 2026 | 8.7142857142857 Weeks | Campus Internship
N B Hiremath | Project Intern | H.No. 7, 3rd cross, Hosur, HUBLI- 580021 | Jan 2024 | Mar 2024 | 8.5714285714286 Weeks</t>
  </si>
  <si>
    <t>P25700123</t>
  </si>
  <si>
    <t>PREETHIKA</t>
  </si>
  <si>
    <t>KUNDURU</t>
  </si>
  <si>
    <t>Preethika Kunduru</t>
  </si>
  <si>
    <t>kundurupreethika@gmail.com</t>
  </si>
  <si>
    <t>p25700123@student.nicmar.ac.in</t>
  </si>
  <si>
    <t>07-Aug-2002</t>
  </si>
  <si>
    <t>ENGLISH, HINDI, TELUGU</t>
  </si>
  <si>
    <t>7039 0680 7357</t>
  </si>
  <si>
    <t>SRINIVASULU KUNDURU</t>
  </si>
  <si>
    <t>UDAYASRI KUNDURU</t>
  </si>
  <si>
    <t>Flat No. 502, Sai Mayuri Residency,_x000D_
H No. 1-1-538/1/502,_x000D_
Near Andhra Cafe,_x000D_
Gandhi Nagar, New Bakaram</t>
  </si>
  <si>
    <t>FIITJEE WORLD SCHOOL</t>
  </si>
  <si>
    <t>METHODIST COLLEGE OF ENGINEERING AND TECHNOLOGY, TELANGANA</t>
  </si>
  <si>
    <t>MS Office,MS Project,Tableau,Power BI</t>
  </si>
  <si>
    <t>Rodic Consultants Pvt Ltd.  | Operations - Intern  | Delhi | May 2026 | Jul 2026 | 8.7142857142857 Weeks | Campus Internship
Imarat Consulting Services | Intern | Hyderabad | Oct 2021 | Nov 2021 | 4.4285714285714 Weeks
TURINGMINDS.AI | DATA SCIENTIST  | HYDERABAD | Oct 2022 | May 2023 | 31.857142857143 Weeks</t>
  </si>
  <si>
    <t>P25700124</t>
  </si>
  <si>
    <t>SONAWANE</t>
  </si>
  <si>
    <t>Sonawane Rutuja Pravin</t>
  </si>
  <si>
    <t>sonawanerutuja72@gmail.com</t>
  </si>
  <si>
    <t>p25700124@student.nicmar.ac.in</t>
  </si>
  <si>
    <t>ENGLISH , HINDI , MARATHI</t>
  </si>
  <si>
    <t>5031 4442 1144</t>
  </si>
  <si>
    <t>PRAVIN DAMU SONAWANE</t>
  </si>
  <si>
    <t>MALTI PRAVIN SONAWANE</t>
  </si>
  <si>
    <t>More Nagar,Satana , Nashik .</t>
  </si>
  <si>
    <t>BEST ENGLISH MEDIUM SCHOOL</t>
  </si>
  <si>
    <t>MAHARASHTRA STATE BOARD OF SECONDARY AND HIGHER SECONDARY EDUCATION , PUNE</t>
  </si>
  <si>
    <t>SIDDHI INTERNATIONAL SCHOOL AND JUNIOR COLLEGE</t>
  </si>
  <si>
    <t>ALL INDIA SHRI SHIVAJI MEMORIAL SOCIETY COLLEGE OF ENGINEERING, PUNE</t>
  </si>
  <si>
    <t>AutoCAD, MS Office, MS Project ,Primavera , Revit</t>
  </si>
  <si>
    <t>Tirumala Enterprises Engineers and Contractors | Construction Management Trainee | Pune | May 2026 | Jul 2026 | 8.7142857142857 Weeks | Campus Internship
KRUSHNARANG DEVELOPERS | Site Engineer | Pune | Dec 2022 | Jan 2023 | 4 Weeks</t>
  </si>
  <si>
    <t>P25700125</t>
  </si>
  <si>
    <t>SUBHASH</t>
  </si>
  <si>
    <t>WATADE</t>
  </si>
  <si>
    <t>Shraddha Subhash Watade</t>
  </si>
  <si>
    <t>shraddhawatade@gmail.com</t>
  </si>
  <si>
    <t>p25700125@student.nicmar.ac.in</t>
  </si>
  <si>
    <t>06-Aug-2000</t>
  </si>
  <si>
    <t>MARATHI, ENGLISH, HINDI</t>
  </si>
  <si>
    <t>8696 1844 8185</t>
  </si>
  <si>
    <t>SUBHASH WATADE</t>
  </si>
  <si>
    <t>CHEMICAL ENGINEER</t>
  </si>
  <si>
    <t>ASHA WATADE</t>
  </si>
  <si>
    <t>R.C.F. Colony,_x000D_
Type 3B, Bldg No. 36, Room No. 408, Landmark R.C.F. Sports Complex, _x000D_
Chembur, Mumbai 400074.</t>
  </si>
  <si>
    <t>LORETO CONVENT SCHOOL</t>
  </si>
  <si>
    <t>MAHATMA GANDHI MISSION'S COLLEGE OF ENGINEERING AND TECHNOLOGY</t>
  </si>
  <si>
    <t>AutoCAD,MS Office,MS Project,Primavera,Lean 6 Sigma Green Belt</t>
  </si>
  <si>
    <t>Geeta Enterprises | Civil Engineer | Chembur, Mumbai | Jan 2024 | Jun 2025 | 1Y 5M | 2.4</t>
  </si>
  <si>
    <t>Agami Realty | Business Development | Bandra, Mumbai | May 2026 | Jul 2026 | 8.7142857142857 Weeks | Campus Internship
A K Associates Engineer &amp; Contractors | Civil Engineer | Mumbai | Oct 2022 | Sep 2023 | 51.571428571429 Weeks</t>
  </si>
  <si>
    <t>Supply Chain &amp; Operation Management
Project Management with Primavera p6
General Management - Leadership &amp; Function of Management</t>
  </si>
  <si>
    <t>P25700126</t>
  </si>
  <si>
    <t>SRI VANI</t>
  </si>
  <si>
    <t>GAJJALAKONDA</t>
  </si>
  <si>
    <t>Sri Vani Gajjalakonda</t>
  </si>
  <si>
    <t>srivanigajjalakonda@gmail.com</t>
  </si>
  <si>
    <t>p25700126@student.nicmar.ac.in</t>
  </si>
  <si>
    <t>14-Aug-2001</t>
  </si>
  <si>
    <t>ENGLISH,HINDI,TELUGU</t>
  </si>
  <si>
    <t>2624 3757 6330</t>
  </si>
  <si>
    <t>G VENKATARAO</t>
  </si>
  <si>
    <t>DAILY WORKER</t>
  </si>
  <si>
    <t>G JAYA LAKSHMI</t>
  </si>
  <si>
    <t>ASHA WORKER</t>
  </si>
  <si>
    <t>70-1-12,6/1 BAVAJI NAGAR, I.P.D COLONY, SANGADIGUNTA</t>
  </si>
  <si>
    <t>Guntur</t>
  </si>
  <si>
    <t>Block No:C10,Flat No:F1,AP Tidco House,Adavitakkellapadu,Guntur West</t>
  </si>
  <si>
    <t>SRI SATYA SAI VIDYA VIHAR PRIMARY SCHOOL, SAI BOMMIDALA NAGAR, GUNTUR</t>
  </si>
  <si>
    <t>M.B.T.S.GOVT. POLYTECHNIC-GUNTUR</t>
  </si>
  <si>
    <t>JAWAHARLAL NEHRU TECHNOLOGICAL UNIVERSITY, KAKINADA</t>
  </si>
  <si>
    <t>SAGI RAMA KRISHNAM RAJU ENGINEERING COLLEGE (AUTONOMOUS), ANDHRA PRADESH</t>
  </si>
  <si>
    <t>AutoCAD, STAAD Pro(Structural Analysis), MS Project, Primavera P6, CostX(Quantity Takeoff &amp; Cost Estimation), Autodesk Revit(BIM Modeling), Autodesk Navisworks(Clash Detection &amp; Model Coordination), Microsoft Excel &amp; PowerPoint, SmartPLS</t>
  </si>
  <si>
    <t>FORTRESS INFRACON LIMITED | INTERN(Infrastructure Advisory &amp; Project Consulting) | AMARAVATHI | May 2026 | Jul 2026 | 8.7142857142857 Weeks | Campus Internship
HENOTIC TECHNOLOGY PVT LTD | Internship Trainee | HYDERABAD | Jul 2022 | Sep 2022 | 8.7142857142857 Weeks
ROADS AND BUILDINGS DEPARTMENT, KAKINADA | SITE ENGINEER TRAINEE | EAST GODAVARI, AP | Jun 2023 | Jul 2023 | 8.5714285714286 Weeks
TATA PROJECTS LIMITED | STRUCTURAL ANALYSIS AND DESIGN INTERN | SECUNDERABAD | Dec 2023 | Mar 2024 | 15.428571428571 Weeks</t>
  </si>
  <si>
    <t>P25700127</t>
  </si>
  <si>
    <t>ARPITA</t>
  </si>
  <si>
    <t>RITESH</t>
  </si>
  <si>
    <t>DESHMUKH</t>
  </si>
  <si>
    <t>Arpita Ritesh Deshmukh</t>
  </si>
  <si>
    <t>arpitadeshmukh0501@gmail.com</t>
  </si>
  <si>
    <t>p25700127@student.nicmar.ac.in</t>
  </si>
  <si>
    <t>05-Jan-2001</t>
  </si>
  <si>
    <t>6712 4245 3895</t>
  </si>
  <si>
    <t>RITESH DESHMUKH</t>
  </si>
  <si>
    <t>GOVERNMENT EMPLOYEE (MSRDC)</t>
  </si>
  <si>
    <t>VAISHALI DESHMUKH</t>
  </si>
  <si>
    <t>Shree Laxmi Milestone Apartment, Kirti Nagar, Dighori, Nagpur</t>
  </si>
  <si>
    <t>RELIANCE FOUNDATION SCHOOL, DAHALI MOUDA, NAGPUR</t>
  </si>
  <si>
    <t>2007-Jun</t>
  </si>
  <si>
    <t>NUTAN BHARAT VIDHYALAYA &amp; JR. COLLEGE</t>
  </si>
  <si>
    <t>PRIYADARSHINI INSTITUTE OF ARCHITECTURE AND DESIGN STUDIES, NAGPUR, MAHARASHTRA</t>
  </si>
  <si>
    <t>AutoCAD,MS Office,MS Project,Sketch up,Lumion,Enscape,Photoshop,Revit</t>
  </si>
  <si>
    <t>Pidilite Industries limited  | Summer Intern | Dr. Cipy office, Pune | May 2026 | Jun 2026 | 7.5714285714286 Weeks | Campus Internship
Saptak Patel Architects | Architectural Intern | Ahmedabad | Dec 2023 | Apr 2024 | 15.857142857143 Weeks</t>
  </si>
  <si>
    <t>Certified Associate in  Project Management  (CAPM)</t>
  </si>
  <si>
    <t>P25700128</t>
  </si>
  <si>
    <t>RAKSHITHA</t>
  </si>
  <si>
    <t>G R</t>
  </si>
  <si>
    <t>Rakshitha G R</t>
  </si>
  <si>
    <t>rakshitha.gondkar@gmail.com</t>
  </si>
  <si>
    <t>p25700128@student.nicmar.ac.in</t>
  </si>
  <si>
    <t>19-Jun-2000</t>
  </si>
  <si>
    <t>ENGLISH, HINDI, KANNADA, TAMIL, MARATHI</t>
  </si>
  <si>
    <t>4978 7619 0376</t>
  </si>
  <si>
    <t>RAJESH G L</t>
  </si>
  <si>
    <t>DEPUTY MANAGER, BHARAT ELECTRONICS LIMITED,BENGALURU</t>
  </si>
  <si>
    <t>AARATHI K</t>
  </si>
  <si>
    <t>ASSISTANT ADMINISTRATIVE OFFICER, DEFENCE ESTATES OFFICE,GOA</t>
  </si>
  <si>
    <t>1366, 5TH MAIN, E BLOCK, 2ND STAGE, RAJAJINAGAR, BENGALURU-560010</t>
  </si>
  <si>
    <t>SRI VANI PUBLIC SCHOOL, BANGALORE</t>
  </si>
  <si>
    <t>MES KISHORA KENDRA PU COLLEGE, BANGALORE</t>
  </si>
  <si>
    <t>B.M.S COLLEGE OF ARCHITECTURE, BENGALURU</t>
  </si>
  <si>
    <t>AutoCAD,MS Office,MS Project,Primavera,SKETCHUP,VRAY,PHOTOSHOP,ENSCAPE,LUMION</t>
  </si>
  <si>
    <t>Int-Hab - Architecture + Design Studio | JUNIOR ARCHITECT | BENGALURU | Sep 2023 | Dec 2024 | 1Y 3M | 2.04</t>
  </si>
  <si>
    <t>Cushman &amp; Wakefield - Commercial Real Estate Services | Project Management Intern | Bengaluru | May 2026 | Jul 2026 | 8.5714285714286 Weeks | Campus Internship
THE DESIGN FIRM | INTERN ARCHITECT | BENGALURU | Aug 2022 | Dec 2022 | 15.714285714286 Weeks</t>
  </si>
  <si>
    <t>P25700129</t>
  </si>
  <si>
    <t>ANEENA</t>
  </si>
  <si>
    <t>JOHNSON</t>
  </si>
  <si>
    <t>Aneena Johnson</t>
  </si>
  <si>
    <t>aneenajohnsonpanokkaran@gmail.com</t>
  </si>
  <si>
    <t>p25700129@student.nicmar.ac.in</t>
  </si>
  <si>
    <t>14-Feb-2003</t>
  </si>
  <si>
    <t>ENGLISH,MALAYALAM,HINDI</t>
  </si>
  <si>
    <t>4844 6087 4025</t>
  </si>
  <si>
    <t>JOHNSON P L</t>
  </si>
  <si>
    <t>RETIRED SENIOR SUPERINTENDENT,KSEB</t>
  </si>
  <si>
    <t>JASMINE JACOB</t>
  </si>
  <si>
    <t>ASSISTANT MANAGER,KSFE</t>
  </si>
  <si>
    <t>Panokkaran House,Kovilakaparambu,Ayyanthole,Thrissur,_x000D_
Kerala,680003</t>
  </si>
  <si>
    <t>DEVAMATHA CMI PUBLIC SCHOOL THIRUVAMBADY THRISSUR KL</t>
  </si>
  <si>
    <t>CENTRAL BOARD OF SECONDARY EDUCATION, KERALA</t>
  </si>
  <si>
    <t>VIDYA ACADEMY OF SCIENCE AND TECHNOLOGY, THRISSUR</t>
  </si>
  <si>
    <t>AutoCAD,REVIT,MS Project,Primavera,STAAD Pro</t>
  </si>
  <si>
    <t>KABI &amp; ASSOCIATES-ARBITRATION CHAMBERS | Contracts and Claims Management Intern | New Delhi | May 2026 | Jul 2026 | 8.7142857142857 Weeks | Campus Internship
PUBLIC WORKS DEPARTMENT BUILDINGS SECTION NO.2 AYYANTHOLE, THRISSUR | INTERN | AYYANTHOLE,THRISSUR,KERALA | Jul 2024 | Jul 2024 | 0.57142857142857 Weeks
KOCHI METRO RAIL LIMITED (KMRL) | INTERN | KOCHI,KERALA | May 2023 | May 2023 | 1 Weeks</t>
  </si>
  <si>
    <t>P25700130</t>
  </si>
  <si>
    <t>PRANJAL</t>
  </si>
  <si>
    <t>ANNASAHEB</t>
  </si>
  <si>
    <t>KAJABE</t>
  </si>
  <si>
    <t>Pranjal Annasaheb Kajabe</t>
  </si>
  <si>
    <t>ar.pranjalkajabe@gmail.com</t>
  </si>
  <si>
    <t>p25700130@student.nicmar.ac.in</t>
  </si>
  <si>
    <t>03-Jul-2001</t>
  </si>
  <si>
    <t>7833 7849 9653</t>
  </si>
  <si>
    <t>BEBI</t>
  </si>
  <si>
    <t>ANURAG APARTMENT , FALT NO.-4 , FLOOR-2ND , NEAR  NAVSHANTI NIKETAN SOCIETY</t>
  </si>
  <si>
    <t>RUTUGANDHA BUNGLOW,NEAR BANJ NOF MAHARASHTRA ALE, AT POST ALEPHATA</t>
  </si>
  <si>
    <t>R.B.D.VIDYALAYA WADGAON ANAND</t>
  </si>
  <si>
    <t>SPPU PUNE</t>
  </si>
  <si>
    <t>DYANMANDIR JUNIOR COLLEGE ,ALE</t>
  </si>
  <si>
    <t>SPPU</t>
  </si>
  <si>
    <t>D.Y. PATIL COLLEGE OF ARCHITECTURE AKURDI,PUNE</t>
  </si>
  <si>
    <t>AutoCAD,MS Office,MS Project,Primavera,SKETCHUP,PHOTOSHOP,LUMION,WORLD,ENSCAPE,REVIT</t>
  </si>
  <si>
    <t>ECAS.CO | Founder's office intern | Pune | May 2026 | Jul 2026 | 8.7142857142857 Weeks | Campus Internship
ARVIND VAIDYA &amp; ASOCCIATES | INTERN - ARCHITECTURE&amp; DESIGN | SANGAMNER | Jul 2023 | Dec 2023 | 21.285714285714 Weeks</t>
  </si>
  <si>
    <t>P25700131</t>
  </si>
  <si>
    <t>PRAGATHY</t>
  </si>
  <si>
    <t>S P</t>
  </si>
  <si>
    <t>Pragathy S P</t>
  </si>
  <si>
    <t>pragathysp123@gmail.com</t>
  </si>
  <si>
    <t>p25700131@student.nicmar.ac.in</t>
  </si>
  <si>
    <t>07-Mar-2000</t>
  </si>
  <si>
    <t>3431 3233 8679</t>
  </si>
  <si>
    <t>PRASANNA KUMAR S K</t>
  </si>
  <si>
    <t>SUMA S</t>
  </si>
  <si>
    <t>GOVERMENT EMPLOYEE</t>
  </si>
  <si>
    <t>Prasadam, AGRA 33L, Aiswarya Gardens, Vazhayila, Peroorkada P.O, Thiruvananthapuram, 695005</t>
  </si>
  <si>
    <t>Thiruvananthapuram</t>
  </si>
  <si>
    <t>GOVERNMENT HIGHER SECONDARY SCHOOL FOR GIRLS, COTTON HILL</t>
  </si>
  <si>
    <t>KERALA BOARD OF PUBLIC EXAMINATIONS, KERALA</t>
  </si>
  <si>
    <t>GOVERNMENT GIRLS HIGHER SECONDARY SCHOOL, PEROORKADA</t>
  </si>
  <si>
    <t>BOARD OF HIGHER SECONDARY EDUCATION, KERALA</t>
  </si>
  <si>
    <t>LAL BAHADUR SHASTRI INSTITUTE OF TECHNOLOGY FOR WOMEN, POOJAPPURA, KERALA</t>
  </si>
  <si>
    <t>AutoCAD,MS Project,Primavera,Revit Architecture,3DS Max,STAAD Pro,V-Ray,CostX</t>
  </si>
  <si>
    <t>CAD DESK, Trivandrum, Kerala | CAD Engineer - Civil | Thampanoor, Thiruvananthapuram, Kerala | Apr 2024 | May 2025 | 1Y 0M | 1.47</t>
  </si>
  <si>
    <t>Suryapriya Constructions Private Limited | Project Co-Ordinater | Bangalore | May 2026 | Jul 2026 | 8.7142857142857 Weeks | Campus Internship
PUBLIC WORKS DEPARTMENT, SPECIAL BUILDINGS SECTION NO.VI, THIRUVANATHAPURAM | INTERN | THIRUVANATHAPURAM, KERALA | Oct 2021 | Oct 2021 | 0.85714285714286 Weeks</t>
  </si>
  <si>
    <t>Master Diploma in Civil CAD
Computer Hardware and Networking</t>
  </si>
  <si>
    <t>P25700132</t>
  </si>
  <si>
    <t>PURVA</t>
  </si>
  <si>
    <t>INGOLE</t>
  </si>
  <si>
    <t>Purva Ramesh Ingole</t>
  </si>
  <si>
    <t>purvaingole1112@gmail.com</t>
  </si>
  <si>
    <t>p25700132@student.nicmar.ac.in</t>
  </si>
  <si>
    <t>06-Jun-2003</t>
  </si>
  <si>
    <t>4119 6025 6858</t>
  </si>
  <si>
    <t>SHITAL</t>
  </si>
  <si>
    <t>Nikita Appt Flat No. 1, Near Jagruti Vidyalay Ranpise Nagar, Akola, 444001</t>
  </si>
  <si>
    <t>VIVEKANAND ENGLISH HIGH SCHOOL, AKOLA</t>
  </si>
  <si>
    <t>MAHARASHTRA STATE BOARD  OF SECONDARY AND HIGHER SECONDARY EDUCATION, PUNE</t>
  </si>
  <si>
    <t>SHREE SAMARTH JR. COLLAGE OF SCIENCE, AKOLA</t>
  </si>
  <si>
    <t>COLLEGE OF ENGINEERING AND TECHNOLOGY AKOLA/ MAHARASHTRA</t>
  </si>
  <si>
    <t>Majestic Realties  | Sales, Site Execution, Project Management  | Pune  | May 2026 | Jul 2026 | 11.857142857143 Weeks | Campus Internship
Atal Real Tech LTD | Site - Intern | Akola | Jun 2024 | Jul 2024 | 2.2857142857143 Weeks</t>
  </si>
  <si>
    <t>P25700133</t>
  </si>
  <si>
    <t>DISHA</t>
  </si>
  <si>
    <t>AVINASH</t>
  </si>
  <si>
    <t>KAMBLE</t>
  </si>
  <si>
    <t>Disha Avinash Kamble</t>
  </si>
  <si>
    <t>dishaavinashkamble@gmail.com</t>
  </si>
  <si>
    <t>p25700133@student.nicmar.ac.in</t>
  </si>
  <si>
    <t>02-Oct-2001</t>
  </si>
  <si>
    <t>6569 0736 5931</t>
  </si>
  <si>
    <t>AVINASH BALKRISHNA KAMBLE</t>
  </si>
  <si>
    <t>OTHERS</t>
  </si>
  <si>
    <t>SUCHETA AVINASH KAMBLE</t>
  </si>
  <si>
    <t>Build No 230 Room No 8975 Kannamwarnagar 1 Vikhroli East</t>
  </si>
  <si>
    <t>ST JOSEPH'S HIGH SCHOOL</t>
  </si>
  <si>
    <t>MAHARASHTRA STATE BOARD MUMBAI/MAHARAHSTRA</t>
  </si>
  <si>
    <t>VIDYA NIKETAN JUNIOR COLLEGE OF COMMERCE AND SCIENCE</t>
  </si>
  <si>
    <t>MAHARASHTRA STATE BOARD MUMBAI/MAHARASHTRA</t>
  </si>
  <si>
    <t>DATTA MEGHE COLLEGE OF ENGINEERING, NAVI MUMBAI MAHARASHTRA</t>
  </si>
  <si>
    <t>AHLUWALIA CONTRACTS | Summer Intern | MUMBAI  | May 2026 | Jun 2026 | 8.1428571428571 Weeks | Campus Internship
GEO INFO TECH | GIS INTERN | NAVI MUMBAI | Jun 2022 | Jul 2022 | 4.5714285714286 Weeks
BHABHA ATOMIC RESEARCH CENTRE (BARC) | STRUCTURAL DESIGN INTERN | MUMBAI  | Dec 2021 | Jan 2022 | 6.8571428571429 Weeks
INDIAN INSTITUTE OF TECHNOLOGY BOMBAY (IIT BOMBAY) | PROJECT ASSOCIATE | POWAI MUMBAI | Jul 2023 | Dec 2024 | 77.428571428571 Weeks</t>
  </si>
  <si>
    <t>STAAD PRO
PRIMAVERA
MSP PROJECT
AUTOCAD 2D</t>
  </si>
  <si>
    <t>P25700134</t>
  </si>
  <si>
    <t>SANGEETHA</t>
  </si>
  <si>
    <t>S S</t>
  </si>
  <si>
    <t>Sangeetha S S</t>
  </si>
  <si>
    <t>sangeethasskmr@gmail.com</t>
  </si>
  <si>
    <t>p25700134@student.nicmar.ac.in</t>
  </si>
  <si>
    <t>05-Jan-1998</t>
  </si>
  <si>
    <t>6291 3257 0765</t>
  </si>
  <si>
    <t>SASIKUMARAN.M</t>
  </si>
  <si>
    <t>RETIRED MECHANICAL SUPERVISOR</t>
  </si>
  <si>
    <t>SINDHU.S</t>
  </si>
  <si>
    <t>TC 51/2127 Saraswathy Vilasam Pappanamcode, Industrial Estate</t>
  </si>
  <si>
    <t>CARMEL E. M. GIRLS H.S.S. VAZHUTHACAUD</t>
  </si>
  <si>
    <t>STATE, THIRUVANANTHAPURAM</t>
  </si>
  <si>
    <t>LBS INSTITUTE OF TECHNOLOGY FOR WOMEN, POOJAPURA</t>
  </si>
  <si>
    <t>AutoCAD,MS Project,Primavera,3ds Max,Revit,Costx</t>
  </si>
  <si>
    <t>Econstruct Design &amp; Build Pvt. Ltd. | Project Management Intern | Bangalore | May 2026 | Jun 2026 | 8.1428571428571 Weeks | Campus Internship
Spangeo Consultancy &amp; Engineering Pvt.Ltd. | Assistant Project Engineer | Thiruvananthapuram, Kerala  | Aug 2023 | May 2024 | 42.142857142857 Weeks</t>
  </si>
  <si>
    <t>Autocad 3D
Project Management certification by Google on Coursera
Ethics in Engineering Practice
Certified Associate in Project Management (CAPM) Specialization-Packt (via Coursera)</t>
  </si>
  <si>
    <t>P25700135</t>
  </si>
  <si>
    <t>ANJALY</t>
  </si>
  <si>
    <t>FEROSE</t>
  </si>
  <si>
    <t>Anjaly Ferose</t>
  </si>
  <si>
    <t>feroseanjaly2000@gmail.com</t>
  </si>
  <si>
    <t>p25700135@student.nicmar.ac.in</t>
  </si>
  <si>
    <t>ENGLISH, MALAYALAM, HINDI, TAMIL</t>
  </si>
  <si>
    <t>9517 2221 2520</t>
  </si>
  <si>
    <t>FEROSE M G</t>
  </si>
  <si>
    <t>SATHY FEROSE</t>
  </si>
  <si>
    <t>SOPANAM, MULLAMPARAMBIL(H)_x000D_
ARAKULAM WEST_x000D_
P.O KODUNGALLUR</t>
  </si>
  <si>
    <t>HOLY GRACE ACADEMY, MALA</t>
  </si>
  <si>
    <t>SCMS SCHOOL OF ENGINEERING AND TECHNOLOGY, KERALA</t>
  </si>
  <si>
    <t>Econstruct Design &amp; Build Pvt. Ltd. | Management Intern | Kudlu, Bengaluru, Karnataka | May 2026 | Jun 2026 | 8.1428571428571 Weeks | Campus Internship
STEEL INDUSTRIALS KERALA LIMITED | APPRENTICE ENGINEER | OTTAPALAM, KERALA | Nov 2022 | Nov 2023 | 52 Weeks</t>
  </si>
  <si>
    <t>P25700136</t>
  </si>
  <si>
    <t>PARAMITA</t>
  </si>
  <si>
    <t>SAHA</t>
  </si>
  <si>
    <t>Paramita Saha</t>
  </si>
  <si>
    <t>paramitasaha601@gmail.com</t>
  </si>
  <si>
    <t>p25700136@student.nicmar.ac.in</t>
  </si>
  <si>
    <t>19-Apr-1996</t>
  </si>
  <si>
    <t>ENGLISH, HINDI &amp; BENGALI</t>
  </si>
  <si>
    <t>9386 1228 5580</t>
  </si>
  <si>
    <t>LATE SIB PRASAD SAHA</t>
  </si>
  <si>
    <t>EX. EXECUTIVE ENGINEER PWD</t>
  </si>
  <si>
    <t>PRITI SAHA</t>
  </si>
  <si>
    <t>Bl-II, Venketesh Heights, 5th Floor, Dumdum Canyonment</t>
  </si>
  <si>
    <t>Kolkata</t>
  </si>
  <si>
    <t>NALANDA VIDYAPITH</t>
  </si>
  <si>
    <t>BALURGHAT LALIT MOHAN ADARSHA UCHHA VIDYALAYA</t>
  </si>
  <si>
    <t>WEST BENGAL COUNCIL OF HIGHER SECONDARY EDUCATION</t>
  </si>
  <si>
    <t>DURGAPUR DR. B.C.ROY ENGINEERING COLLEGE</t>
  </si>
  <si>
    <t>AutoCAD,MS Office,MS Power Point,MS Excel</t>
  </si>
  <si>
    <t>Govt. Of West Bengal PWD | Clerk | Kolkata | Mar 2023 | Jun 2025 | 2Y 3M | 2.62
RITES Ltd. | Graduate Apprentice | Kolkata | Jan 2020 | Dec 2020 | 0Y 11M | 1.68</t>
  </si>
  <si>
    <t>3 Years 3 Months</t>
  </si>
  <si>
    <t>Sobha Ltd | Costing Management Intern | Gurgaon | May 2026 | Jul 2026 | 9 Weeks | Campus Internship
Shivarth Design And Consultancy Pvt. Ltd | Asst. Estimator | Jharkhand | Jan 2021 | Jan 2023 | 104.28571428571 Weeks</t>
  </si>
  <si>
    <t>P25700137</t>
  </si>
  <si>
    <t>TAUFIQ</t>
  </si>
  <si>
    <t>Taufiq A</t>
  </si>
  <si>
    <t>taufiqsajitha@gmail.com</t>
  </si>
  <si>
    <t>p25700137@student.nicmar.ac.in</t>
  </si>
  <si>
    <t>01-Apr-2002</t>
  </si>
  <si>
    <t>7698 6111 3723</t>
  </si>
  <si>
    <t>AJI BASHEER</t>
  </si>
  <si>
    <t>DEPUTY TOWN PLANNER</t>
  </si>
  <si>
    <t>SAJITHA P</t>
  </si>
  <si>
    <t>ASSOCIATE PROFESSOR</t>
  </si>
  <si>
    <t>JAMILATH RNRA-31,RESMI NAGAR,MUTTADA PO,TVM</t>
  </si>
  <si>
    <t>ST THOMAS RESIDENTIAL SCHOOL</t>
  </si>
  <si>
    <t>COUNCIL FOR THE INDIAN SCHOOL CERTIFICATE EXAMINATION, NEW DELHI</t>
  </si>
  <si>
    <t>GOVERNMENT ENGINEERING COLLEGE BARTON HILL, KERALA</t>
  </si>
  <si>
    <t>MS Office,MS Project</t>
  </si>
  <si>
    <t>TRV (KERALA) INTERNATIONAL AIRPORT LIMITED | CIVIL ENGINEERING APPRENTICE | TRIVANDRUM | Oct 2024 | Jun 2025 | 0Y 8M | 1.08</t>
  </si>
  <si>
    <t>Confident Group | Summer Intern | Trivandrum | May 2026 | Jun 2026 | 8.1428571428571 Weeks | Campus Internship</t>
  </si>
  <si>
    <t>P25700138</t>
  </si>
  <si>
    <t>KRISHNAKANT</t>
  </si>
  <si>
    <t>DUBEY</t>
  </si>
  <si>
    <t>Krishnakant Dubey</t>
  </si>
  <si>
    <t>krishnakantdubey963@gmail.com</t>
  </si>
  <si>
    <t>p25700138@student.nicmar.ac.in</t>
  </si>
  <si>
    <t>02-Jan-2002</t>
  </si>
  <si>
    <t>2629 6471 3986</t>
  </si>
  <si>
    <t>CHANDRA SHEKHAR DUBEY</t>
  </si>
  <si>
    <t>ALKA DUBEY</t>
  </si>
  <si>
    <t>1871,New Ram Nagar, Orai</t>
  </si>
  <si>
    <t>Jalaun</t>
  </si>
  <si>
    <t>V S B EDUCATION CENTRE ORAI JALAUN UP</t>
  </si>
  <si>
    <t>S R PUB SCH KALPI ROAD ORAI JALAUN UP</t>
  </si>
  <si>
    <t>GLA UNIVERSITY, MATHURA U.P</t>
  </si>
  <si>
    <t>AutoCAD,MS Office,MS Project,Primavera,RIB CostX,AutodeskRevit,StaadPro</t>
  </si>
  <si>
    <t>KEC International ltd. | Engineer | Noida | Aug 2023 | Sep 2024 | 1Y 1M | 4</t>
  </si>
  <si>
    <t>Project Planning: Putting it All Together authorized by Google
Foundations of Project management authorized by Google
Project Initiation: Starting a Successful Project Authorized by Google
Finance for Non-Financial Manager Authorized by Emory University and offered through Coursera</t>
  </si>
  <si>
    <t>P25700139</t>
  </si>
  <si>
    <t>GOKUL</t>
  </si>
  <si>
    <t>SONWANE</t>
  </si>
  <si>
    <t>Aditya Gokul Sonwane</t>
  </si>
  <si>
    <t>adgsonwane02@gmail.com</t>
  </si>
  <si>
    <t>p25700139@student.nicmar.ac.in</t>
  </si>
  <si>
    <t>20-Feb-2002</t>
  </si>
  <si>
    <t>ENGLISH, MARATHI AND HINDI</t>
  </si>
  <si>
    <t>7555 5410 9852</t>
  </si>
  <si>
    <t>PRATIBHA</t>
  </si>
  <si>
    <t>FLAT NO. 303, SHIVAANI RESIDENCY, NEAR AMAR TECH PARK, BALEWADI ROAD, BALEWADI, PUNE</t>
  </si>
  <si>
    <t>Plot No. 5(B), Survey No. 226/1, Behind Jolly Petrol Pump, K.N.P.N Nagar, Bhusawal, Jalgaon</t>
  </si>
  <si>
    <t>SHIRIN DINYAR IRANI LEARNERS ACADEMY</t>
  </si>
  <si>
    <t>MAHARASHTRA STATES BOARDS OF SECONDARY AND HIGHER SECONDARY EDUCATION</t>
  </si>
  <si>
    <t>VIDYAVARDHINI'S BHAUSAHEB VARTAK POLYTECHNIC, VASAI ROAD</t>
  </si>
  <si>
    <t>SHREE L.R. TIWARI COLLEGE OF ENGINEERING, MIRA ROAD</t>
  </si>
  <si>
    <t>AutoCAD,MS Office,MS Project,Primavera,Staad Pro,Excel-based BOQs &amp; BBS</t>
  </si>
  <si>
    <t>Fortress Infracon | Intern – Project Management (Project Controls &amp; PMC) | Thane | May 2026 | Jul 2026 | 8.7142857142857 Weeks | Campus Internship
YMS Consulting Engineers | Civil &amp; Structural Design Engineer | Borivali | Jun 2024 | Oct 2024 | 17.857142857143 Weeks
Imperial Lifestyle Private Limited | Site Engineer | Vasai | May 2022 | Jul 2022 | 8.8571428571429 Weeks
Jay Jyotirling Construction Company | Site Engineer | Madh Island (Mumbai) | Jun 2023 | Jul 2023 | 5.2857142857143 Weeks</t>
  </si>
  <si>
    <t>Master Diploma in Project Planning and Management
Proficient in Staad Pro
Proficient in Autocad for Civil Engineers and Architects</t>
  </si>
  <si>
    <t>P25700140</t>
  </si>
  <si>
    <t>VEDANT</t>
  </si>
  <si>
    <t>KAILAS</t>
  </si>
  <si>
    <t>Vedant Kailas Patil</t>
  </si>
  <si>
    <t>vedantkpatil08@gmail.com</t>
  </si>
  <si>
    <t>p25700140@student.nicmar.ac.in</t>
  </si>
  <si>
    <t>08-Apr-2003</t>
  </si>
  <si>
    <t>ENGLISH,Hindi,Marathi</t>
  </si>
  <si>
    <t>Rubik's cube</t>
  </si>
  <si>
    <t>9735 5127 5569</t>
  </si>
  <si>
    <t>KAILAS PATIL</t>
  </si>
  <si>
    <t>FINANCIAL ADVISOR</t>
  </si>
  <si>
    <t>NILIMA PATIL</t>
  </si>
  <si>
    <t>STATIONERY BUSINESS</t>
  </si>
  <si>
    <t>Plot 59, Ved, Trimurti Chowk, Durga Nagar, Cidco</t>
  </si>
  <si>
    <t>POST OFFICE, 25/1, NICMAR, N.I.A., BALEWADI RD, RAM NAGAR, BANER</t>
  </si>
  <si>
    <t>FRAVASHI ACADEMY</t>
  </si>
  <si>
    <t>COUNCIL FOR THE INDIAN SCHOOL CERTIFICATE EXAMINATIONS, NASHIK, MAHARASHTRA</t>
  </si>
  <si>
    <t>MATOSHRI JUNIOR COLLEGE</t>
  </si>
  <si>
    <t>MAHARASHTRA STATE BOARD OF SECONDARY AND HIGHER SECONDARY EDUCATION, NASHIK, MAHARASHTRA</t>
  </si>
  <si>
    <t>KARMAVEER KAKASAHEB WAGH INSTITUTE OF ENGINEERING EDUCATION &amp; RESEARCH, NASHIK, MAHARASHTRA</t>
  </si>
  <si>
    <t>AutoCAD,MS Project,Primavera</t>
  </si>
  <si>
    <t>Maharashtra Metro Rail Corporation Limited | Project Management Intern | Pimpri-Chinchwad, Maharashtra | May 2026 | Jul 2026 | 9.7142857142857 Weeks | Campus Internship
MAHARASHTRA ENGINEERING RESEARCH INSTITUTE | INTERN | NASHIK | Dec 2023 | Jan 2024 | 4.1428571428571 Weeks</t>
  </si>
  <si>
    <t>Primavera P6
AutoCAD 2D</t>
  </si>
  <si>
    <t>P25700141</t>
  </si>
  <si>
    <t>GOWRI</t>
  </si>
  <si>
    <t>Gowri Krishna V</t>
  </si>
  <si>
    <t>gowrikv8080@gmail.com</t>
  </si>
  <si>
    <t>p25700141@student.nicmar.ac.in</t>
  </si>
  <si>
    <t>16-Jan-2001</t>
  </si>
  <si>
    <t>2687 7445 2833</t>
  </si>
  <si>
    <t>VINOD.S</t>
  </si>
  <si>
    <t>LAKSHMI VINOD</t>
  </si>
  <si>
    <t>Kanjirathu Parambu ,chathanad Ward,North Of Kochukalappura Temple Aryad South,Avalukkunnu, Alappuzha</t>
  </si>
  <si>
    <t>ST MARY'S RESIDENTIAL CENTRAL SCHOOL</t>
  </si>
  <si>
    <t>SAINTGITS COLLEGE OF ENGINEERING</t>
  </si>
  <si>
    <t>AutoCAD,Revit</t>
  </si>
  <si>
    <t>Econstruct Design &amp; Build Pvt.Ltd | management intern  | Bangalore | May 2026 | Jun 2026 | 8.1428571428571 Weeks | Campus Internship
JayArc Construction | intern | online | Jun 2021 | Jun 2021 | 0.57142857142857 Weeks
Kerala State Electronics Development Corporation Ltd | Intern | Kochi | Dec 2021 | Jan 2022 | 0.85714285714286 Weeks</t>
  </si>
  <si>
    <t>P25700142</t>
  </si>
  <si>
    <t>ANVESH</t>
  </si>
  <si>
    <t>Anvesh Roy</t>
  </si>
  <si>
    <t>anveshroy007@gmail.com</t>
  </si>
  <si>
    <t>p25700142@student.nicmar.ac.in</t>
  </si>
  <si>
    <t>29-Jun-1999</t>
  </si>
  <si>
    <t>ENGLISH AND HINDI.</t>
  </si>
  <si>
    <t>5737 0717 0721</t>
  </si>
  <si>
    <t>SHIV KUMAR</t>
  </si>
  <si>
    <t>RETIRED GOVERNMENT EMPLOYEE</t>
  </si>
  <si>
    <t>SUMAN KUMARI</t>
  </si>
  <si>
    <t>House Number 5  Sector 14 Vikas Nagar .</t>
  </si>
  <si>
    <t>CITY MONTESSORI SCHOOL</t>
  </si>
  <si>
    <t>INDIAN CERTIFICATE OF SECONDARY EDUCATION , DELHI</t>
  </si>
  <si>
    <t>CENTRAL ACADEMY</t>
  </si>
  <si>
    <t>SRM INSTITUTE OF SCIENCE AND TECHNOLOGY , TAMIL NADU</t>
  </si>
  <si>
    <t>Kamal Construction Company | Civil Engineer  | Bharatpur (Rajasthan) | Oct 2022 | Jan 2025 | 2Y 3M | 2.16</t>
  </si>
  <si>
    <t>2 Years 4 Months</t>
  </si>
  <si>
    <t>Rodic consultants | Business Development | New Delhi  | May 2026 | Jul 2026 | 8.5714285714286 Weeks | Campus Internship
Shiv shakti Infravision pvt ltd | Intern | Lucknow | Jun 2019 | Jun 2019 | 4.1428571428571 Weeks</t>
  </si>
  <si>
    <t>P25700143</t>
  </si>
  <si>
    <t>KIRTI</t>
  </si>
  <si>
    <t>SIHOTE</t>
  </si>
  <si>
    <t>Kirti Sihote</t>
  </si>
  <si>
    <t>kirtisihote0304@gmail.com</t>
  </si>
  <si>
    <t>p25700143@student.nicmar.ac.in</t>
  </si>
  <si>
    <t>03-Apr-1998</t>
  </si>
  <si>
    <t>9572 3223 7532</t>
  </si>
  <si>
    <t>RAVI SIHOTE</t>
  </si>
  <si>
    <t>ADMINISTRATIVE OFFICER</t>
  </si>
  <si>
    <t>KALPANA SIHOTE</t>
  </si>
  <si>
    <t>House No. 36, Krishna Vihar Colony</t>
  </si>
  <si>
    <t>Ujjain</t>
  </si>
  <si>
    <t>BAL BHARTI SCHOOL</t>
  </si>
  <si>
    <t>2013-Apr</t>
  </si>
  <si>
    <t>CENTRAL BOARD OF SECONDARY EDUCATION, REWA, MADHYA PRADESH</t>
  </si>
  <si>
    <t>POORNIMA UNIVERSITY, JAIPUR, RAJASTHAN</t>
  </si>
  <si>
    <t>AutoCAD,MS Office,MS Project,Photoshop,Enscape,Sketchup,Revit</t>
  </si>
  <si>
    <t>LIVSPACE | DESIGNER | BANGLORE | Dec 2021 | Mar 2023 | 1Y 3M | 3.7
Design Cafe | Lead Designer | Bangalore | Jun 2023 | Jun 2025 | 2Y 0M | 7.2</t>
  </si>
  <si>
    <t>ManAssure  Advisory &amp; Consultancy | Research &amp; Market Intelligence Intern | Hyderabad | May 2026 | Jul 2026 | 8.5714285714286 Weeks | Campus Internship
Designers Forum | Junior Architect | Panchkula | Jan 2020 | Mar 2020 | 10.714285714286 Weeks</t>
  </si>
  <si>
    <t>P25700144</t>
  </si>
  <si>
    <t>MANDALE</t>
  </si>
  <si>
    <t>ABHISHREE</t>
  </si>
  <si>
    <t>JAYESH</t>
  </si>
  <si>
    <t>Mandale Abhishree Jayesh</t>
  </si>
  <si>
    <t>abhishreemandale054@gmail.com</t>
  </si>
  <si>
    <t>p25700144@student.nicmar.ac.in</t>
  </si>
  <si>
    <t>06-Apr-2000</t>
  </si>
  <si>
    <t>Writing,Cooking</t>
  </si>
  <si>
    <t>7990 1052 8968</t>
  </si>
  <si>
    <t>Jayesh Mandale</t>
  </si>
  <si>
    <t>Business</t>
  </si>
  <si>
    <t>Pravina Mandale</t>
  </si>
  <si>
    <t>Teacher</t>
  </si>
  <si>
    <t xml:space="preserve">201/133, Shri Sai Gajanan appt., RBI Colony, Jaiprakash Nagar, Nagpur. </t>
  </si>
  <si>
    <t>Plot No 35, "Annapurna", Wardha Road, Ganguli Layout, Somalwada, Khamla, Nagpur</t>
  </si>
  <si>
    <t>T.B.R.A.N' S. MUNDLE ENGLISH MEDIUM SCHOOL, NAGPUR,MAHARASHTRA</t>
  </si>
  <si>
    <t>MAHARASHTRA STATE BOARD OF SECONDARY &amp; HIGHER SECONDARY EDUCATION, PUNE, MAHARASHTRA</t>
  </si>
  <si>
    <t>MAJOR HEMANT JAKATE VIDYANIKETAN INSTITUTE OF SCIENCE &amp; COMMERCE, NAGPUR, MAHARASHTRA</t>
  </si>
  <si>
    <t>RASHTRASANT TUKDOJI MAHARAJ NAGPUR UNIVERSITY, NAGPUR, MAHARASHTRA</t>
  </si>
  <si>
    <t>AutoCAD, Revit, MS Office, MS Project, Primavera, Sketchup, Lumion, Photoshop</t>
  </si>
  <si>
    <t>Neilsoft Ltd. | Jr. Architect | Hinjewadi, Pune  | Jul 2023 | Jan 2025 | 1Y 6M | 3.68</t>
  </si>
  <si>
    <t>Medigence Solutions Pvt. Ltd.  | Project Coordination Intern | Ahmedabad, Gujarat  | May 2026 | Jul 2026 | 8.7142857142857 Weeks | Campus Internship
Design Co-ordinates, Nagpur | Architectural Intern | Nagpur  | Jan 2022 | Sep 2022 | 34.571428571429 Weeks</t>
  </si>
  <si>
    <t>NPTEL | Ethics of Engineering |</t>
  </si>
  <si>
    <t>P25700145</t>
  </si>
  <si>
    <t>KORRAPATI</t>
  </si>
  <si>
    <t>Balaji Korrapati</t>
  </si>
  <si>
    <t>korrapati2001@gmail.com</t>
  </si>
  <si>
    <t>p25700145@student.nicmar.ac.in</t>
  </si>
  <si>
    <t>13-Apr-2001</t>
  </si>
  <si>
    <t>TELUGU, ENGLISH, HINDI</t>
  </si>
  <si>
    <t>2337 7947 6396</t>
  </si>
  <si>
    <t>KORRAPATI SUDHAKAR</t>
  </si>
  <si>
    <t>INSURANCE ADVISOR</t>
  </si>
  <si>
    <t>KORRAPATI PUSHPA</t>
  </si>
  <si>
    <t>15-75/1, Tholimitta Street, Venkatagiri.</t>
  </si>
  <si>
    <t>Sri Balaji</t>
  </si>
  <si>
    <t>KENDRIYA VIDYALAYA SANGATHAN</t>
  </si>
  <si>
    <t>CENTRAL BOARD OF SECONDARY EDUCATION ANDHRA PRADESH</t>
  </si>
  <si>
    <t>RAJIV GANDHI UNIVERSITY OF KNOWLEDGE TECHNOLOGIES</t>
  </si>
  <si>
    <t>RAJIV KNOWLEDGE VALLEY ANDHRA PRADESH</t>
  </si>
  <si>
    <t>AutoCAD, MS Office, MS Project, Primavera, Basics of BIM, Costex</t>
  </si>
  <si>
    <t>Pidilite Industries | Marketing Intern B2B  | Bangalore | May 2026 | Jun 2026 | 7.5714285714286 Weeks | Campus Internship</t>
  </si>
  <si>
    <t>Financial and Non-Financial Managers
NPTEL online course on German-1</t>
  </si>
  <si>
    <t>P25700146</t>
  </si>
  <si>
    <t>MALAVIKA</t>
  </si>
  <si>
    <t>Malavika S Nair</t>
  </si>
  <si>
    <t>malavikasnair07@gmail.com</t>
  </si>
  <si>
    <t>p25700146@student.nicmar.ac.in</t>
  </si>
  <si>
    <t>11-May-2001</t>
  </si>
  <si>
    <t>ENGLISH, HINDI,MALAYALAM</t>
  </si>
  <si>
    <t>3244 5087 2053</t>
  </si>
  <si>
    <t>SAJEEV KUMAR R</t>
  </si>
  <si>
    <t>ASSISTANT MANAGER MECHANICAL, FACT</t>
  </si>
  <si>
    <t>SANDYA P</t>
  </si>
  <si>
    <t>TEACHER, MINISTRY OF EDUCATION, MALDIVES</t>
  </si>
  <si>
    <t>MANASA, C K ROAD, Manjummel P.O, Eloor</t>
  </si>
  <si>
    <t>MODEL TECHNICAL HIGHER SECONDARY SCHOOL, KALOOR</t>
  </si>
  <si>
    <t>KERALA BOARD OF PUBLIC EXAMINATION</t>
  </si>
  <si>
    <t>BOARD OF SECONDARY EXAMINATIONS, KERALA</t>
  </si>
  <si>
    <t>FEDERAL INSTITUTE OF SCIENCE AND TECHNOLOGY, ANGAMALY</t>
  </si>
  <si>
    <t>AutoCAD,MS Office,MS Project,TEKLA</t>
  </si>
  <si>
    <t>CLAYSYS LIFESTYLE PVT LTD | CIVIL ENGINEER- L1 | INFOPARK,KAKKANAD,KOCHI | May 2024 | May 2025 | 1Y 0M | 1.92</t>
  </si>
  <si>
    <t>Rodic Consultants Pvt Ltd | Operations Intern | Work from home | May 2026 | Jul 2026 | 8.5714285714286 Weeks | Campus Internship
FERTILIZERS AND CHEMICALS TRAVANCORE LIMITED | DESIGN TEAM | UDOGAMANDAL ELOOR | Sep 2022 | Sep 2022 | 0.85714285714286 Weeks</t>
  </si>
  <si>
    <t>P25700147</t>
  </si>
  <si>
    <t>GOPAL</t>
  </si>
  <si>
    <t>CHOMWAL</t>
  </si>
  <si>
    <t>Shubham Gopal Chomwal</t>
  </si>
  <si>
    <t>shubhamchomwal@gmail.coom</t>
  </si>
  <si>
    <t>p25700147@student.nicmar.ac.in</t>
  </si>
  <si>
    <t>14-Mar-2000</t>
  </si>
  <si>
    <t>ENGLISH, HINDI AND MARATHI</t>
  </si>
  <si>
    <t>3910 7685 1338</t>
  </si>
  <si>
    <t>SWATI</t>
  </si>
  <si>
    <t>Chamunda Bunglow B-2  Near Swami Samarth Mandir, SBI Colony No 5, Umari Akola</t>
  </si>
  <si>
    <t>HOLY CROSS CONVENT HIGH SCHOOL AKOLA</t>
  </si>
  <si>
    <t>MAHARASHTRA SATE BOARD OF SECONDARY AND HIGHER SECONDARY EDUCATION</t>
  </si>
  <si>
    <t>SHRI SAMARTH JUNIOR COLLEGE OF SCIENCE, AKOLA</t>
  </si>
  <si>
    <t>COLLEGE OF ENGINEERING AND TECHNOLOGY AKOLA</t>
  </si>
  <si>
    <t>Medigence Solutions Pvt. Ltd. | Project Management Intern | Ahmedabad | May 2026 | Jul 2026 | 8.7142857142857 Weeks | Campus Internship
Ragita Constructions Pvt Ltd | Site Engineer | Akola | Mar 2024 | Jul 2025 | 66.857142857143 Weeks</t>
  </si>
  <si>
    <t>P25700148</t>
  </si>
  <si>
    <t>HARI</t>
  </si>
  <si>
    <t>MANIKANTA</t>
  </si>
  <si>
    <t>YATHAM</t>
  </si>
  <si>
    <t>Hari Manikanta Yatham</t>
  </si>
  <si>
    <t>hariyatham2k3@gmail.com</t>
  </si>
  <si>
    <t>p25700148@student.nicmar.ac.in</t>
  </si>
  <si>
    <t>18-Jan-2003</t>
  </si>
  <si>
    <t>8889 7953 0027</t>
  </si>
  <si>
    <t>SRINIVASU</t>
  </si>
  <si>
    <t>NAGA LAKSHMI</t>
  </si>
  <si>
    <t>H No 7-24/2, P.V Road, Vadali, Penugonda Mandal</t>
  </si>
  <si>
    <t>West Godavari</t>
  </si>
  <si>
    <t>DR.K.K.R'S GOWTHAM (EM) SCHOOL</t>
  </si>
  <si>
    <t>SASI JUNIOR COLLEGE</t>
  </si>
  <si>
    <t>SAGI RAMA KRISHNAM RAJU ENGINEERING COLLEGE, BHIMAVARAM</t>
  </si>
  <si>
    <t>AutoCAD,MS Office,MS Project,Primavera,Power BI,CostX</t>
  </si>
  <si>
    <t>ZYETA PRIVATE LIMITED | PROJECT MANAGEMENT INTERN | Bangalore | May 2026 | Jul 2026 | 8.5714285714286 Weeks | Campus Internship
GKC PROJECTS LTD | PROJECT MANAGEMENT INTERN  | HYDERABAD | Dec 2024 | Apr 2025 | 17.285714285714 Weeks
LARSEN &amp; TOUBRO (L&amp;T) | PROJECT MONITORING INTERN  | ANAND, GUJRAT | Jun 2024 | Jun 2024 | 4.1428571428571 Weeks</t>
  </si>
  <si>
    <t>P25700150</t>
  </si>
  <si>
    <t>MANISH</t>
  </si>
  <si>
    <t>SHEDE</t>
  </si>
  <si>
    <t>Manish Mahesh Shede</t>
  </si>
  <si>
    <t>manishshede22@gmail.com</t>
  </si>
  <si>
    <t>p25700150@student.nicmar.ac.in</t>
  </si>
  <si>
    <t>18-Oct-2002</t>
  </si>
  <si>
    <t>8040 7465 6581</t>
  </si>
  <si>
    <t>NILAM</t>
  </si>
  <si>
    <t>At Post Sakharpa, Bhandarwadi</t>
  </si>
  <si>
    <t>Ratnagiri</t>
  </si>
  <si>
    <t>SHRIMAN TUKARAM GANSHET GANDHI VIDYALAY  KONDGAON</t>
  </si>
  <si>
    <t>KONKAN DIVISIONAL BOARD ,RATNAGIRI</t>
  </si>
  <si>
    <t>GOVERNMENT POLYTECHNIC KARAD , KARAD/MAHARASHTRA</t>
  </si>
  <si>
    <t>ZEAL COLLEGE OF ENGINEERING &amp; RESEARCH PUNE , PUNE/MAHARASHTRA</t>
  </si>
  <si>
    <t>P25700151</t>
  </si>
  <si>
    <t>PRANAV</t>
  </si>
  <si>
    <t>MENON</t>
  </si>
  <si>
    <t>Pranav Menon V</t>
  </si>
  <si>
    <t>menonpranavv@gmail.com</t>
  </si>
  <si>
    <t>p25700151@student.nicmar.ac.in</t>
  </si>
  <si>
    <t>29-Oct-2002</t>
  </si>
  <si>
    <t>4010 5844 2004</t>
  </si>
  <si>
    <t>VIJAYAKUMAR PP</t>
  </si>
  <si>
    <t>DIVYA M</t>
  </si>
  <si>
    <t>Parakkal Puthiyaveedu,P O MANKAVU,Mankavu S O,Kozhikode,Kerala</t>
  </si>
  <si>
    <t>Kozhikode</t>
  </si>
  <si>
    <t>BHARATIYA VIDYA BHAVAN</t>
  </si>
  <si>
    <t>CENTRAL BOARD OF SECONDARY EDUCATION, KOZHIKODE, KERALA</t>
  </si>
  <si>
    <t>SCMS SCHOOL OF ENGINEERING AND TECHNOLOGY, ERNAKULAM, KERALA</t>
  </si>
  <si>
    <t>Goa State Infrastructure Development  | Site Execution | Bambolim , Ga | May 2026 | Jul 2026 | 8.7142857142857 Weeks | Campus Internship
TC ONE PROPERTIES AND PROJECTS PVT.LTD | SITE ENGINEER TRAINEE | KOZHIKODE | Jan 2025 | Jun 2025 | 24 Weeks</t>
  </si>
  <si>
    <t>P25700152</t>
  </si>
  <si>
    <t>NIRAJ</t>
  </si>
  <si>
    <t>LAXMIKANT</t>
  </si>
  <si>
    <t>PATANGE</t>
  </si>
  <si>
    <t>Niraj Laxmikant Patange</t>
  </si>
  <si>
    <t>nirajpatange15@gmail.com</t>
  </si>
  <si>
    <t>p25700152@student.nicmar.ac.in</t>
  </si>
  <si>
    <t>15-Sep-2002</t>
  </si>
  <si>
    <t>9296 5043 1935</t>
  </si>
  <si>
    <t>MADHAVI</t>
  </si>
  <si>
    <t>HOUSEWIVE</t>
  </si>
  <si>
    <t>Prabhat Colony, Keshavnagar Chinchwad</t>
  </si>
  <si>
    <t>MANORAM PRIMARY SCHOOL</t>
  </si>
  <si>
    <t>PIMPRI CHINCHWAD POLYTECHNIC PUNE</t>
  </si>
  <si>
    <t>RAJARSHI SHAHU COLLEGE OF ENGINEERING PUNE</t>
  </si>
  <si>
    <t>Infraking consulting engineers pvt. ltd. | Site trainee engineer | pimpri chinchwad | Dec 2024 | Jun 2025 | 26 Weeks</t>
  </si>
  <si>
    <t>P25700153</t>
  </si>
  <si>
    <t>KARTHIK VIJAY VARMA</t>
  </si>
  <si>
    <t>NIDADAVOLU</t>
  </si>
  <si>
    <t>Karthik Vijay Varma Nidadavolu</t>
  </si>
  <si>
    <t>karthik.nidadavolu@gmail.com</t>
  </si>
  <si>
    <t>p25700153@student.nicmar.ac.in</t>
  </si>
  <si>
    <t>09-Jul-2001</t>
  </si>
  <si>
    <t>8193 6038 9728</t>
  </si>
  <si>
    <t>NIDADAVOLU SITARAMA RAJU</t>
  </si>
  <si>
    <t>NONE</t>
  </si>
  <si>
    <t>NIDADAVOLU BHAVANI DEVI</t>
  </si>
  <si>
    <t>TAILOR</t>
  </si>
  <si>
    <t>3-4/7, Ramakrishna Nagar, Vakalapudi, Kakinada Rural.</t>
  </si>
  <si>
    <t>Kakinada</t>
  </si>
  <si>
    <t>KRISHNAVENI TALENT SCHOOL</t>
  </si>
  <si>
    <t>JNTUA COLLEGE OF ENGINEERING KALIKIRI</t>
  </si>
  <si>
    <t>AutoCAD,MS Project,Primavera,Power BI,CostX,MS Excel</t>
  </si>
  <si>
    <t>Asian Paints Limited | Intern - Sales Engineer | Vishakapatnam | May 2026 | Jul 2026 | 8.7142857142857 Weeks | Campus Internship
S&amp;P Constructions | Management Intern-QS | Hyderabad | Jul 2024 | Jan 2025 | 26.285714285714 Weeks</t>
  </si>
  <si>
    <t>P25700154</t>
  </si>
  <si>
    <t>Ayush Kumar</t>
  </si>
  <si>
    <t>ayush2003august@gmail.com</t>
  </si>
  <si>
    <t>p25700154@student.nicmar.ac.in</t>
  </si>
  <si>
    <t>4347 3845 9960</t>
  </si>
  <si>
    <t>PANKAJ KUMAR</t>
  </si>
  <si>
    <t>MENKA KUMARI</t>
  </si>
  <si>
    <t>Sr No 279/1/1A Plot No-113 Kutwal Colon, Sathe Wasti , Lohaegaon, Pune 411047</t>
  </si>
  <si>
    <t>MOUNT ST.PATRICK ACADEMY</t>
  </si>
  <si>
    <t>RAO JUNIOR COLLEGE OF SCIENCE, PUNE</t>
  </si>
  <si>
    <t>SHREE HARE KRISHNA INFRA | EXECUTION INTERN | PUNE | May 2026 | Jul 2026 | 8.7142857142857 Weeks | Campus Internship
HAARDIK IMPULSE DEVELOPERS LLP | Estimation &amp; Documentation Intern | Moshi pune  | Dec 2023 | Jan 2024 | 4.4285714285714 Weeks</t>
  </si>
  <si>
    <t>Finance for non financial managers</t>
  </si>
  <si>
    <t>P25700155</t>
  </si>
  <si>
    <t>SARABJIT</t>
  </si>
  <si>
    <t>Sarabjit Yadav</t>
  </si>
  <si>
    <t>ysarabjit88@gmail.com</t>
  </si>
  <si>
    <t>p25700155@student.nicmar.ac.in</t>
  </si>
  <si>
    <t>17-Feb-2000</t>
  </si>
  <si>
    <t>ENGLISH,HINDI AND BENGALI</t>
  </si>
  <si>
    <t>6331 3758 6605</t>
  </si>
  <si>
    <t>BHIKHU YADAV</t>
  </si>
  <si>
    <t>SUGANTI DEVI</t>
  </si>
  <si>
    <t>TEXMACO DARWAN GARAD, BELGHARIA, KAMARHATI M 4 NO RAIL GATE</t>
  </si>
  <si>
    <t>North 24 Parganas</t>
  </si>
  <si>
    <t>BHOLANANDA NATIONAL VIDYALAYA</t>
  </si>
  <si>
    <t>CENTRAL BOARD OF SECONDARY EDUCATION,  NEW DELHI</t>
  </si>
  <si>
    <t>BARRACKPORE CANTONMENT VIDYAPITH (HIGH SCHOOL)</t>
  </si>
  <si>
    <t>WEST BENGAL COUNCIL OF HIGHER SECONDARY EDUCATION KOLKATA</t>
  </si>
  <si>
    <t>MAULANA ABUL KALAM AZAD UNIVERSITY OF TECHNOLOGY, WEST BENGAL</t>
  </si>
  <si>
    <t>NETAJI SUBHASH ENGINEERING COLLEGE KOLKATA</t>
  </si>
  <si>
    <t>AutoCAD,MS Office,MS Project,EXCEL,BAR BENDING SCHEDULE</t>
  </si>
  <si>
    <t>ICICI BANK | ASSISTANT MANAGER  | Kolkata | Mar 2023 | May 2023 | 0Y 1M | 3.21
MEGHA ENGINEERING AND INFRASTRUCTURE LIMITED | ENGINEER - STRCS | JAMMU AND KASHMIR | May 2023 | Jun 2025 | 2Y 1M | 3.48</t>
  </si>
  <si>
    <t>VSL INDIA PRIVATE LIMITED | PROJECT INTERN | PATNA | May 2026 | Jul 2026 | 8.2857142857143 Weeks | Campus Internship
WIPRO | TRAINEE | KOLKATA | Apr 2022 | Jul 2022 | 11.857142857143 Weeks
KOLKATA CENTRAL HEALTH DIVISION PWD | TRAINEE | KOLKATA | Aug 2021 | Sep 2021 | 3 Weeks</t>
  </si>
  <si>
    <t>P25700156</t>
  </si>
  <si>
    <t>Devendra</t>
  </si>
  <si>
    <t>Vikas</t>
  </si>
  <si>
    <t>Kulkarni</t>
  </si>
  <si>
    <t>Devendra Vikas Kulkarni</t>
  </si>
  <si>
    <t>devendrakulkarni001@gmail.com</t>
  </si>
  <si>
    <t>p25700156@student.nicmar.ac.in</t>
  </si>
  <si>
    <t>11-Mar-2000</t>
  </si>
  <si>
    <t>3626 9859 8523</t>
  </si>
  <si>
    <t>VIKAS</t>
  </si>
  <si>
    <t>SERVICE (RETIRED )</t>
  </si>
  <si>
    <t>LATE</t>
  </si>
  <si>
    <t>Vaishnavi, Namrata Hsg. Soc. Nakhate Nagar Behind Dhangarbaba Mandir Thergaon</t>
  </si>
  <si>
    <t>SHREE FATTECHAND JAIN VIDYALAYA AND JR. COLLAGE CHINCHWAD</t>
  </si>
  <si>
    <t>CUSROW WADIA INSTITUTE OF TECHNOLOGY PUNE</t>
  </si>
  <si>
    <t>TSSMS PADMABHUSHAN VASANT DADA PATIL INSTITUTE OF TECHNOLOGY BAVADHAN</t>
  </si>
  <si>
    <t>A A PMC AND ENGINERRING LLP | Junior Engineer | Taloja phase 2 Navi Mumbai | Mar 2022 | Jun 2025 | 3Y 3M | 5.06</t>
  </si>
  <si>
    <t>Sribal Construction Company  | Intern  | Bidadi Banglore  | May 2026 | Jul 2026 | 8.7142857142857 Weeks | Campus Internship
Legacy Life spaces LLP | Trainee engineer | Rahatni Pimpri | May 2017 | Jun 2017 | 3.7142857142857 Weeks</t>
  </si>
  <si>
    <t>P25700157</t>
  </si>
  <si>
    <t>SAMEER</t>
  </si>
  <si>
    <t>Sameer Satish Jadhav</t>
  </si>
  <si>
    <t>jadhavsameer.work@gmail.com</t>
  </si>
  <si>
    <t>p25700157@student.nicmar.ac.in</t>
  </si>
  <si>
    <t>9150 3564 3561</t>
  </si>
  <si>
    <t>SATISH JADHAV</t>
  </si>
  <si>
    <t>MANISHA JADHAV</t>
  </si>
  <si>
    <t>4, Navalkar Building, Ram Maruti Road, Dadar [West] Mumbai - 400028</t>
  </si>
  <si>
    <t>IES MODERN ENGLISH SCHOOL, DADAR (WEST) MUMBAI</t>
  </si>
  <si>
    <t>MAHARASHTRA STATE BOARD OF SECONDARY AND HIGHER EDUCATION, PUNE</t>
  </si>
  <si>
    <t>M.H. SABOO SIDDIK POLYTECHNIC, BYCULLA, MUMBAI</t>
  </si>
  <si>
    <t>DATTA MEGHE COLLEGE OF ENGINEERING, AIROLI, NAVI MUMBAI</t>
  </si>
  <si>
    <t>MS Project, Primavera, REVIT, AutoCAD</t>
  </si>
  <si>
    <t>Kolte-Patil Developers Limited | Construction &amp; Operations Intern | Pune, Maharashtra | May 2026 | Jul 2026 | 9.7142857142857 Weeks | Campus Internship
CIDCO, BELAPUR, NAVI MUMBAI | INTERN | ULWE, NAVI MUMBAI | Dec 2023 | Jan 2024 | 3.5714285714286 Weeks</t>
  </si>
  <si>
    <t>Project Management - Initiation and Planning â€“ L&amp;T EduTech (Coursera)
Foundations of Project Management â€“ Google (Coursera)
Project Monitoring and Control â€“ L&amp;T EduTech (Coursera)</t>
  </si>
  <si>
    <t>P25700158</t>
  </si>
  <si>
    <t>RATHOD</t>
  </si>
  <si>
    <t>Himanshu Vijay Rathod</t>
  </si>
  <si>
    <t>himanshu.rathodhr1998@gmail.com</t>
  </si>
  <si>
    <t>p25700158@student.nicmar.ac.in</t>
  </si>
  <si>
    <t>09-Feb-1998</t>
  </si>
  <si>
    <t>3857 3629 1015</t>
  </si>
  <si>
    <t>VIJAY RATHOD</t>
  </si>
  <si>
    <t>ANITA RATHOD</t>
  </si>
  <si>
    <t>73, Chandrabhaga Nagar Hudkeshwar Road Nagpur</t>
  </si>
  <si>
    <t>SOUTH POINT SCHOOL</t>
  </si>
  <si>
    <t>SHIVAJI SCIENCE COLLEGE</t>
  </si>
  <si>
    <t>YESHWANTRAO CHAVAN COLLEGE OF ENGINEERING NAGPUR</t>
  </si>
  <si>
    <t>AutoCAD,MS Project,Primavera,Advanced Excel,Power BI,Business Analytics</t>
  </si>
  <si>
    <t>Orange city water Pvt Ltd | Junior Engineer | Nagpur | Jul 2020 | Oct 2021 | 1Y 2M | 2.52</t>
  </si>
  <si>
    <t>Kalpataru limited  | Projects Department  | Mumbai | May 2026 | Jul 2026 | 8.4285714285714 Weeks | Campus Internship
NAGPUR MUNCIPAL CORPORATION NAGPUR | JUNIOR ENGINEER TRAINEE | NAGPUR | Aug 2024 | Jun 2025 | 43.428571428571 Weeks
Maharashtra metro rail corporation limited | Intern | Nagpur | May 2018 | Jun 2018 | 1.5714285714286 Weeks
L&amp;T REALTY MUMBAI | TRAINEE ENGINEER | MUMBAI | Jun 2023 | Feb 2024 | 34.714285714286 Weeks</t>
  </si>
  <si>
    <t>Finance for Non-Financial Managers
STAADPRO
Autocad</t>
  </si>
  <si>
    <t>P25700159</t>
  </si>
  <si>
    <t>PRATIK</t>
  </si>
  <si>
    <t>BHIMRAJ</t>
  </si>
  <si>
    <t>SUDRIK</t>
  </si>
  <si>
    <t>Pratik Bhimraj Sudrik</t>
  </si>
  <si>
    <t>pratiksudrikofficial2002@gmail.com</t>
  </si>
  <si>
    <t>p25700159@student.nicmar.ac.in</t>
  </si>
  <si>
    <t>24-Apr-2002</t>
  </si>
  <si>
    <t>MARATHI, ENGLISH &amp; HINDI</t>
  </si>
  <si>
    <t>7843 0709 6484</t>
  </si>
  <si>
    <t>PRIVATE SERVICE</t>
  </si>
  <si>
    <t>ROHINI SUDRIK</t>
  </si>
  <si>
    <t>404,06 BUILDING NO, AMARANTE SOCITY,KALAMBOLI ROADPALI, NAVI MUMBAI, PLOT 04, SEC 9 E</t>
  </si>
  <si>
    <t>A37/4, PUSHPAK HOUSING SOCIETY,_x000D_
NEAR GANESH MANDIR, VENUNAGAR, WAKAD.</t>
  </si>
  <si>
    <t>CREATIVE PUBLIC SCHOOL, RAVET</t>
  </si>
  <si>
    <t>MAHARASHTRA STATE BORD OF SECONDARY AND HIGHER SECONDARY EDUCATION.</t>
  </si>
  <si>
    <t>FR. AGNEL POLYTECHNIC, VASHI</t>
  </si>
  <si>
    <t>MAHATMA GANDHI MISSION'S COLLEGE OF ENGINEERING AND TECHNOLOGY, KAMOTHE, NAVI MUMBAI</t>
  </si>
  <si>
    <t>CAPACITE INFRAPROJECTS LTD | QUANTITY SURVEY &amp; BILLING GRADUATE ENGINEER TRAINEE | RAYMOND, RAYMOND ROAD, THANE, BEHIND VIVIANA MALL. | Jan 2025 | Jun 2025 | 0Y 5M | 2.52</t>
  </si>
  <si>
    <t>Embassy Development limited | Intern - Construction | Navi-Mumbai | May 2026 | Jul 2026 | 8.2857142857143 Weeks | Campus Internship
NAVI MUMBAI MUNICIPAL COPORATION | INTERN | BELAPUR WARD, SECTOR 11 | Jun 2023 | Jul 2023 | 3.5714285714286 Weeks</t>
  </si>
  <si>
    <t>P25700160</t>
  </si>
  <si>
    <t>AMITKUMAR</t>
  </si>
  <si>
    <t>Pranav Amitkumar Patil</t>
  </si>
  <si>
    <t>pranavpatil949529@gmail.com</t>
  </si>
  <si>
    <t>p25700160@student.nicmar.ac.in</t>
  </si>
  <si>
    <t>29-Apr-2003</t>
  </si>
  <si>
    <t>7150 6982 0121</t>
  </si>
  <si>
    <t>255/B WARD Plot No 39 Tararani Colony Sambhaji Nagar Kolhapur</t>
  </si>
  <si>
    <t>NEW ENGLISH MEDIUM SCHOOL</t>
  </si>
  <si>
    <t>MAHARAHTRA STATE BOARD OF SECONDARY AND HIGHER SECONDARY EDUCATION PUNE</t>
  </si>
  <si>
    <t>SHIVAJI UNIVERSITY KOLHAPUR</t>
  </si>
  <si>
    <t>DY PATIL COLLEGE OF ENGINEEERING AND TECHNOLOGY KOLHAPUR</t>
  </si>
  <si>
    <t>AutoCAD,MS Office,MS Project,Primavera,Revit</t>
  </si>
  <si>
    <t>Kolte-Patil Developers Ltd. | Management Intern - Construction &amp; Operations | Pune, Maharashtra | May 2026 | Jul 2026 | 9.7142857142857 Weeks | Campus Internship</t>
  </si>
  <si>
    <t>Certificate Program in Contract Management (CPCM)
Excel Skills for Business : Essentials</t>
  </si>
  <si>
    <t>P25700161</t>
  </si>
  <si>
    <t>ISHWAR</t>
  </si>
  <si>
    <t>MALAGI</t>
  </si>
  <si>
    <t>Ishwar Malagi</t>
  </si>
  <si>
    <t>malagiishwar529@gmail.com</t>
  </si>
  <si>
    <t>p25700161@student.nicmar.ac.in</t>
  </si>
  <si>
    <t>28-Jul-2001</t>
  </si>
  <si>
    <t>ENGLISH, HINDI, KANNADA AND TELUGU</t>
  </si>
  <si>
    <t>4651 4137 3877</t>
  </si>
  <si>
    <t>DYAVAPPA</t>
  </si>
  <si>
    <t>HANAMAVVA</t>
  </si>
  <si>
    <t>S/O Dyavappa, Muttalageri_x000D_
Po:Muttalageri, Dist:Bagalkot, Karnataka-587201</t>
  </si>
  <si>
    <t>Bagalkot</t>
  </si>
  <si>
    <t>SHRI SWAMI VIVEKANANDA ENGLISH MEDIUM HIGH SCHOOL, CHALUKYANAGAR, BADAMI</t>
  </si>
  <si>
    <t>VAGDEVI INDP PU COLLEGE, SHIGIKERI B-R BYEPASS RD, BAGALKOT</t>
  </si>
  <si>
    <t>DEPARTMENT OF PRE-UNIVERSITY EDUCATION</t>
  </si>
  <si>
    <t>KLS GOGTE INSTITUTE OF TECHNOLOGY, BELAGAVI</t>
  </si>
  <si>
    <t>BELAGAVI</t>
  </si>
  <si>
    <t>AutoCAD,MS Office,MS Project,ERP Software,Project Management Software</t>
  </si>
  <si>
    <t>Nina Percept Pvt Ltd, Subsidiary of Pidilite Industries. | Engineer - QAQC | Bengaluru | Aug 2023 | Jun 2025 | 1Y 9M | 3.6</t>
  </si>
  <si>
    <t>Rodic Consultants Pvt. Ltd | Business Development | New Delhi | May 2026 | Jul 2026 | 8.5714285714286 Weeks | Campus Internship
Indian Institute of Technology, Madras | Student Intern - Ambient Air Quality Monitoring and Analysis. | Chennai | Aug 2022 | Oct 2022 | 7.4285714285714 Weeks</t>
  </si>
  <si>
    <t>Plastic Waste Management
Intellectual Property Rights and Competition Law
English Language for Competitive Exams</t>
  </si>
  <si>
    <t>P25700162</t>
  </si>
  <si>
    <t>SHARIKA</t>
  </si>
  <si>
    <t>Sharika S S</t>
  </si>
  <si>
    <t>sharikasshyna@gmail.com</t>
  </si>
  <si>
    <t>p25700162@student.nicmar.ac.in</t>
  </si>
  <si>
    <t>7616 0952 1875</t>
  </si>
  <si>
    <t>SALIMRAJ P R</t>
  </si>
  <si>
    <t>SENIOR TECHNICIAN AT BPCL PUBLIC LIMITED</t>
  </si>
  <si>
    <t>SHYNA SALIMRAJ</t>
  </si>
  <si>
    <t>ACCOUNTANT AT A PRIVATE FIRM</t>
  </si>
  <si>
    <t>LEOS QUARTET APARTMENT, HOUSE NO 3, JAWAHAR NAGAR ROAD, THIRUVANKULAM P.O ERNAKULAM</t>
  </si>
  <si>
    <t>Kottakkattu Veedu, Keezhattingal, P.O Trivandrum</t>
  </si>
  <si>
    <t>COCHIN REFINERIES SCHOOL AMBALAMUGAL</t>
  </si>
  <si>
    <t>CENTRAL BOARD OF SECONDARY EDUCATION KOCHI</t>
  </si>
  <si>
    <t>RAJAGIRI SCHOOL OF ENGINEERING AND TECHNOLOGY</t>
  </si>
  <si>
    <t>NeST Hi-Tek Park Private Limited | Civil Engineer Trainee | Kalamassery , Ernakulam, Kerala | Dec 2023 | May 2025 | 1Y 4M | 2.4</t>
  </si>
  <si>
    <t>Uralungal Labour Contract Co-operative Society(ULCCS) | Intern | Varkala, Kerala | May 2026 | Jul 2026 | 8 Weeks | Campus Internship
KEC International Limited | Intern | Kochi | Oct 2022 | Oct 2022 | 0.57142857142857 Weeks</t>
  </si>
  <si>
    <t>P25700163</t>
  </si>
  <si>
    <t>KHUSHI</t>
  </si>
  <si>
    <t>KHANNA</t>
  </si>
  <si>
    <t>Khushi Khanna</t>
  </si>
  <si>
    <t>khannakhushi43@gmail.com</t>
  </si>
  <si>
    <t>p25700163@student.nicmar.ac.in</t>
  </si>
  <si>
    <t>23-Mar-2002</t>
  </si>
  <si>
    <t>4376 0748 5575</t>
  </si>
  <si>
    <t>SANJAY KHANNA</t>
  </si>
  <si>
    <t>MAYA KHANNA</t>
  </si>
  <si>
    <t>KD-122, Kavinagar, D Block</t>
  </si>
  <si>
    <t>Ghaziabad</t>
  </si>
  <si>
    <t>THE DPS-G INTERNATIONAL HINDON NGR GHAZIABAD UP</t>
  </si>
  <si>
    <t>CBSE GHAZIABAD/UTTAR PRADESH</t>
  </si>
  <si>
    <t>2012-Apr</t>
  </si>
  <si>
    <t>MANIPAL UNIVERSITY JAIPUR</t>
  </si>
  <si>
    <t>MANIPAL UNIVERSITY JAIPUR/ RAJASTHAN</t>
  </si>
  <si>
    <t>AutoCAD,MS Office,MS Project,SketchUp,Revit,Lumion,Photoshop,Illustrator</t>
  </si>
  <si>
    <t>Ecofirst Services Limited | Architect Trainee | Navi Mumbai | Aug 2024 | Jan 2025 | 0Y 5M | 4.5</t>
  </si>
  <si>
    <t>Deloitte Touche Tohmatsu India LLP | Intern | Delhi | May 2026 | Jul 2026 | 8.5714285714286 Weeks | Campus Internship
BIPOLAR DESIGNS LLP | INTERN | DELHI | Jan 2023 | Apr 2023 | 15.571428571429 Weeks</t>
  </si>
  <si>
    <t>Internation Studies in Vernacular Architecture</t>
  </si>
  <si>
    <t>P25700164</t>
  </si>
  <si>
    <t>SRIVATSAV</t>
  </si>
  <si>
    <t>GOLLAPALLI</t>
  </si>
  <si>
    <t>Surya Srivatsav Gollapalli</t>
  </si>
  <si>
    <t>gollapallisuryasrivatsav@gmail.com</t>
  </si>
  <si>
    <t>p25700164@student.nicmar.ac.in</t>
  </si>
  <si>
    <t>10-Jun-2003</t>
  </si>
  <si>
    <t>ENGLISH , TELUGU, HINDI</t>
  </si>
  <si>
    <t>3416 1119 3649</t>
  </si>
  <si>
    <t>SRINIVASA RAO GOLLAPALLI</t>
  </si>
  <si>
    <t>CONTRACTOR</t>
  </si>
  <si>
    <t>LALITHA SUNDARI GOLLAPALLI</t>
  </si>
  <si>
    <t>DEMISED</t>
  </si>
  <si>
    <t>Mig 2 Block No 16 F3, Visweswaraya Nagar, Autonagar D Block Extn. BHPV Post</t>
  </si>
  <si>
    <t>DE PAUL SCHOOL</t>
  </si>
  <si>
    <t>COUNCIL FOR THE INDIAN SCHOOL CERTIFICATE EXAMINATIONS, VISAKHAPATNAM</t>
  </si>
  <si>
    <t>2006-Jul</t>
  </si>
  <si>
    <t>BOARD OF INTERMEDIATE EDUCATION,KAKINADA</t>
  </si>
  <si>
    <t>GITAM INSTITUTE OF TECHNOLOGY AND MANAGEMENT</t>
  </si>
  <si>
    <t>GITAM UNIVERSITY , VISAKHAPATNAM</t>
  </si>
  <si>
    <t>NAVAYUGA ENGINEERING COMPANY LTD. | Project Management Intern | PUNE  | May 2026 | Jul 2026 | 8.7142857142857 Weeks | Campus Internship
NHAI | Site intern | visakhapatnam | May 2024 | Jun 2024 | 4.5714285714286 Weeks</t>
  </si>
  <si>
    <t>P25700165</t>
  </si>
  <si>
    <t>RAGHVENDRA</t>
  </si>
  <si>
    <t>Raghvendra Singh</t>
  </si>
  <si>
    <t>raghvendrasinghnagar@gmail.com</t>
  </si>
  <si>
    <t>p25700165@student.nicmar.ac.in</t>
  </si>
  <si>
    <t>19-Sep-2001</t>
  </si>
  <si>
    <t>6656 7928 0086</t>
  </si>
  <si>
    <t>RAVINDER NAGAR</t>
  </si>
  <si>
    <t>DIMPLE NAGAR</t>
  </si>
  <si>
    <t>III-A/87, Nehru Nagar III, Ghaziabad</t>
  </si>
  <si>
    <t>DELHI PUBLIC SCHOOL INDIRAPURAM GHAZIABAD UP</t>
  </si>
  <si>
    <t>CENTRAL BOARD OF SECONDARY EDUCATION, GHAZIABAD UP</t>
  </si>
  <si>
    <t>SHIV NADAR (INSTITUTE OF EMINENCE DEEMED TO BE UNIVERSITY)</t>
  </si>
  <si>
    <t>SHIV NADAR (INSTITUTE OF EMINENCE DEEMED TO BE UNIVERSITY), GREATER NOIDA, UP</t>
  </si>
  <si>
    <t>AutoCAD,MS Office,MS Project,ANSYS</t>
  </si>
  <si>
    <t>NAGAR BUILDERS | CONSTRUCTION PROJECT TRAINEE | GHAZIABAD | Nov 2024 | Mar 2025 | 18 Weeks
Indian Road Safety Campaign in association with Transport Department, Uttar Pradesh and Ministry of Road Transport and Highways | Traffic Survey and Road Safety Intern | Dadri | Jan 2022 | Mar 2022 | 12.714285714286 Weeks</t>
  </si>
  <si>
    <t>P25700166</t>
  </si>
  <si>
    <t>SARFARAZ</t>
  </si>
  <si>
    <t>KAZI</t>
  </si>
  <si>
    <t>Mihir Sarfaraz Kazi</t>
  </si>
  <si>
    <t>mihirkazi2430@gmail.com</t>
  </si>
  <si>
    <t>p25700166@student.nicmar.ac.in</t>
  </si>
  <si>
    <t>6466 1405 3773</t>
  </si>
  <si>
    <t>SARFARAZ KAZI</t>
  </si>
  <si>
    <t>MAKASUDA KAZI</t>
  </si>
  <si>
    <t>SILVER STONE SOCIETY HANDEWADI</t>
  </si>
  <si>
    <t>Kazi Galli Mangalvedhe</t>
  </si>
  <si>
    <t>SINHGAD CITY SCHOOL</t>
  </si>
  <si>
    <t>CYGNET PUBLIC SCHOOL</t>
  </si>
  <si>
    <t>HIGHER SECONDARY CERTIFICATE EXAMINATION</t>
  </si>
  <si>
    <t>VISHWAKARMA INSTITUTE OF INFORMATION TECHNOLOGY , KONDHWA BK , PUNE</t>
  </si>
  <si>
    <t>P25700167</t>
  </si>
  <si>
    <t>BASIREDDY</t>
  </si>
  <si>
    <t>KARTHIKEYA</t>
  </si>
  <si>
    <t>Basireddy Karthikeya</t>
  </si>
  <si>
    <t>basireddykarthikeya29@gmail.com</t>
  </si>
  <si>
    <t>p25700167@student.nicmar.ac.in</t>
  </si>
  <si>
    <t>29-Jun-2004</t>
  </si>
  <si>
    <t>ENGLISH,TELUGU,HINDI,KANNADA,</t>
  </si>
  <si>
    <t>7545 4147 1048</t>
  </si>
  <si>
    <t>JAYARAMIREDDY</t>
  </si>
  <si>
    <t>JYOTHI</t>
  </si>
  <si>
    <t>ASSISTANT PROFESSOR</t>
  </si>
  <si>
    <t>45-201/16-4,BALAJI NAGAR, CHEMMUMIYAPETA</t>
  </si>
  <si>
    <t>Kadapa</t>
  </si>
  <si>
    <t>BASIREDDY KARTHIKEYA</t>
  </si>
  <si>
    <t>NEW HORIZON COLLEGE OF ENGINEERING ,BENGALURU</t>
  </si>
  <si>
    <t>REPPLEN PROJECTS PRIVATE LIMITED | Project Planning Intern | Alibag | May 2026 | Jun 2026 | 8.1428571428571 Weeks | Campus Internship
S V CONSTRUCTIONS | SITE ENGINEER INTERN  | VIJAYAPURA, KARNATAKA | Feb 2025 | Jul 2025 | 21.142857142857 Weeks
M.V.V SATYANARRAYANA |  INTERN | BENGALURU | Aug 2023 | Oct 2023 | 9.2857142857143 Weeks</t>
  </si>
  <si>
    <t>P25700168</t>
  </si>
  <si>
    <t>THOTA</t>
  </si>
  <si>
    <t>SAI NITHISH ROYAL</t>
  </si>
  <si>
    <t>Thota Sai Nithish Royal</t>
  </si>
  <si>
    <t>nithishroyal369@gmail.com</t>
  </si>
  <si>
    <t>p25700168@student.nicmar.ac.in</t>
  </si>
  <si>
    <t>13-Sep-2002</t>
  </si>
  <si>
    <t>ENGLISH,TELUGU,HINDI,KANNADA</t>
  </si>
  <si>
    <t>7861 8605 7800</t>
  </si>
  <si>
    <t>THOTA GIRIDHAR</t>
  </si>
  <si>
    <t>BUSINESS,POLITICIAN</t>
  </si>
  <si>
    <t>THOTA SUNITHA</t>
  </si>
  <si>
    <t>Mulakalacheruvu, Chittor Dst, MBT Road, Opposite Market Yard</t>
  </si>
  <si>
    <t>S P V B HIGH SCHOOL</t>
  </si>
  <si>
    <t>BOARD OF SECONDARY EDUCATION , CHITTOR /ANDHRA PRADESH</t>
  </si>
  <si>
    <t>VEMU JUNIOR COLLEGE</t>
  </si>
  <si>
    <t>BOARD OF INTERMEDIATE EDUCATION , P KOTHAKOTA / ANDHRA PRADESH</t>
  </si>
  <si>
    <t>VTU BELAGAVI</t>
  </si>
  <si>
    <t>NEW HORIZON COLLAGE OF ENGINEERING , BENGALURU / KARNATAKA</t>
  </si>
  <si>
    <t>AutoCAD,MS Office,MS Project,Primavera,REVIT,SKETCHUP</t>
  </si>
  <si>
    <t>Kattu | Project Management Intern | Bengaluru | May 2026 | Jul 2026 | 8.7142857142857 Weeks | Campus Internship
SBR Group | Intern | Bengaluru | Aug 2024 | Dec 2024 | 17.285714285714 Weeks</t>
  </si>
  <si>
    <t>P25700169</t>
  </si>
  <si>
    <t>HANUMANDAS</t>
  </si>
  <si>
    <t>CHANDAK</t>
  </si>
  <si>
    <t>Mitali Hanumandas Chandak</t>
  </si>
  <si>
    <t>mitalichandak22@gmail.com</t>
  </si>
  <si>
    <t>p25700169@student.nicmar.ac.in</t>
  </si>
  <si>
    <t>22-Apr-2001</t>
  </si>
  <si>
    <t>2603 5496 8570</t>
  </si>
  <si>
    <t>Shri Nagar Colony, Nachangaon Road, Pulgaon</t>
  </si>
  <si>
    <t>GANDHI CITY PUBLIC SCHOOL</t>
  </si>
  <si>
    <t>CENTRAL BOARD OF SECONDARY EDUCATION, WARDHA</t>
  </si>
  <si>
    <t>M.P.DEO MEMORIAL DHARAMPETH SCIENCE COLLEGE</t>
  </si>
  <si>
    <t>MAHARASHTRA STATE BOARD, NAGPUR</t>
  </si>
  <si>
    <t>SMT MANORAMABAI MUNDLE COLLEGE OF ARCHITECTURE, NAGPUR</t>
  </si>
  <si>
    <t>MS Office,MS Project,Primavera,Adobe Revit, CostX, AutoCAD, Adobe photoshop,Project Coordination,Stakeholder and client management,Powerpoint,Cost estimation,MS Excel</t>
  </si>
  <si>
    <t>N.Z.Associates | Architectural designer | Nagpur | Aug 2023 | Jun 2025 | 1Y 9M | 2.16</t>
  </si>
  <si>
    <t>Architect Rushikesh H | Project Management Intern | Pune | May 2026 | Jul 2026 | 9.5714285714286 Weeks | Campus Internship
Ambience Design | Architectural Intern | Ahmedabad | Jun 2022 | Sep 2022 | 17.285714285714 Weeks</t>
  </si>
  <si>
    <t>DigiQC
Coursera - Finance for Non-finance Manager
Coursera - Construction Equipment Maintenance &amp; Safety</t>
  </si>
  <si>
    <t>P25700170</t>
  </si>
  <si>
    <t>PRATEEK</t>
  </si>
  <si>
    <t>Prateek Sharma</t>
  </si>
  <si>
    <t>ps2555061@gmail.com</t>
  </si>
  <si>
    <t>p25700170@student.nicmar.ac.in</t>
  </si>
  <si>
    <t>15-Aug-2002</t>
  </si>
  <si>
    <t>8881 0094 5337</t>
  </si>
  <si>
    <t>MADAN LAL SHARMA</t>
  </si>
  <si>
    <t>PRIVATE SECTOR</t>
  </si>
  <si>
    <t>ANITA SHARMA</t>
  </si>
  <si>
    <t>EDUCATION DEPARTMENT</t>
  </si>
  <si>
    <t>Om Bhawan Lane 15, Sector 4, Phase 2 Near Dav School New Shimla</t>
  </si>
  <si>
    <t>Shimla</t>
  </si>
  <si>
    <t>DAV PUBLIC SCHOOL NEW SHIMLA</t>
  </si>
  <si>
    <t>JCB PUBLIC SCHOOL NEW SHIMLA</t>
  </si>
  <si>
    <t>JAYPEE UNIVERSITY OF INFORMATION TECHNOLOGY</t>
  </si>
  <si>
    <t>JAYPEE UNIVERSITY OF INFORMATION TECHNOLOGY , SOLAN</t>
  </si>
  <si>
    <t>AMBUJA CEMENTS | INTERNSHIP TRAINEE | AMBUJA PLANT DARLAGHAT | Jun 2023 | Jul 2023 | 6.2857142857143 Weeks
SPC INFRA PROJECTS | CIVIL ENGINEER (INTERN) | CHANDRAPUR, MAHARASHTRA  | Aug 2024 | Feb 2025 | 30.142857142857 Weeks
Adani | Project Management Trainee | Chandrapur, Maharashtra | May 2026 | Jul 2026 | 8.5714285714286 Weeks</t>
  </si>
  <si>
    <t>P25700171</t>
  </si>
  <si>
    <t>DHIMAN</t>
  </si>
  <si>
    <t>DAS</t>
  </si>
  <si>
    <t>Dhiman Das</t>
  </si>
  <si>
    <t>dhimandas9@gmail.com</t>
  </si>
  <si>
    <t>p25700171@student.nicmar.ac.in</t>
  </si>
  <si>
    <t>16-Mar-1995</t>
  </si>
  <si>
    <t>ENGLISH, HINDI, BENGALI AND GERMANY(A1)</t>
  </si>
  <si>
    <t>3081 9739 3862</t>
  </si>
  <si>
    <t>KRISHNAGOPAL DAS</t>
  </si>
  <si>
    <t>BIDULA DAS</t>
  </si>
  <si>
    <t>Chunavati Village Road, Near School Math, Uttar Podrah, P.O. Podrah, P.S. Sankrail</t>
  </si>
  <si>
    <t>Howrah</t>
  </si>
  <si>
    <t>MARIA'S DAY SCHOOL</t>
  </si>
  <si>
    <t>S.E.R.MIXED HIGH SCHOOL (E.M.)</t>
  </si>
  <si>
    <t>2011-Apr</t>
  </si>
  <si>
    <t>MEGHNAD SAHA INSTITUTE OF TECHNOLOGY, KOLKATA</t>
  </si>
  <si>
    <t>AutoCAD,MS Office,MS Project,Primavera,Power BI,Excel,Staad Pro,Staad Foundation,Revit</t>
  </si>
  <si>
    <t>Korus Engineering Solutions Pvt Ltd | Project Monitoring Engineer | Tatanagar, Jamshedpur, India | Nov 2023 | Oct 2024 | 0Y 11M | 1.62
Simplex Infrastructures Limited | Assistant Engineer | Kolkata, West Bengal, India | Aug 2017 | Aug 2019 | 2Y 0M | 3.18
B.K.Ray &amp; Associates | Valuation Surveyor | Kolkata, West Bengal, India | Aug 2021 | Sep 2023 | 2Y 1M | 0.6</t>
  </si>
  <si>
    <t>5 Years 1 Month</t>
  </si>
  <si>
    <t>Cemindia Projects Limited | Intern | Powai, Mumbai | May 2026 | Jul 2026 | 9.5714285714286 Weeks | Campus Internship
ITD Cementation India Limited | Trainee | Kolkata, West Bengal. India | Dec 2015 | Jan 2016 | 4.1428571428571 Weeks
BCE Design Services LLP | Intern | Kolkata, West Bengal. India | Apr 2017 | May 2017 | 7.2857142857143 Weeks
Simplex Infrastructures Limited | Trainee | Kolkata | Jul 2016 | Aug 2016 | 4.2857142857143 Weeks</t>
  </si>
  <si>
    <t>Primavera P6 Project Planning and Scheduling Masterclass
Goethe Certificate A1</t>
  </si>
  <si>
    <t>P25700172</t>
  </si>
  <si>
    <t>NIYATEE</t>
  </si>
  <si>
    <t>Niyatee Bhanudas Patil</t>
  </si>
  <si>
    <t>niyateep7777@gmail.com</t>
  </si>
  <si>
    <t>p25700172@student.nicmar.ac.in</t>
  </si>
  <si>
    <t>26-Jan-2002</t>
  </si>
  <si>
    <t>5407 5205 2713</t>
  </si>
  <si>
    <t>BHANUDAS PATIL</t>
  </si>
  <si>
    <t>RUPALI PATIL</t>
  </si>
  <si>
    <t>701, NEW SADHANA CHS, PANDURANG WADI, DOMBIVLI EAST</t>
  </si>
  <si>
    <t>NACHIKETAS HIGH SCHOOL &amp; JR. COLLEGE</t>
  </si>
  <si>
    <t>MAHARASHTRA STATE BOARD KOLHAPUR DIVISIONAL</t>
  </si>
  <si>
    <t>SHRI BHASKARACHARYA PRATISHTAN</t>
  </si>
  <si>
    <t>MAHARASHTRA STATE BOARD AURANGABAD DIVISIONAL</t>
  </si>
  <si>
    <t>DR. VISHWANATH KARAD MIT-WORLD PEACE UNIVERSITY</t>
  </si>
  <si>
    <t>DR. VISHWANATH KARAD MIT-WORLD PEACE UNIVERSITY PUNE</t>
  </si>
  <si>
    <t>AutoCAD,MS Office,MS Project,Primavera,REVIT,POWER BI</t>
  </si>
  <si>
    <t>Unique Pest Control Service | Civil Engineer | Mumbai | Dec 2023 | Mar 2024 | 0Y 3M | 3</t>
  </si>
  <si>
    <t>0 Years 3 Months</t>
  </si>
  <si>
    <t>Pidilite Industries | Summer Intern | Mumbai | May 2026 | Jun 2026 | 7.5714285714286 Weeks | Campus Internship
Maharashtra Metro Rail Corporation Limited | Project Management Engineer Trainee | Pune | Dec 2021 | Jan 2022 | 4.2857142857143 Weeks
Meera Cleanfuels Limited | Jr. Project Engineer Trainee | Mumbai | Oct 2022 | Apr 2023 | 28.142857142857 Weeks</t>
  </si>
  <si>
    <t>REVIT</t>
  </si>
  <si>
    <t>P25700174</t>
  </si>
  <si>
    <t>DHOLAY</t>
  </si>
  <si>
    <t>GULABRAO</t>
  </si>
  <si>
    <t>Dholay Vaishnavi Gulabrao</t>
  </si>
  <si>
    <t>vdholay@gmail.com</t>
  </si>
  <si>
    <t>p25700174@student.nicmar.ac.in</t>
  </si>
  <si>
    <t>29-Dec-1996</t>
  </si>
  <si>
    <t>Gardening</t>
  </si>
  <si>
    <t>3558 8275 6556</t>
  </si>
  <si>
    <t>GULABRAO SOMNATH DHOLAY</t>
  </si>
  <si>
    <t>LATIKA GULABRAO DHOLAY</t>
  </si>
  <si>
    <t>Dhole Vasti, Near Daulat Petrol Pump, Akole Road Kasara Dumala, Sangamner 422605</t>
  </si>
  <si>
    <t>B 804, JEEVAN,  YASHWIN JEEVAN &amp; ORCHID, YASHWIN ROAD, NEAR VIBGYOR SCHOOL, SUS, PUNE</t>
  </si>
  <si>
    <t>2014-Feb</t>
  </si>
  <si>
    <t>SINHGAD COLLEGE OF ARCHITECTURE</t>
  </si>
  <si>
    <t>AutoCAD,MS Office,MS Project,Sketch up,Lumion,V-ray</t>
  </si>
  <si>
    <t>Mind Manifestation Design | Assistant Architect | Pune | Mar 2021 | Mar 2023 | 2Y 0M | 3
Kabra Architects | Architect | Pune | Apr 2023 | May 2025 | 2Y 1M | 3.36</t>
  </si>
  <si>
    <t>4 Years 2 Months</t>
  </si>
  <si>
    <t>Planhigh Architects and Project Management Consultants | Project Coordinator | Thane | May 2026 | Jul 2026 | 8.5714285714286 Weeks | Campus Internship
Avinash Nawathe  Architects | Internship Trainee | Pune | May 2019 | Nov 2019 | 25.857142857143 Weeks</t>
  </si>
  <si>
    <t>P25700175</t>
  </si>
  <si>
    <t>ANUSHA</t>
  </si>
  <si>
    <t>MATH</t>
  </si>
  <si>
    <t>Anusha R Math</t>
  </si>
  <si>
    <t>anushamath01@gmail.com</t>
  </si>
  <si>
    <t>p25700175@student.nicmar.ac.in</t>
  </si>
  <si>
    <t>21-Jul-2001</t>
  </si>
  <si>
    <t>English, Hindi, Kannada</t>
  </si>
  <si>
    <t>7283 3989 2176</t>
  </si>
  <si>
    <t>RAJIV MATH</t>
  </si>
  <si>
    <t>GAYATRI R MATH</t>
  </si>
  <si>
    <t>H.NO 1-1495/40_x000D_
PLT.NO 24_x000D_
GODUTAI COLONY 2ND CROSS OPP TO YASH KOTHARI _x000D_
GULBARGA_x000D_
2ND CROSS</t>
  </si>
  <si>
    <t>Gulbarga</t>
  </si>
  <si>
    <t>11-1624/2_x000D_
Vidya Nagar_x000D_
Bahamanipura_x000D_
Gulbarga Karnataka - 585103</t>
  </si>
  <si>
    <t>CHANDRAKANT PATIL ENGLISH MEDIUM SCHOOL CBSE</t>
  </si>
  <si>
    <t>CBSE, KALABURGI</t>
  </si>
  <si>
    <t>GURUKUL INDEPENDENT PU COLLEGE</t>
  </si>
  <si>
    <t>KARNATAKA BOARD OF THE PRE-UNIVERSITY EDUCATION,KALABURGI</t>
  </si>
  <si>
    <t>VISVESVARAYA TECHNOLOGICAL UNIVERSITY (VTU), BELAGAVI</t>
  </si>
  <si>
    <t>POOJYA DODDAPPA APPA COLLEGE OF ENGINEERING, KALABURGI</t>
  </si>
  <si>
    <t>AutoCAD,MS Office,MS Project,AutoCAD,Lumion,3DS Max,Photoshop,Sketchup</t>
  </si>
  <si>
    <t>Architect Rushikesh H | Project Management Intern | Mumbai | May 2026 | Jul 2026 | 8.7142857142857 Weeks | Campus Internship
shobha and mahesh associates | Architectural Intern | bengaluru | Jun 2023 | Oct 2023 | 17.714285714286 Weeks</t>
  </si>
  <si>
    <t>Ethics in Engineering Practice
Finance for Non-Financial Managers</t>
  </si>
  <si>
    <t>P25700176</t>
  </si>
  <si>
    <t>VEDITH</t>
  </si>
  <si>
    <t>N</t>
  </si>
  <si>
    <t>Vedith N Rai</t>
  </si>
  <si>
    <t>vedithrai57@gmail.com</t>
  </si>
  <si>
    <t>p25700176@student.nicmar.ac.in</t>
  </si>
  <si>
    <t>17-Apr-2002</t>
  </si>
  <si>
    <t>ENGLISH,HINDI,KANNADA,</t>
  </si>
  <si>
    <t>6039 6056 8662</t>
  </si>
  <si>
    <t>NAVEEN RAI N</t>
  </si>
  <si>
    <t>DIVYA RAI</t>
  </si>
  <si>
    <t>S/O Naveen Rai N Behind N E S Colony Vedhavathi NIlaya Hunsur</t>
  </si>
  <si>
    <t>TALENT PUBLIC SCHOOL</t>
  </si>
  <si>
    <t>CENTRAL BOARD OF SECONDARY EDUCATION,HUNSUR/KARNATAKA</t>
  </si>
  <si>
    <t>TALENT PRE UNIVERSITY COLLEGE</t>
  </si>
  <si>
    <t>DEPARTMENT OF PRE UNIVERSITY EDUCATION</t>
  </si>
  <si>
    <t>JSS SCIENCE AND TECHNOLOGY UNIVERSITY</t>
  </si>
  <si>
    <t>JSS SCIENCE AND TECHNOLOGY UNIVERSITY,MYSORE/KARNATAKA</t>
  </si>
  <si>
    <t>AutoCAD,MS Office,MS Project,Primavera,Sketch-up,Revit,Lumion</t>
  </si>
  <si>
    <t>Stiffeners Property Valuers &amp; Consultants India Pvt. Ltd | Valuation Intern | Bangalore | May 2026 | Jul 2026 | 9.5714285714286 Weeks | Campus Internship
Naksha | Civil Intern | Mysore | Sep 2024 | Feb 2025 | 23.285714285714 Weeks
M.S Construction Engineers And Builders | Civil Intern | Mysore | Mar 2025 | Jun 2025 | 14.142857142857 Weeks</t>
  </si>
  <si>
    <t>P25700177</t>
  </si>
  <si>
    <t>NIMIT</t>
  </si>
  <si>
    <t>BHAVESH</t>
  </si>
  <si>
    <t>SHAH</t>
  </si>
  <si>
    <t>Nimit Bhavesh Shah</t>
  </si>
  <si>
    <t>nimitshah2001@gmail.com</t>
  </si>
  <si>
    <t>p25700177@student.nicmar.ac.in</t>
  </si>
  <si>
    <t>27-Aug-2001</t>
  </si>
  <si>
    <t>ENGLISH, HINDI, GUJRATI</t>
  </si>
  <si>
    <t>7242 6748 7992</t>
  </si>
  <si>
    <t>BHAVESH RAMNIKLAL SHAH</t>
  </si>
  <si>
    <t>HETAL BHAVESH SHAH</t>
  </si>
  <si>
    <t>FLAT NO. 602, TATVASHILA BUILDING, KASTURBA ROAD, MULUND WEST, MUMBAI - 400080</t>
  </si>
  <si>
    <t>SHETH KARAMSHI KANJI ENGLISH SCHOOL, MUMBAI</t>
  </si>
  <si>
    <t>K. J. SOMAIYA POLYTECHNIC, MUMBAI</t>
  </si>
  <si>
    <t>DATTA MEGHE COLLEGE OF ENGINEERING, NAVI MUMBAI</t>
  </si>
  <si>
    <t>AutoCAD,MS Office,MS Project,Primavera,ETABS,Revit,STAAD</t>
  </si>
  <si>
    <t>J. Kumar Infraprojects Ltd  | Intern  | Mumbai  | May 2026 | Jul 2026 | 9.7142857142857 Weeks | Campus Internship
RRC Ventures Private Limited | Construction Supervisor Intern | Mumbai | Dec 2022 | Jan 2023 | 4.4285714285714 Weeks
CITY AND INDUSTRIAL DEVELOPMENT CORPORATION OF MAHARASHTRA LIMITED (CIDCO) | Construction Supervisor Intern | Navi Mumbai | Jun 2022 | Jul 2022 | 7 Weeks
ACE Properties | Junior Site Engineer | Thane | Jul 2024 | Feb 2025 | 34.571428571429 Weeks</t>
  </si>
  <si>
    <t>MahaRERA Real Estate Agent Training and Examination</t>
  </si>
  <si>
    <t>P25700178</t>
  </si>
  <si>
    <t>RISHIKESH</t>
  </si>
  <si>
    <t>REDDY</t>
  </si>
  <si>
    <t>PADIDAM</t>
  </si>
  <si>
    <t>Rishikesh Reddy Padidam</t>
  </si>
  <si>
    <t>rishikesh13reddy@gmail.com</t>
  </si>
  <si>
    <t>p25700178@student.nicmar.ac.in</t>
  </si>
  <si>
    <t>13-Nov-2003</t>
  </si>
  <si>
    <t>7285 3447 9290</t>
  </si>
  <si>
    <t>PADIDAM RAM MOHAN REDDY</t>
  </si>
  <si>
    <t>GOVT. DEGREE COLLEGE PRINCIPAL</t>
  </si>
  <si>
    <t>SRILEKHA MAMILLA</t>
  </si>
  <si>
    <t>11-1-1927/1a/1, Street No-9, Road No-4, Gangastan Phase-1, Kanteshwar, Nizamabad, Telangana-503002</t>
  </si>
  <si>
    <t>Nizamabad</t>
  </si>
  <si>
    <t>VELOCITY HIGH SCHOOL</t>
  </si>
  <si>
    <t>BOARD OF SECONDARY EDUCATION TELANGANA STATE</t>
  </si>
  <si>
    <t>NARAYANA JR COLLEGE</t>
  </si>
  <si>
    <t>JAWAHARLAL NEHRU TECHNOLOGICAL UNIVERSITY HYDERABAD (JNTUH)</t>
  </si>
  <si>
    <t>VNR VIGNANA JOTHI INSTITUTE OF ENGINEERING &amp; TECHNOLOGY, HYDERABAD</t>
  </si>
  <si>
    <t>HBS Infra Engineers India Pvt Ltd | Management Intern | Hyderabad | May 2026 | Jul 2026 | 8.7142857142857 Weeks | Campus Internship
A Right Builders Pvt. Ltd. | Intern-Supervision of Residential Project | Khammam, Telangana, India | May 2024 | May 2024 | 3.4285714285714 Weeks
NATIONAL INSTITUTE OF TECHNOLOGY, WARANGAL | INTERN | WARANGAL, TELANGANA,INDIA | Jun 2023 | Jun 2023 | 2.8571428571429 Weeks</t>
  </si>
  <si>
    <t>Plastic Waste Management
Plumbing Design and Fire Fighting
Finance for Non-Financial Managers</t>
  </si>
  <si>
    <t>P25700179</t>
  </si>
  <si>
    <t>SPOORTHI</t>
  </si>
  <si>
    <t>Spoorthi M</t>
  </si>
  <si>
    <t>spoorthimahesh39@gmail.com</t>
  </si>
  <si>
    <t>p25700179@student.nicmar.ac.in</t>
  </si>
  <si>
    <t>28-Jul-2002</t>
  </si>
  <si>
    <t>ENGLISH, HINDI AND KANNADA</t>
  </si>
  <si>
    <t>8543 2459 4563</t>
  </si>
  <si>
    <t>MAHESH B R</t>
  </si>
  <si>
    <t>OUT SOURSE EMPLYEE CMC SAGAR</t>
  </si>
  <si>
    <t>LATHA MAHESH</t>
  </si>
  <si>
    <t>#123 Kuttira, Near Govt Ladies Hostel, Jambagaru</t>
  </si>
  <si>
    <t>Shimoga</t>
  </si>
  <si>
    <t>SRI RAMAKRISHNA ENG.MED HIGH SCHOOL SAGAR</t>
  </si>
  <si>
    <t>MES CHAITHANYA PU COLLEGE, COLLEGE ROAD SIRSI</t>
  </si>
  <si>
    <t>REVA UNIVERSITY, BENGALURU</t>
  </si>
  <si>
    <t>AutoCAD,MS Project,Primavera,STAAD PRO 2D,ERP Oracle,cost-x</t>
  </si>
  <si>
    <t>Ahluwalia Contracts (India) Limited | Intern - Planning and Commercial | Banglore | May 2026 | Jul 2026 | 8.5714285714286 Weeks | Campus Internship
New Consolidated Construction CO. LTD. | QA/QC and EHS | Banglore | Jul 2023 | Aug 2023 | 4.4285714285714 Weeks</t>
  </si>
  <si>
    <t>P25700180</t>
  </si>
  <si>
    <t>HARIDAS</t>
  </si>
  <si>
    <t>BINGI</t>
  </si>
  <si>
    <t>Rohit Haridas Bingi</t>
  </si>
  <si>
    <t>rohitbingi0710@gmail.com</t>
  </si>
  <si>
    <t>p25700180@student.nicmar.ac.in</t>
  </si>
  <si>
    <t>07-Oct-2002</t>
  </si>
  <si>
    <t>ENGLISH, MARATHI, HINDI , TELUGU</t>
  </si>
  <si>
    <t>6315 2430 3150</t>
  </si>
  <si>
    <t>HARIDAS NARSAYYA BINGI</t>
  </si>
  <si>
    <t>TAILOR LABOUR.</t>
  </si>
  <si>
    <t>VIJAYLAXMI HARIDAS BINGI</t>
  </si>
  <si>
    <t>VIDI LABOUR</t>
  </si>
  <si>
    <t>86 A. C Falmari Paccha Peth ,Dattanagar Solapur</t>
  </si>
  <si>
    <t>KUCHAN HIGH SCHOOL</t>
  </si>
  <si>
    <t>MAHARASHTRA BOARD</t>
  </si>
  <si>
    <t>KUCHAN JR. COLLEGE</t>
  </si>
  <si>
    <t>PUNYASHLOK AHILYADEVI HOLKAR SOLAPUR UNIVERSITY,SOLAPUR</t>
  </si>
  <si>
    <t>AutoCAD,MS Office,MS Project,CostX (Beginner),Primavera P6 (Beginner),Google Sketchup,Revit</t>
  </si>
  <si>
    <t>Wani Projects and infra Pvt. Ltd. | Jr.Planning  Engineer. | Satara -Pune | Jun 2024 | Jun 2025 | 1Y 0M | 2.85</t>
  </si>
  <si>
    <t>Modulus Housing (Debrique Creative Labs Private Limited ) | Founders' Office | Chennai | May 2026 | Jul 2026 | 8.7142857142857 Weeks | Campus Internship
AK CONSTRUCTION | Intern | SOLAPUR | Aug 2023 | Aug 2023 | 2 Weeks
Vasant Vihar Realty Ltd. | Intern | Solapur | Mar 2023 | Mar 2023 | 2.2857142857143 Weeks
Wani Projects &amp; infra | Engineer Trainee (Planning &amp; Quantity Estimation) | Pune (head Office) | Dec 2023 | May 2024 | 26 Weeks</t>
  </si>
  <si>
    <t>Microsoft Project Beginners 2019
Master AutoCAD Corporate Layouts: Design &amp; Drafting Skills (EDUCBA)
Project Planning and Execution Management  (L&amp;T EduTech)</t>
  </si>
  <si>
    <t>P25700181</t>
  </si>
  <si>
    <t>ADVAITH</t>
  </si>
  <si>
    <t>JINESH</t>
  </si>
  <si>
    <t>Advaith Jinesh</t>
  </si>
  <si>
    <t>advaithjineshaj@gmail.com</t>
  </si>
  <si>
    <t>p25700181@student.nicmar.ac.in</t>
  </si>
  <si>
    <t>4022 7354 8276</t>
  </si>
  <si>
    <t>JINESH R</t>
  </si>
  <si>
    <t>POOJA JINESH</t>
  </si>
  <si>
    <t>Plot No.38_x000D_
Press Club Colony, Edappally PO, Kochi_x000D_
Edappally, KERALAÂ 682024_x000D_
India</t>
  </si>
  <si>
    <t>SARASWATHI VIDYANIKETAN PUBLIC SCHOOL ELAMAKARA COCHIN</t>
  </si>
  <si>
    <t>AMRITA VISHWA VIDYAPEETHAM: DEEMED UNIVERSITY</t>
  </si>
  <si>
    <t>AMRITA SCHOOL OF ENGINEERING, COIMBATORE</t>
  </si>
  <si>
    <t>AutoCAD,MS Project,CostX,Primavera</t>
  </si>
  <si>
    <t>Tata Projects Limited | Planning Intern | Chennai, Tamil Nadu, India | May 2026 | Jul 2026 | 8.5714285714286 Weeks | Campus Internship
L&amp;T Constructions, Chennai | Internship Trainee | Larsen and Toubro Limited, Manapakkam, Chennai, Tamil Nadu 600089 | Jun 2024 | Jul 2024 | 1.5714285714286 Weeks
National Highway Authority of India | Internship Trainee | NHAI Project of Six Laning of stretch from Thuravoor to Paravoor to  Kottukulangara in NH-66 in the State of Kerala on EPC Mode as part of Bharathmala Pariyojana | Jan 2024 | Jan 2024 | 0.57142857142857 Weeks</t>
  </si>
  <si>
    <t>P25700182</t>
  </si>
  <si>
    <t>SANSKRITI</t>
  </si>
  <si>
    <t>S Sanskriti</t>
  </si>
  <si>
    <t>sanskritisahu158@gmail.com</t>
  </si>
  <si>
    <t>p25700182@student.nicmar.ac.in</t>
  </si>
  <si>
    <t>28-Dec-2001</t>
  </si>
  <si>
    <t>7404 4108 6419</t>
  </si>
  <si>
    <t>LAXMI NARAYAN SAHU</t>
  </si>
  <si>
    <t>RETIRED GOVERNMENT SERVENT</t>
  </si>
  <si>
    <t>SWAPNA KUMARI KAR</t>
  </si>
  <si>
    <t>Ram Nagar Lane 2, Kamapalli Square, Berhampur, Odisha</t>
  </si>
  <si>
    <t>Angul</t>
  </si>
  <si>
    <t>KENDRIYA VIDYALAYA BALASORE</t>
  </si>
  <si>
    <t>GUIDANCE ENG MED SCHOOL, BHUBNESHWAR, KHORDHA OD</t>
  </si>
  <si>
    <t>ODISHA UNIVERSITY OF TECHNOLOGY AND RESEARCH</t>
  </si>
  <si>
    <t>BHUBNESHWAR</t>
  </si>
  <si>
    <t>AutoCAD,MS Office,Learned Architectural Design,Drawings,Rendering,Video Editing</t>
  </si>
  <si>
    <t>Archi Wing Studio | Architect | Hyderabad | Sep 2024 | May 2025 | 0Y 8M | 2.4</t>
  </si>
  <si>
    <t>Embassy Development Limited | Design Coordinator - Intern | Mumbai | May 2026 | Jul 2026 | 8.2857142857143 Weeks | Campus Internship
Sanil Kumar Associates Architectural Design | Architect | Bangalore | Jun 2023 | Nov 2023 | 26 Weeks
Courtyard Design Studio | Intern | Berhampur | Oct 2022 | Feb 2023 | 20.714285714286 Weeks
Ministry of Housing and Urban Affairs | Intern | Bhubneshwar | Jul 2022 | Aug 2022 | 5 Weeks</t>
  </si>
  <si>
    <t>P25700183</t>
  </si>
  <si>
    <t>OLAPU</t>
  </si>
  <si>
    <t>Raju Olapu</t>
  </si>
  <si>
    <t>rajuolapu967@gmail.com</t>
  </si>
  <si>
    <t>p25700183@student.nicmar.ac.in</t>
  </si>
  <si>
    <t>01-Jun-2000</t>
  </si>
  <si>
    <t>7590 1631 9384</t>
  </si>
  <si>
    <t>SADANANDAM</t>
  </si>
  <si>
    <t>LAXMI</t>
  </si>
  <si>
    <t>1-5 Kistapur Nallagunta (Meenajipet), Mahamutharam (Mdl.), Jayashankar Bhupalpally (Dist.)-506169, Telangana</t>
  </si>
  <si>
    <t>TELANGANA STATE MODEL SCHOOL</t>
  </si>
  <si>
    <t>BOARD OF SECONDARY EDUCATION -TELANGANA</t>
  </si>
  <si>
    <t>EKASHILA JUNIOR COLLEGE</t>
  </si>
  <si>
    <t>KAKATIYA UNIVERSITY</t>
  </si>
  <si>
    <t>KAKATIYA INSTITUTE OF TECHNOLOGY &amp; SCIENCE, WARANGAL/TELANGANA</t>
  </si>
  <si>
    <t>AutoCAD,MS Office,MS Project,QGIS</t>
  </si>
  <si>
    <t>Aarvee Engineering Consultants Ltd. | Engineer | Hyderabad | Jun 2023 | Jun 2025 | 2Y 0M | 5</t>
  </si>
  <si>
    <t>2 Years 0 Months</t>
  </si>
  <si>
    <t>Rodic Consultants Private Limited | Project Management Intern | New Delhi | May 2026 | Jul 2026 | 8.7142857142857 Weeks | Campus Internship
AARVEE ENGINEERING CONSULTANTS LIMITED | QUALITY CONTROL AND QUALITY ASSURANCE INTERN | HYDERABAD | Jun 2022 | Aug 2022 | 8.7142857142857 Weeks</t>
  </si>
  <si>
    <t>P25700184</t>
  </si>
  <si>
    <t>AMAR</t>
  </si>
  <si>
    <t>SHIVDAS</t>
  </si>
  <si>
    <t>BHOSALE</t>
  </si>
  <si>
    <t>Amar Shivdas Bhosale</t>
  </si>
  <si>
    <t>bhosaleamar257@gmail.com</t>
  </si>
  <si>
    <t>p25700184@student.nicmar.ac.in</t>
  </si>
  <si>
    <t>25-Jun-2002</t>
  </si>
  <si>
    <t>4802 7721 4464</t>
  </si>
  <si>
    <t>ASHA</t>
  </si>
  <si>
    <t>Flat No. 05, Jyoti Darshan 1, Visawa Society, Near Taljai Busstop, Dhankawadi</t>
  </si>
  <si>
    <t>SHREE SHIVAJI PREPARATORY MILITARY SCHOOL</t>
  </si>
  <si>
    <t>SSC PUNE/MAHARASHTRA</t>
  </si>
  <si>
    <t>SMT. SUSHEELA BAHUDHANI JUNIOR COLLEGE</t>
  </si>
  <si>
    <t>HSC PUNE/MAHARASHTRA</t>
  </si>
  <si>
    <t>SAVITRABAI PHULE PUNE UNIVERSITY</t>
  </si>
  <si>
    <t>ALL INDIAN SHREE SHIVAJI MEMORIAL SOCIETY, COLLEGE OF ENGINEERING, PUNE/MAHARASHTRA</t>
  </si>
  <si>
    <t>AutoCAD,MS Office,MS Project,Primavera,CostX,Revit,BIM,Quantity Estimation,Quality Control</t>
  </si>
  <si>
    <t>Suryapriya construction pvt ltd | Planning and execution intern | Bengaluru | May 2026 | Jul 2026 | 8.7142857142857 Weeks | Campus Internship
Dhankawade Group | Intern  | Ambegaon, Pune. | Dec 2023 | Jan 2024 | 5.5714285714286 Weeks</t>
  </si>
  <si>
    <t>Lean Six Sigma Yellow Belt
Ethics in Engineering Pratice
Finance for Non-Financial Management</t>
  </si>
  <si>
    <t>P25700185</t>
  </si>
  <si>
    <t>MOKSHITHAA</t>
  </si>
  <si>
    <t>H S</t>
  </si>
  <si>
    <t>Mokshithaa H S</t>
  </si>
  <si>
    <t>mokshithaasiddappa@gmail.com</t>
  </si>
  <si>
    <t>p25700185@student.nicmar.ac.in</t>
  </si>
  <si>
    <t>24-Jul-2001</t>
  </si>
  <si>
    <t>English , Kannada , Hindi</t>
  </si>
  <si>
    <t>3377 0911 1869</t>
  </si>
  <si>
    <t>SIDDAPPA C</t>
  </si>
  <si>
    <t>SIDDAGANGAMMA C</t>
  </si>
  <si>
    <t># 303 , 3rd Cross , Maruthi Nagar , Chandra Layout , Bengaluru - 560072</t>
  </si>
  <si>
    <t>SRI SIDDAGANGA HIGHER PRIMARY SCHOOL</t>
  </si>
  <si>
    <t>KLE INDEPENDENT PU COLLEGE</t>
  </si>
  <si>
    <t>VISVESVARAYA TECHNOLOGICAL UNIVERSITY , BELAGAVI</t>
  </si>
  <si>
    <t>SJB SCHOOL OF ARCHITECTURE AND PLANNING , KENGERI / KARNATAKA</t>
  </si>
  <si>
    <t>AutoCAD,MS Office,MS Project,Sketchup,Revit,Lumion,Enscape,Adobe Photoshop</t>
  </si>
  <si>
    <t>RAINEO ARCHITECTS | JUNIOR ARCHITECT | Bengaluru  | May 2024 | Jun 2025 | 1Y 1M | 2.7</t>
  </si>
  <si>
    <t>Ashoka Builders India Private Limited (ASBL Private Limited) | Design Research and Coordination Intern | Hyderabad | May 2026 | Jul 2026 | 8.7142857142857 Weeks | Campus Internship
KENAR ARCHITECTS | INTERN  | BENGALURU | Jan 2024 | Apr 2024 | 15.714285714286 Weeks</t>
  </si>
  <si>
    <t>P25700186</t>
  </si>
  <si>
    <t>NAMDEV</t>
  </si>
  <si>
    <t>KADOLKAR</t>
  </si>
  <si>
    <t>Yash Namdev Kadolkar</t>
  </si>
  <si>
    <t>yashkadolkar99@gmail.com</t>
  </si>
  <si>
    <t>p25700186@student.nicmar.ac.in</t>
  </si>
  <si>
    <t>29-Apr-2001</t>
  </si>
  <si>
    <t>ENGLISH,HINDI AND MARATHI</t>
  </si>
  <si>
    <t>9552 1753 7296</t>
  </si>
  <si>
    <t>NAMDEV SHANKAR KADOLKAR</t>
  </si>
  <si>
    <t>OTHER</t>
  </si>
  <si>
    <t>SUVIDYA NAMDEV KADOLKAR</t>
  </si>
  <si>
    <t>Sutar Mala, Gandhi Camp,Ichalkaranji</t>
  </si>
  <si>
    <t>VYANKATRAO HIGH-SCHOOL AND JUNIOR COLLEGE</t>
  </si>
  <si>
    <t>KOLHAPUR,MAHARASTRA</t>
  </si>
  <si>
    <t>GOVINDRAO JUNIOR COLLEGE</t>
  </si>
  <si>
    <t>SHIVAJI UNIVERSITY, KOHAPUR</t>
  </si>
  <si>
    <t>D.K.T.E. SOCIETY'S TEXTILE AND ENGINEERING INSTITUTE</t>
  </si>
  <si>
    <t>AutoCAD,MS Office,MS Project,Staad Pro,costx</t>
  </si>
  <si>
    <t>Madhure Infra Pvt. Ltd. | Junior Engineer | Pune | Nov 2024 | Jun 2025 | 0Y 7M | 2.16
Rangate Associates | Junior Engineer  | Ichalkaranji  | Jul 2023 | Oct 2024 | 1Y 3M | 1.94</t>
  </si>
  <si>
    <t>Kolte -Patil Developers LTD  | Construction &amp; Operation Department | Pune | May 2026 | Jul 2026 | 9.7142857142857 Weeks | Campus Internship
Rangate Associates | Junior Engineer | Ichalkaranji | Dec 2021 | Jan 2022 | 2.8571428571429 Weeks</t>
  </si>
  <si>
    <t>P25700187</t>
  </si>
  <si>
    <t>NIKHIL</t>
  </si>
  <si>
    <t>UTTAM</t>
  </si>
  <si>
    <t>Nikhil Uttam Patil</t>
  </si>
  <si>
    <t>nikhilpat9090@gmail.com</t>
  </si>
  <si>
    <t>p25700187@student.nicmar.ac.in</t>
  </si>
  <si>
    <t>13-Dec-1999</t>
  </si>
  <si>
    <t>4665 5846 7501</t>
  </si>
  <si>
    <t>UTTAM MAHADEO PATIL</t>
  </si>
  <si>
    <t>CHEMIST</t>
  </si>
  <si>
    <t>MANISHA UTTAM PATIL</t>
  </si>
  <si>
    <t>C 304, LEO LAND HSG SOCIETY, RAJE SHIVAJI NAGAR, L And T GATE NO 7 OPP, SV ROAD, POWAI</t>
  </si>
  <si>
    <t>BOMBAY CAMBRIDGE GURUKUL ANDHERI EAST</t>
  </si>
  <si>
    <t>SECONDARY SCHOOL CERTIFICATE MUMBAI MAHARASHTRA</t>
  </si>
  <si>
    <t>2005-Jul</t>
  </si>
  <si>
    <t>PACE JUNIOR SCIENCE COLLEGE POWAI</t>
  </si>
  <si>
    <t>HIGHER SECONDARY CERTIFICATE MUMBAI MAHARASHTRA</t>
  </si>
  <si>
    <t>2015-Sep</t>
  </si>
  <si>
    <t>MIT WORLD PEACE UNIVERSITY</t>
  </si>
  <si>
    <t>MIT WORLD PEACE UNIVERSITY PUNE MAHARASHTRA</t>
  </si>
  <si>
    <t>Technoheights Constructions (I) Pvt Ltd | Asst. Project Civil Engineer | Mumbai | Sep 2023 | Jan 2025 | 1Y 4M | 4.8
Gensys Technologies Pvt Ltd | Junior Planning and Billing Engineer | Pune | Feb 2025 | Jun 2025 | 0Y 4M | 4.8</t>
  </si>
  <si>
    <t>Embassy Developments Limited | Contracts and Procurement Intern | Mumbai | May 2026 | Jul 2026 | 8.2857142857143 Weeks | Campus Internship
VM CONSULTANT (JSW STEEL PLANT, DOLVI, MH) | JR STRUCTURAL AUDITOR | DOLVI PEN MAHARASHTRA | Jun 2022 | Sep 2022 | 16.571428571429 Weeks
Vilas Javdekar | Training Engineer | Pune | Jan 2021 | Apr 2021 | 16.571428571429 Weeks
WORLEY INDIA | CSA ENGINEER | NAVI MUMBAI | Mar 2023 | Aug 2023 | 26.142857142857 Weeks</t>
  </si>
  <si>
    <t>P25700188</t>
  </si>
  <si>
    <t>HARIHARAN</t>
  </si>
  <si>
    <t>Hariharan K</t>
  </si>
  <si>
    <t>hariharank5679@gmail.com</t>
  </si>
  <si>
    <t>p25700188@student.nicmar.ac.in</t>
  </si>
  <si>
    <t>26-Apr-2004</t>
  </si>
  <si>
    <t>English, Tamil, Telugu</t>
  </si>
  <si>
    <t>9256 3548 4887</t>
  </si>
  <si>
    <t>KUMARAN K</t>
  </si>
  <si>
    <t>SRIMATHI K</t>
  </si>
  <si>
    <t>PLOT NO 9 VEERAVANJI STREET CHITLAPAKKAM CHENNAI</t>
  </si>
  <si>
    <t>Chengalpattu</t>
  </si>
  <si>
    <t>SREEVATSA VISWANATHAN VIVEKANANDA VIDYALAYA SENIOR SECONDARY SCHOOL</t>
  </si>
  <si>
    <t>SRI SIVASUBRAMANIYA NADAR COLLEGE OF ENGINEERING</t>
  </si>
  <si>
    <t xml:space="preserve">AutoCAD, MS Office, MS Project, Primavera, PLAXIS 2D </t>
  </si>
  <si>
    <t>KPMG INDIA | Project Management Intern – Major Projects Advisory (MPA) | BANGALORE | May 2026 | Jun 2026 | 7.5714285714286 Weeks | Campus Internship
VGK BUILDERS | Intern-site Engineer  | Chennai | Jul 2024 | Aug 2024 | 4.5714285714286 Weeks</t>
  </si>
  <si>
    <t>Lean Six Sigma Green Belt Certification By KPMG</t>
  </si>
  <si>
    <t>P25700189</t>
  </si>
  <si>
    <t>MACHHINDRA</t>
  </si>
  <si>
    <t>GANGADHAR</t>
  </si>
  <si>
    <t>UBALE</t>
  </si>
  <si>
    <t>Machhindra Gangadhar Ubale</t>
  </si>
  <si>
    <t>machhindraubale8@gmail.com</t>
  </si>
  <si>
    <t>p25700189@student.nicmar.ac.in</t>
  </si>
  <si>
    <t>15-Jan-2000</t>
  </si>
  <si>
    <t>8653 5193 6749</t>
  </si>
  <si>
    <t>YAMUNABAI</t>
  </si>
  <si>
    <t>GANORI TQ PHULAMBRI AURANGABAD MAHARASHTRA - 431008</t>
  </si>
  <si>
    <t>SHREE SAINATH VIDHYALAY WALUJ</t>
  </si>
  <si>
    <t>MAHARASHTRA STATE OF SECONDARY AND HIGHER SECONDARY EDUCATION, PUNE</t>
  </si>
  <si>
    <t>MAHARASHTRA COLLEGE OF ART, COMMERCE AND SCIENCE WALUJ, AURANGABAD</t>
  </si>
  <si>
    <t>DR. BABASAHEB AMBEDKAR MARATHWADA UNIVERSITY</t>
  </si>
  <si>
    <t>INTERNATIONAL CENTER OF EXCELLENCE ENGINEERING AND MANAGEMENT AURANGABAD</t>
  </si>
  <si>
    <t>P25700190</t>
  </si>
  <si>
    <t>ABHINENDRA</t>
  </si>
  <si>
    <t>Abhinendra Pratap Singh</t>
  </si>
  <si>
    <t>abhinendrapratap800@gmail.com</t>
  </si>
  <si>
    <t>p25700190@student.nicmar.ac.in</t>
  </si>
  <si>
    <t>03-May-2001</t>
  </si>
  <si>
    <t>English, Hindi</t>
  </si>
  <si>
    <t>7410 0902 8327</t>
  </si>
  <si>
    <t>RAKESH CHANDRA</t>
  </si>
  <si>
    <t>SHASHI KALA</t>
  </si>
  <si>
    <t>House Number 306 Sitaram Kushwah Colony _x000D_
Infornt Of Circuit House Near Mangal Hotel</t>
  </si>
  <si>
    <t>EMMANUEL MISSION SENIOR SECONDARY SCHOOL</t>
  </si>
  <si>
    <t>BOARD OF SECONDAY EDUCATION RAJASTHAN</t>
  </si>
  <si>
    <t>SANATAN DHARM SIKSHA SADAN SENIOR SECONDARY SCHOOL</t>
  </si>
  <si>
    <t>SRM INSTITUE OF SCIENCE AND TECHNOLOGY</t>
  </si>
  <si>
    <t>SRM INSTITUE OF SCIENCE AND TECHNOLOGY, KATTANKULATHUR - TAMIL NADU</t>
  </si>
  <si>
    <t>AutoCAD,MS Project,Primavera,COST X,Advanced Excel,Powerpoint,Revit,Candy</t>
  </si>
  <si>
    <t>M/S Ganga Dhar Agrawal | Field Engineer | Bharatpur | Nov 2022 | Jan 2025 | 2Y 2M | 1.92</t>
  </si>
  <si>
    <t>Truboard Partners | Real Estate (Asset Management) Intern | Gurugram | May 2026 | Jun 2026 | 8.1428571428571 Weeks | Campus Internship
PUBLIC WORKS DEPARTMENT - RAJASTHAN | CIVIL ENGINEERING INTERN | DHOLPUR - RAJASTHAN | Jun 2019 | Jun 2019 | 4.1428571428571 Weeks</t>
  </si>
  <si>
    <t>Business Analytics with Excel: Elementary to Advanced -  John Hopkins University
Foundations of Project Management - Google
Project Initiation: Starting a Successful Project</t>
  </si>
  <si>
    <t>P25700191</t>
  </si>
  <si>
    <t>AKASH</t>
  </si>
  <si>
    <t>Utkarsh Akash Bhoir</t>
  </si>
  <si>
    <t>utkarshbhoir45@gmail.com</t>
  </si>
  <si>
    <t>p25700191@student.nicmar.ac.in</t>
  </si>
  <si>
    <t>14-May-2002</t>
  </si>
  <si>
    <t>5838 7523 0510</t>
  </si>
  <si>
    <t>AKASH KAMLAKAR BHOIR</t>
  </si>
  <si>
    <t>AKASHTA AKASH BHOIR</t>
  </si>
  <si>
    <t>House No. 533/1, Main Road, Juchandra, Near Railway Fatak, Naigaon East, Vasai, Palghar, Maharashtra</t>
  </si>
  <si>
    <t>Palghar</t>
  </si>
  <si>
    <t>DON BOSCO HIGH SCHOOL AND JUNIOR COLLEGE</t>
  </si>
  <si>
    <t>VIDYAVARDHINI'S BHAUSAHEB VARTAK POLYTECHNIC, VASAI, MAHARASHTRA</t>
  </si>
  <si>
    <t>THAKUR COLLEGE OF ENGINEERING AND TECHNOLOGY, KANDIVALI EAST, MUMBAI</t>
  </si>
  <si>
    <t>AutoCAD, MS Office, MS Project, Primavera, CostX</t>
  </si>
  <si>
    <t>Konark Infra | Site Engineer | Mumbai | Jun 2024 | Jun 2025 | 1Y 0M | 2.5</t>
  </si>
  <si>
    <t>New Consolidated Construction Company Limited | Planning Intern | Mahim, Mumbai | May 2026 | Jul 2026 | 8.5714285714286 Weeks | Campus Internship
Indian Knowledge system Division Ministry of Education, Govt. of India | Research Intern | Mumbai | Jul 2022 | Aug 2022 | 6.8571428571429 Weeks
Ministry of Housing and urban affairs, Government of India | Research Intern | Mumbai | Jul 2022 | Aug 2022 | 5 Weeks</t>
  </si>
  <si>
    <t>P25700192</t>
  </si>
  <si>
    <t>RAJESH</t>
  </si>
  <si>
    <t>UNARKER</t>
  </si>
  <si>
    <t>Nishant Rajesh Unarker</t>
  </si>
  <si>
    <t>nishantunarker.architect@gmail.com</t>
  </si>
  <si>
    <t>p25700192@student.nicmar.ac.in</t>
  </si>
  <si>
    <t>26-Nov-2000</t>
  </si>
  <si>
    <t>English, Hindi, Gujrati, &amp; Marathi</t>
  </si>
  <si>
    <t>2531 5568 8564</t>
  </si>
  <si>
    <t>ARCHITECT/CONTRACTOR</t>
  </si>
  <si>
    <t>RUPA</t>
  </si>
  <si>
    <t>A/504, Varun Valley, Atmaram Savant Marg, Kandivali(east), Varun Valley, Atmaram Savant Marg, Kandivali(east)</t>
  </si>
  <si>
    <t>LOKHANDWALA FOUNDATION SCHOOL</t>
  </si>
  <si>
    <t>INDIAN CERTIFICATE OF SECONDARY EDUCATION EXAMINATIONS, MUMBAI, MAHARASHTRA.</t>
  </si>
  <si>
    <t>AMRUTBEN JIVANLAL COLLEGE OF COMMERCE AND ECONOMICS</t>
  </si>
  <si>
    <t>MAHARASHTRA STATE BOARD OF SECONDARY &amp; HIGHER SECONDARY EDUCATION</t>
  </si>
  <si>
    <t>INDIAN EDUCATION SOCIETY'S COLLEGE OF ARCHITECTURE, MUMBAI-400050, MAHARASHTRA</t>
  </si>
  <si>
    <t>Studio MH02 | Jr. Architect &amp; BIM coordinator | Mumbai | Aug 2024 | Jun 2025 | 0Y 9M | 3.25
SUNIL R. KENKAREY ARCHITECT | Jr. Architect &amp; Project Coordinator | Mumbai | May 2023 | Jun 2024 | 1Y 1M | 2.4</t>
  </si>
  <si>
    <t>Kamala Farms ( kayne Bio Sciences ltd) | Project Execution Intern | Hyderabad | May 2026 | Jul 2026 | 8.7142857142857 Weeks | Campus Internship</t>
  </si>
  <si>
    <t>P25700193</t>
  </si>
  <si>
    <t>PARHAD</t>
  </si>
  <si>
    <t>YASHRAJ</t>
  </si>
  <si>
    <t>PRAMOD</t>
  </si>
  <si>
    <t>Parhad Yashraj Pramod</t>
  </si>
  <si>
    <t>yparhad.33@gmail.com</t>
  </si>
  <si>
    <t>p25700193@student.nicmar.ac.in</t>
  </si>
  <si>
    <t>06-Sep-2003</t>
  </si>
  <si>
    <t>6014 5322 1834</t>
  </si>
  <si>
    <t>PRAMOD PARHAD</t>
  </si>
  <si>
    <t>SAVITA PARHAD</t>
  </si>
  <si>
    <t>Yashshree , Vinayak Park , Awhalwadi Road , Wagholi , Pune</t>
  </si>
  <si>
    <t>PRODIGY PUBLIC SCHOOL</t>
  </si>
  <si>
    <t>DHOLE PATIL JUNIOR COLLEGE OF ARTS , COMMERCE AND SCIENCE</t>
  </si>
  <si>
    <t>HSC BOARD MAHARASHTRA</t>
  </si>
  <si>
    <t>SYMBIOSIS SKILLS AND PROFESSIONAL UNIVERSITY , PUNE</t>
  </si>
  <si>
    <t>SYMBIOSIS SKILLS AND PROFESSIONAL UNIVERSITY, PUNE - MAHARASHTRA</t>
  </si>
  <si>
    <t>CHINTAMANI INFRA | Site supervisor  | Pune  | Jan 2025 | May 2025 | 19.285714285714 Weeks</t>
  </si>
  <si>
    <t>P25700194</t>
  </si>
  <si>
    <t>HARSHA VARTHAN</t>
  </si>
  <si>
    <t>GURUSAMY</t>
  </si>
  <si>
    <t>Harsha Varthan Gurusamy</t>
  </si>
  <si>
    <t>ttrgharsha2001@gmail.com</t>
  </si>
  <si>
    <t>p25700194@student.nicmar.ac.in</t>
  </si>
  <si>
    <t>13-Sep-2001</t>
  </si>
  <si>
    <t>English,Telugu,Tamil</t>
  </si>
  <si>
    <t>7385 8934 6606</t>
  </si>
  <si>
    <t>GURUSAMY R</t>
  </si>
  <si>
    <t>CONDUCTOR</t>
  </si>
  <si>
    <t>SHANTHI A</t>
  </si>
  <si>
    <t>76, Main Road, Govindanagaram</t>
  </si>
  <si>
    <t>Theni</t>
  </si>
  <si>
    <t>T.K. SANGAM MATRIC HR SEC SCHOOL</t>
  </si>
  <si>
    <t>STATE BOARD OF SCHOOL EXAMINATION, TAMILNADU</t>
  </si>
  <si>
    <t>T.K.SANGAM MATRIC HR SEC SCHOOL</t>
  </si>
  <si>
    <t>STATE BOARD OF SCHOOL EXAMINATION (SEC.), TAMILNADU</t>
  </si>
  <si>
    <t>SRI KRISHNA COLLEGE OF ENGINEERING AND TECHNOLOGY</t>
  </si>
  <si>
    <t>COIMBATORE, TAMILNADU</t>
  </si>
  <si>
    <t>AutoCAD, MS Office, MS Project, Primavera, Revit, MS Excel, Power Query</t>
  </si>
  <si>
    <t>Yatzar Creations Private Limited | Junior BIM Software Developer | Coimbatore | Apr 2023 | May 2025 | 2Y 1M | 2.76</t>
  </si>
  <si>
    <t>M. Arunachalam Projects and Infrastructure Company Private Limited | Construction Project Management Intern | Chennai | May 2026 | Jul 2026 | 8.2857142857143 Weeks | Campus Internship</t>
  </si>
  <si>
    <t>AutoCAD Essential
Ethics in Engineering Practice
Introduction to Strategy Consulting (Job Simulation)</t>
  </si>
  <si>
    <t>P25700195</t>
  </si>
  <si>
    <t>BHAURAO</t>
  </si>
  <si>
    <t>AGLAWE</t>
  </si>
  <si>
    <t>Ankit Bhaurao Aglawe</t>
  </si>
  <si>
    <t>ankitaglawe1@gmail.com</t>
  </si>
  <si>
    <t>p25700195@student.nicmar.ac.in</t>
  </si>
  <si>
    <t>01-May-1998</t>
  </si>
  <si>
    <t>2940 8254 8662</t>
  </si>
  <si>
    <t>KANCHAN</t>
  </si>
  <si>
    <t>B1001, 10TH FLOOR, BEVERLY HILLS SOCIETY, DANGE CHAWK ROAD, NEAR ORRITEL HOTEL, BHATEWARA NAGAR, HINJEWADI, PIMPRI-CHINCHWAD</t>
  </si>
  <si>
    <t>At Tembhari, Near Alagondi-Borkhedi, Post Rama</t>
  </si>
  <si>
    <t>SOMALWAR HIGH SCHOOL, KHAMLA NAGPUR</t>
  </si>
  <si>
    <t>MAHARASHTRA STATE BOARD OF SECONDARY &amp; HIGHER SECONDARY EDUCATION PUNE</t>
  </si>
  <si>
    <t>GOVERNMENT POLYTECHNIC NAGPUR</t>
  </si>
  <si>
    <t>GOVERNMENT COLLEGE OF ENGINEERING JALGAON</t>
  </si>
  <si>
    <t>AutoCAD,Oracle Primavera P6 Professional,Microsoft Projects,RIB CostX,Autodesk Revit,Microsoft Excel,Microsoft Office</t>
  </si>
  <si>
    <t>Principle Security &amp; Allied Services Pvt. Lmt. | Project Engineer-Civil Works at VNIT Nagpur  | New Delhi | Aug 2022 | Jul 2024 | 1Y 11M | 5.65
K. R. Niwal &amp; Associates | Entry Level Engineer | Nagpur | Nov 2020 | Jul 2022 | 1Y 8M | 1.62</t>
  </si>
  <si>
    <t>Gubbi Civil Engineers Ltd | Project Management Intern | Thane | May 2026 | Jul 2026 | 8.7142857142857 Weeks | Campus Internship
WAGHUR DAM DIVISION, JALGAON | INTERN | JALGOAN, MAHARASHTRA | Dec 2018 | Dec 2018 | 2 Weeks</t>
  </si>
  <si>
    <t>P25700196</t>
  </si>
  <si>
    <t>VINAYA</t>
  </si>
  <si>
    <t>NAWALE</t>
  </si>
  <si>
    <t>Vinaya Rajesh Nawale</t>
  </si>
  <si>
    <t>nawalevinaya070902@gmail.com</t>
  </si>
  <si>
    <t>p25700196@student.nicmar.ac.in</t>
  </si>
  <si>
    <t>8816 7019 2466</t>
  </si>
  <si>
    <t>RAJESH BHASKAR NAWALE</t>
  </si>
  <si>
    <t>ANITA RAJESH NAWALE</t>
  </si>
  <si>
    <t>C201 Raga Altis, Golden City Hospital, Near Nath Seeds, Paithan Road Itkheda, Aurangabad.</t>
  </si>
  <si>
    <t>SHRI SHARADA MANDIR KANYA PRASHALA, AURANGABAD</t>
  </si>
  <si>
    <t>DEOGIRI COLLEGE, CHHATRAPATI SAMBHAJINAGAR</t>
  </si>
  <si>
    <t>N.D.M.V.P SHARADCHANDRA PAWARJI COLLEGE OF ARCHITECTURE, NASHIK.</t>
  </si>
  <si>
    <t>AutoCAD,MS Office,MS Project,SketchUp,Revit,Photoshop,Lumion</t>
  </si>
  <si>
    <t>Medigence Solutions Pvt. Ltd | Project Management Intern | Ahmedabad  | May 2026 | Jul 2026 | 8.7142857142857 Weeks | Campus Internship
PMA Madhushala | Architectural Intern | Pune  | Jun 2024 | Nov 2024 | 24.714285714286 Weeks</t>
  </si>
  <si>
    <t>P25700197</t>
  </si>
  <si>
    <t>CHAVADI</t>
  </si>
  <si>
    <t>Vijay S Chavadi</t>
  </si>
  <si>
    <t>vijayschavadi33@gmail.com</t>
  </si>
  <si>
    <t>p25700197@student.nicmar.ac.in</t>
  </si>
  <si>
    <t>09-Dec-2003</t>
  </si>
  <si>
    <t>English,Hindi,Kannada</t>
  </si>
  <si>
    <t>3110 0304 9592</t>
  </si>
  <si>
    <t>LATE SATHYAPPA B CHAVADI</t>
  </si>
  <si>
    <t>ASSISTANT ENGINEER</t>
  </si>
  <si>
    <t>LAKSHMI S CHAVADI</t>
  </si>
  <si>
    <t>#969/13_x000D_
Shivakumar Swamy Badavane, 2nd Stage , 4th Cross</t>
  </si>
  <si>
    <t>Davanagere</t>
  </si>
  <si>
    <t>SRI TARALABALU CENTRAL SCHOOL</t>
  </si>
  <si>
    <t>CENTRAL BOARD OF SECONDARY EDUCATION(CBSE), DAVANGERE,KARNATAKA</t>
  </si>
  <si>
    <t>SIR M V PU COLLEGE</t>
  </si>
  <si>
    <t>DEPARTMENT OF PRE-UNIVERSITY EDUCATION(DPUE), DAVANGERE,KARNATAKA</t>
  </si>
  <si>
    <t>KLE  TECHNOLOGICAL UNIVERSITY, HUBBALLI,KARNATAKA</t>
  </si>
  <si>
    <t>AutoCAD,Primavera,SAP2000</t>
  </si>
  <si>
    <t>White Venture Infratech Private Limited | Intern Site Engineer | Hubballi | Jan 2025 | Mar 2025 | 7.2857142857143 Weeks
MAHALAXMI RCC CONTRACTORS | Site Execution Intern | DAVANGERE, KARNATAKA | May 2026 | Jul 2026 | 8.7142857142857 Weeks</t>
  </si>
  <si>
    <t>P25700198</t>
  </si>
  <si>
    <t>ARJYA</t>
  </si>
  <si>
    <t>Arjya Aditya Raj</t>
  </si>
  <si>
    <t>arjyaadityaraj@gmail.com</t>
  </si>
  <si>
    <t>p25700198@student.nicmar.ac.in</t>
  </si>
  <si>
    <t>ENGLISH , HINDI , ODIA</t>
  </si>
  <si>
    <t>9507 0267 6679</t>
  </si>
  <si>
    <t>SATYA SANKAR RAJ</t>
  </si>
  <si>
    <t>SURAJITA RAJ</t>
  </si>
  <si>
    <t>QR. NO-D5 , Engineering School Colony , NEAR POST OFFICE ,BRAHMAPUR</t>
  </si>
  <si>
    <t>Ganjam</t>
  </si>
  <si>
    <t>INDIAN COUNSIL OF SECONDARY EDUCATION</t>
  </si>
  <si>
    <t>2007-May</t>
  </si>
  <si>
    <t>UCP ENGINEERING SCHOOL , BRAHMAPUR , ODISHA</t>
  </si>
  <si>
    <t>VEER SURENDRA SAI UNIVERSITY OF TECHNOLOGY</t>
  </si>
  <si>
    <t>VEER SURENDRA SAI UNIVERSITY OF TECHNOLOGY, ODISHA</t>
  </si>
  <si>
    <t>AutoCAD,MS Project,Primavera,MS EXCELSHEET</t>
  </si>
  <si>
    <t>SM CONSULTANTS PVT LTD | ASSISTANT ENGINEER | SECUNDERABAD | May 2024 | Jul 2025 | 1Y 1M | 2.4</t>
  </si>
  <si>
    <t>Suryapriya Constructions Pvt Ltd | Project Management Intern | Bengaluru | May 2026 | Jul 2026 | 8.7142857142857 Weeks | Campus Internship</t>
  </si>
  <si>
    <t>P25700200</t>
  </si>
  <si>
    <t>ULHAS</t>
  </si>
  <si>
    <t>Utkarsh Ulhas Bhoir</t>
  </si>
  <si>
    <t>utkarshbhoir5858@gmail.com</t>
  </si>
  <si>
    <t>p25700200@student.nicmar.ac.in</t>
  </si>
  <si>
    <t>10-Feb-2003</t>
  </si>
  <si>
    <t>2156 6640 7821</t>
  </si>
  <si>
    <t>JAYMALA</t>
  </si>
  <si>
    <t>175(1) Ekta Shopping Center, Ambadi Naka ,tal- Bhiwandi, Dist- Thane, Post - Dighashi, Pin- 421302</t>
  </si>
  <si>
    <t>Z.A MEMON ENGLISH SCHOOL</t>
  </si>
  <si>
    <t>EXPERT'S INTERNATIONAL JUNIOR COLLEGE</t>
  </si>
  <si>
    <t>THAKUR COLLEGE OF ENGINEERING AND TECHNOLOGY,KANDIVALI,MAHARASHTRA</t>
  </si>
  <si>
    <t>Fair Brothers Associates | Internship Trainee | Mumbai | Dec 2023 | Jan 2024 | 3.5714285714286 Weeks
Fair Brothers Associates | Internship Trainee | Mumbai | Dec 2024 | Jan 2025 | 3.5714285714286 Weeks</t>
  </si>
  <si>
    <t>P25700201</t>
  </si>
  <si>
    <t>STEVE</t>
  </si>
  <si>
    <t>WILSON</t>
  </si>
  <si>
    <t>Steve Wilson</t>
  </si>
  <si>
    <t>wilsonsteve149@gmail.com</t>
  </si>
  <si>
    <t>p25700201@student.nicmar.ac.in</t>
  </si>
  <si>
    <t>08-Jan-2003</t>
  </si>
  <si>
    <t>English, Hindi, Malayalam, Kannada</t>
  </si>
  <si>
    <t>7133 7894 7082</t>
  </si>
  <si>
    <t>WILSON GEORGE</t>
  </si>
  <si>
    <t>MINI THOMAS</t>
  </si>
  <si>
    <t>No 11, Palm Grove Layout, Meganahalli, Chelekere, Kalyan Nagar, Bengaluru, Karnataka. 560043</t>
  </si>
  <si>
    <t>INTERNATIONAL INDIAN SCHOOL AL KHOBAR, SAUDI ARABIA</t>
  </si>
  <si>
    <t>CENTRAL BOARD OF SECONDARY EDUCATION, AL KHOBAR SAUDI ARABIA.</t>
  </si>
  <si>
    <t>KENSRI SCHOOL BANGALORE</t>
  </si>
  <si>
    <t>CENTRAL BOARD OF SECONDARY EDUCATION, BANGALORE.</t>
  </si>
  <si>
    <t>VELLORE INSTITUTE OF TECHNOLOGY, VELLORE.</t>
  </si>
  <si>
    <t>GSIDC ltd | Site Execution  | Candolim Health Centre, GOA | May 2026 | Jul 2026 | 8.7142857142857 Weeks | Campus Internship
KOCHI METRO RAIL LTD. | INTERN | Thrippunithura, KOCHI, KERALA. | Aug 2023 | Sep 2023 | 3.8571428571429 Weeks</t>
  </si>
  <si>
    <t>P25700202</t>
  </si>
  <si>
    <t>REVANTH</t>
  </si>
  <si>
    <t>Revanth V Yadav</t>
  </si>
  <si>
    <t>revanth8gems@gmail.com</t>
  </si>
  <si>
    <t>p25700202@student.nicmar.ac.in</t>
  </si>
  <si>
    <t>20-Jun-2002</t>
  </si>
  <si>
    <t>English, Hindi, Kannada, Telugu, Tamil</t>
  </si>
  <si>
    <t>6980 1955 5914</t>
  </si>
  <si>
    <t>VASANTH</t>
  </si>
  <si>
    <t>CIVIL CONTRACTOR</t>
  </si>
  <si>
    <t>LALITHA</t>
  </si>
  <si>
    <t>#28, ANGADI THIMMAIAH LAYOUT, RMV 2ND STAGE,_x000D_
NAGASHETTIHALLY, BANGALORE-560094</t>
  </si>
  <si>
    <t>SRI SRI RAVISHANKAR VIDYA MANDIR</t>
  </si>
  <si>
    <t>CENTRAL BOARD OF SECONDARY EDUCATION, KARNATAKA</t>
  </si>
  <si>
    <t>MAHESH PU COLLEGE</t>
  </si>
  <si>
    <t>DEPARTMENT OF PRE-UNIVERSITY EDUCATION, GOVERNMENT OF KARNATAKA</t>
  </si>
  <si>
    <t>VIT UNIVERSITY</t>
  </si>
  <si>
    <t>AutoCAD,MS Office,MS Project,Primavera,QGIS,3DS MAX</t>
  </si>
  <si>
    <t>BHANIYANA CONSTRUCTION | SITE ENGINEER | JODHPUR | Jul 2024 | Feb 2025 | 0Y 7M | 4.4</t>
  </si>
  <si>
    <t>Goa State Infrastructure Development Corporation | Site Execution | Paniji, Goa | May 2026 | Jul 2026 | 8.7142857142857 Weeks | Campus Internship
BHANIYANA CONSTRUCTION | SITE ENGINEER | JODHPUR | Jan 2024 | Jun 2024 | 21.714285714286 Weeks
B&amp;B BUILDERS PVT LTD | MENS HOSEL S BLOCK | VELLORE | May 2023 | Jun 2023 | 5 Weeks</t>
  </si>
  <si>
    <t>P25700203</t>
  </si>
  <si>
    <t>NIHALAHMAD</t>
  </si>
  <si>
    <t>RIYAJ</t>
  </si>
  <si>
    <t>FARAS</t>
  </si>
  <si>
    <t>Nihalahmad Riyaj Faras</t>
  </si>
  <si>
    <t>nihalfaraz20@gmail.com</t>
  </si>
  <si>
    <t>p25700203@student.nicmar.ac.in</t>
  </si>
  <si>
    <t>07-Sep-2001</t>
  </si>
  <si>
    <t>8937 8496 3011</t>
  </si>
  <si>
    <t>RIYAJ A. FARAS</t>
  </si>
  <si>
    <t>MUMTAJ R. FARAS</t>
  </si>
  <si>
    <t>HOUSWIFE</t>
  </si>
  <si>
    <t>Madhukar Residency Near Katchi Hall Shivaji Road Flat No. T1 Miraj</t>
  </si>
  <si>
    <t>BETHESDA SCHOOL MIRAJ</t>
  </si>
  <si>
    <t>GOVERNMENT POLYTECHNIC MIRAJ</t>
  </si>
  <si>
    <t>DR. BABASAHEB AMBEDKAR TECHNOLOGICAL UNIVERSITY, LONERE,  RAIGAD. MAHARASHTRA</t>
  </si>
  <si>
    <t>PADMABHOOSHAN VASANTRAODADA PATIL INSTITUTE OF TECHNOLOGY (PVPIT), BUDHGAON, SANGLI</t>
  </si>
  <si>
    <t>AutoCAD,MS Office,MS Project,Primavera,Revit Architecture,Q-GIS</t>
  </si>
  <si>
    <t>Khilare And Associates | Site Engineer |  Sangli | Sep 2023 | Nov 2024 | 1Y 2M | 1.2</t>
  </si>
  <si>
    <t>Panchshil Realty (A2Z Online Services Private Limited) | Project Management &amp; Controls  | Pune | May 2026 | Jul 2026 | 8.7142857142857 Weeks | Campus Internship</t>
  </si>
  <si>
    <t>Construction Project Management by Columbia University
Mastering Construction/ Project Management</t>
  </si>
  <si>
    <t>P25700204</t>
  </si>
  <si>
    <t>KARTIKAY</t>
  </si>
  <si>
    <t>VASHISHTHA</t>
  </si>
  <si>
    <t>Kartikay Vashishtha</t>
  </si>
  <si>
    <t>kartikayvashishtha@gmail.com</t>
  </si>
  <si>
    <t>p25700204@student.nicmar.ac.in</t>
  </si>
  <si>
    <t>12-Aug-2002</t>
  </si>
  <si>
    <t>9433 2489 5608</t>
  </si>
  <si>
    <t>PANKAJ VASHISHTHA</t>
  </si>
  <si>
    <t>SEEMA VASHISHTHA</t>
  </si>
  <si>
    <t>A-208,Jawhar Colony,</t>
  </si>
  <si>
    <t>Jhalawar</t>
  </si>
  <si>
    <t>EDUSUCCESS,PUNE</t>
  </si>
  <si>
    <t>MAHARASHTRA BOARD OF HIGHER SECONDARY EDUCATION</t>
  </si>
  <si>
    <t>SWARAJAYA SENIOR SECONDARY SCHOOL, ALWAR</t>
  </si>
  <si>
    <t>NORTHWEST ACCREDITATION COMMISSION</t>
  </si>
  <si>
    <t>UPES</t>
  </si>
  <si>
    <t>UPES-DEHRADUN</t>
  </si>
  <si>
    <t>SPML | Graduate trainee engineer | Jaipur  | Apr 2024 | Nov 2024 | 34.714285714286 Weeks
JWIL | Civil Engineering Intern    | Isarda Dousa Water Supply Project, Rajasthan  | Jun 2023 | Jul 2023 | 8.5714285714286 Weeks</t>
  </si>
  <si>
    <t>P25700205</t>
  </si>
  <si>
    <t>VINAYCHANDRA</t>
  </si>
  <si>
    <t>BHENDAWADE</t>
  </si>
  <si>
    <t>Prateek Vinaychandra Bhendawade</t>
  </si>
  <si>
    <t>prateekbhendawade@gmail.com</t>
  </si>
  <si>
    <t>p25700205@student.nicmar.ac.in</t>
  </si>
  <si>
    <t>3350 7119 6194</t>
  </si>
  <si>
    <t>YUGANDHARA</t>
  </si>
  <si>
    <t>A/P Mangaon Tal Hatkanangale Dist Kolhapur</t>
  </si>
  <si>
    <t>MARATHI MEDIUM HIGHSCHOOL ICHALKARANJI</t>
  </si>
  <si>
    <t>YASHWANTRAO CHAVAN POLYTECHNIC ICHALKARANJI</t>
  </si>
  <si>
    <t>PUNYASHLOK AHILYADEVI HOLKAR SOLAPUR UNIVERSITY</t>
  </si>
  <si>
    <t>WALCHAND INSTITUTE OF TECHNOLOGY,SOLAPUR</t>
  </si>
  <si>
    <t>AutoCAD,MS Office,MS Project,Primavera,Quantity Estimation,Scheduling using Primavera / MS Project,Construction Planning (Academic Exposure),Project Coordination Support,WBS (Work Breakdown Structure),Earned Value Management (EVM)</t>
  </si>
  <si>
    <t>Syneteca Engineering Solutions Private Limited | Tekla Modelling Engineer | Pune | Oct 2021 | Oct 2024 | 3Y 0M | 3.6</t>
  </si>
  <si>
    <t>3 Years 1 Month</t>
  </si>
  <si>
    <t>Marathon Realty Pvt Ltd | Planning Engineer Intern | Navi Mumbai | May 2026 | Jun 2026 | 7.4285714285714 Weeks | Campus Internship</t>
  </si>
  <si>
    <t>Ethics in Engineering Practice - NPTEL
Finance For Non-Financial Managers - Coursera
Project Management Fundamentals - Microsoft Coursera</t>
  </si>
  <si>
    <t>P25700206</t>
  </si>
  <si>
    <t>Akshay Kumar</t>
  </si>
  <si>
    <t>akakshay257@gmail.com</t>
  </si>
  <si>
    <t>p25700206@student.nicmar.ac.in</t>
  </si>
  <si>
    <t>03-Apr-1996</t>
  </si>
  <si>
    <t>3582 0146 7154</t>
  </si>
  <si>
    <t>RADHA RAMAN KUMAR</t>
  </si>
  <si>
    <t>GOVT EMPLOYEE (SR.SO)</t>
  </si>
  <si>
    <t>ANAMIKA KUMARI</t>
  </si>
  <si>
    <t>305B Ramashish Apartment Kusumpuram Gola Road</t>
  </si>
  <si>
    <t>PATNA CENTRAL SCHOOL SUDARSHAN VIHAR</t>
  </si>
  <si>
    <t>CENTRAL BOARD OF SECONDARY EDUCATION PATNA/BIHAR</t>
  </si>
  <si>
    <t>BHUWNESHWARI DAYAL HIGH SCHOOL TELPA PATNA</t>
  </si>
  <si>
    <t>BIHAR SCHOOL EXAMINATION BOARD PATNA/BIHAR</t>
  </si>
  <si>
    <t>DIT UNIVERSITY</t>
  </si>
  <si>
    <t>DIT UNIVERSITY DEHRADUN/UTTARAKHAND</t>
  </si>
  <si>
    <t>JHARKHAND UNIVERSITY OF TECHNOLOGY</t>
  </si>
  <si>
    <t>2023-Oct</t>
  </si>
  <si>
    <t>AutoCAD,MS Office,MS Project,Primavera,CostX,Autodesk Revit</t>
  </si>
  <si>
    <t>RBP INFRASTRUCTURE &amp; ENGINEERING WORKS | SITE ENGINEER | GAYA, BIHAR | Jul 2019 | Aug 2021 | 2Y 1M | 1.65
M/S GAURAV CONSTRUCTION | SITE ENGINEER | Haidarnagar, Jharkhand | Dec 2023 | Jan 2025 | 1Y 1M | 2.16</t>
  </si>
  <si>
    <t>Cemindia Projects Limited | Project Intern | Karwar, Karnataka  | May 2026 | Jun 2026 | 8.1428571428571 Weeks | Campus Internship
Building Construction Department, Govt. of Bihar | Vocational Training |  M.LA Housing Patna, Bihar | May 2018 | May 2018 | 3.8571428571429 Weeks
Ranchi Smart City Corporation Limited | Intern | Ranchi, Jharkhand | Jan 2023 | Jul 2023 | 25.857142857143 Weeks</t>
  </si>
  <si>
    <t>FIDIC Red Book 2017 – Comprehensive Course</t>
  </si>
  <si>
    <t>P25700207</t>
  </si>
  <si>
    <t>BRAHMI</t>
  </si>
  <si>
    <t>Brahmi C</t>
  </si>
  <si>
    <t>bbrahmi975@gmail.com</t>
  </si>
  <si>
    <t>p25700207@student.nicmar.ac.in</t>
  </si>
  <si>
    <t>31-Jan-2003</t>
  </si>
  <si>
    <t>English,Kannada,Hindi,telugu</t>
  </si>
  <si>
    <t>7502 7320 3324</t>
  </si>
  <si>
    <t>CHANDRAMOHAN.V</t>
  </si>
  <si>
    <t>AEE IN CIVIL ENGINEER</t>
  </si>
  <si>
    <t>BHAGYALAKSHMI.M</t>
  </si>
  <si>
    <t>Opp To Rto Office,shankara Vidhyalaya School Road,siri Nilaya,murali Layout,kolar</t>
  </si>
  <si>
    <t>Kolar</t>
  </si>
  <si>
    <t>THE JAIN INTERNATIONAL SCHOOL</t>
  </si>
  <si>
    <t>CENTRAL BOARD OF EDUCATION ,DELHI</t>
  </si>
  <si>
    <t>THE VISION PU COLLEGE</t>
  </si>
  <si>
    <t>GOVERNMENT OF KARNATAKA,KARNATAKA</t>
  </si>
  <si>
    <t>MS RAMAIAH UNIVERSITY OF APPLIED SCIENCES</t>
  </si>
  <si>
    <t>MS RAMAIAH UNIVERSITY OF APPLIED SCIENCES,BANGLORE</t>
  </si>
  <si>
    <t>AutoCAD,MS Office,revit,staddpro</t>
  </si>
  <si>
    <t>Godrej properties limited  | intern operations | Banglore  | May 2026 | Jul 2026 | 8.7142857142857 Weeks | Campus Internship</t>
  </si>
  <si>
    <t>P25700208</t>
  </si>
  <si>
    <t>KB</t>
  </si>
  <si>
    <t>SANATH</t>
  </si>
  <si>
    <t>Kb Sanath Kumar</t>
  </si>
  <si>
    <t>sanathkumarkb13@gmail.com</t>
  </si>
  <si>
    <t>p25700208@student.nicmar.ac.in</t>
  </si>
  <si>
    <t>ENGLISH,KANNADA,HINDI,TELUGU,DAKHNI</t>
  </si>
  <si>
    <t>7594 2423 7978</t>
  </si>
  <si>
    <t>KB SANJEEV PRASAD</t>
  </si>
  <si>
    <t>ROJAVATHI</t>
  </si>
  <si>
    <t>#155 SANJEEVASHREE 1ST MAIN ROAD BASAVESHWARA NAGAR, BALLARI</t>
  </si>
  <si>
    <t>Bellary</t>
  </si>
  <si>
    <t>DREAM WORLD SCHOOL</t>
  </si>
  <si>
    <t>CBSE , BALLARI</t>
  </si>
  <si>
    <t>NARAYANA PU COLLEGE</t>
  </si>
  <si>
    <t>DEPARTMENT OF PRE-UNIVERSITY EDUCATION , GOVT OF KARNATAKA</t>
  </si>
  <si>
    <t>VTU</t>
  </si>
  <si>
    <t>RV COLLEGE OF ENGINEERING BENGALURU</t>
  </si>
  <si>
    <t>AutoCAD,MS Office,MS Project,Primavera,c,c++</t>
  </si>
  <si>
    <t>New Consolidated Construction Company  | Contracts Intern | Mumbai | May 2026 | Jul 2026 | 8.5714285714286 Weeks | Campus Internship
SPACE BAR ARCHITECTURE + URBANISM | Graduate Engineer | Ballari | Jul 2024 | Jul 2025 | 52.285714285714 Weeks</t>
  </si>
  <si>
    <t>P25700209</t>
  </si>
  <si>
    <t>GAUTAM</t>
  </si>
  <si>
    <t>VASUDEV</t>
  </si>
  <si>
    <t>SHIVADUTTA</t>
  </si>
  <si>
    <t>Gautam Vasudev Shivadutta</t>
  </si>
  <si>
    <t>gautamvasudev287@gmail.com</t>
  </si>
  <si>
    <t>p25700209@student.nicmar.ac.in</t>
  </si>
  <si>
    <t>28-Jul-2000</t>
  </si>
  <si>
    <t>2346 6332 0446</t>
  </si>
  <si>
    <t>SHIVADUTTA GAUTAM</t>
  </si>
  <si>
    <t>SSE RAILWAYS</t>
  </si>
  <si>
    <t>ARADHANA SHIVADUTTA GAUTAM</t>
  </si>
  <si>
    <t>Unitech Westend Complex_x000D_
B/304, Periyar Bld No. 29</t>
  </si>
  <si>
    <t>SECONDARY SCHOOL CERTIFICATE (SSC) MUMBAI/MAHARASHTRA</t>
  </si>
  <si>
    <t>DIPLOMA IN MECHANICAL ENGINEERING</t>
  </si>
  <si>
    <t>VIDYAVARDHINI BHAUSAHEB VARTAK POLYTECHNIC MUMBAI/MAHARASHTRA</t>
  </si>
  <si>
    <t>THAKUR COLLEGE OF ENGINEERING &amp; TECHNOLOGY MUMBAI/MAHARASHTRA</t>
  </si>
  <si>
    <t>Dattani Estate Developers | Junior Engineer | Kandivali west, Mumbai | Jul 2023 | Jul 2025 | 2Y 0M | 2.4</t>
  </si>
  <si>
    <t>Dattani Estate Developers | Project Controls | Mumbai | May 2026 | Jul 2026 | 9 Weeks | Campus Internship</t>
  </si>
  <si>
    <t>P25700210</t>
  </si>
  <si>
    <t>JARESH</t>
  </si>
  <si>
    <t>SUNIL</t>
  </si>
  <si>
    <t>GHAG</t>
  </si>
  <si>
    <t>Jaresh Sunil Ghag</t>
  </si>
  <si>
    <t>ghagjaresh@gmail.com</t>
  </si>
  <si>
    <t>p25700210@student.nicmar.ac.in</t>
  </si>
  <si>
    <t>28-Feb-2003</t>
  </si>
  <si>
    <t>8156 4838 6790</t>
  </si>
  <si>
    <t>GOVERNMENT SERVENT</t>
  </si>
  <si>
    <t>JAYSHRI</t>
  </si>
  <si>
    <t>2434 D Ward, Shukrawar Peth, Bhoi Galli, Kolhapur</t>
  </si>
  <si>
    <t>MAHARASHTRA HIGH SCHOOL, SHIVAJI PETH, KOLHAPUR</t>
  </si>
  <si>
    <t>MAHARASHTRA STATE BOARD OF SECONDARY AND HIGHER SECONDARY, PUNE</t>
  </si>
  <si>
    <t>THE NEW COLLEGE, SHIVAJI PETH, KOLHAPUR.</t>
  </si>
  <si>
    <t>SHIVAJI UNIVERSITY.</t>
  </si>
  <si>
    <t>KOLHAPUR INSTITUTE OF TECHNOLOGY COLLEGE OF ENGINEERING (AUTONOMOUS), KOLHAPUR, MAHARASHTRA.</t>
  </si>
  <si>
    <t>Kunal Group | Site Engineer | Pune | May 2026 | Jun 2026 | 7.7142857142857 Weeks | Campus Internship
Kunal Group, Balewadi, Pune. | Site Engineer | Pune | Jan 2025 | Jun 2025 | 21.571428571429 Weeks</t>
  </si>
  <si>
    <t>P25700211</t>
  </si>
  <si>
    <t>GOLI</t>
  </si>
  <si>
    <t>SAI SATVIK</t>
  </si>
  <si>
    <t>Goli Sai Satvik Reddy</t>
  </si>
  <si>
    <t>goli.satvik21@gmail.com</t>
  </si>
  <si>
    <t>p25700211@student.nicmar.ac.in</t>
  </si>
  <si>
    <t>21-Jul-2004</t>
  </si>
  <si>
    <t>Telugu,Hindi and English</t>
  </si>
  <si>
    <t>4425 3486 8219</t>
  </si>
  <si>
    <t>GOLI SARATH BABU ALIAS SARAT REDDY</t>
  </si>
  <si>
    <t>ABBURI ANITHA</t>
  </si>
  <si>
    <t>ADDITIONAL DISTRICT JUDGE</t>
  </si>
  <si>
    <t>Flat No C4 Harshas Classic, Ashok Nagar, Eluru</t>
  </si>
  <si>
    <t>FIITJEE HIGH SCHOOL</t>
  </si>
  <si>
    <t>VIJAYAWADA ANDHRA PRADESH</t>
  </si>
  <si>
    <t>FIITJEE JUNIOR COLLEGE</t>
  </si>
  <si>
    <t>NATIONAL INSTITUTE OF TECHNOLOGY, CALICUT</t>
  </si>
  <si>
    <t>KOZHIKODE/KERALA</t>
  </si>
  <si>
    <t>AutoCAD,MS Office,MS Project,Etabs</t>
  </si>
  <si>
    <t>Navayuga Engineering Company Ltd | Engineering Trainee | Kasara | May 2023 | Jun 2023 | 4.4285714285714 Weeks</t>
  </si>
  <si>
    <t>P25700212</t>
  </si>
  <si>
    <t>SHOUVIK</t>
  </si>
  <si>
    <t>MANDAL</t>
  </si>
  <si>
    <t>Shouvik Mandal</t>
  </si>
  <si>
    <t>mandalshouvik5@gmail.com</t>
  </si>
  <si>
    <t>p25700212@student.nicmar.ac.in</t>
  </si>
  <si>
    <t>03-Mar-2001</t>
  </si>
  <si>
    <t>ENGLISH, BENGALI, HINDI</t>
  </si>
  <si>
    <t>9394 0588 0859</t>
  </si>
  <si>
    <t>JAYANTA KUMAR MANDAL</t>
  </si>
  <si>
    <t>RETIRED TEACHER</t>
  </si>
  <si>
    <t>KABERI SARKAR MANDAL</t>
  </si>
  <si>
    <t>Lane No. - 5A, Lake Garden, Malda.</t>
  </si>
  <si>
    <t>Malda</t>
  </si>
  <si>
    <t>RAMAKRISHNA MISSION VIVEKANANDA VIDYAMANDIR, MALDA</t>
  </si>
  <si>
    <t>WEST BENGAL BOARD OF SECONDARY EDUACTION</t>
  </si>
  <si>
    <t>MEGHNAD SAHA INSTITUTE OF TECHNOLOGY WEST BENGAL</t>
  </si>
  <si>
    <t>AutoCAD,MS Office,MS Project,Staad Pro</t>
  </si>
  <si>
    <t>Kalpataru Projects International Limited | Engineer | Allahabad, Uttar Pradesh | Oct 2023 | Jun 2025 | 1Y 7M | 5.87</t>
  </si>
  <si>
    <t>CPWD | Execution and Planning | Kolkata | May 2026 | Jul 2026 | 9.5714285714286 Weeks | Campus Internship
JMC Projects (India) LTD. | Intern | Kolkata | Aug 2022 | Aug 2022 | 4.2857142857143 Weeks</t>
  </si>
  <si>
    <t>Staad Pro</t>
  </si>
  <si>
    <t>P25700213</t>
  </si>
  <si>
    <t>HARDIK</t>
  </si>
  <si>
    <t>ASHOK</t>
  </si>
  <si>
    <t>POKAR</t>
  </si>
  <si>
    <t>Hardik Ashok Pokar</t>
  </si>
  <si>
    <t>hardikpokar07@gmail.com</t>
  </si>
  <si>
    <t>p25700213@student.nicmar.ac.in</t>
  </si>
  <si>
    <t>30-Jul-2003</t>
  </si>
  <si>
    <t>English, Hindi, Marathi , Gujarati</t>
  </si>
  <si>
    <t>9350 7875 0319</t>
  </si>
  <si>
    <t>ASHOK RATANSHI POKAR</t>
  </si>
  <si>
    <t>BHARTI ASHOK POKAR</t>
  </si>
  <si>
    <t>Flat No. 301, Yashodeep Building, Shriram Soc., Warje, Pune 58</t>
  </si>
  <si>
    <t>RMD SINGHAD SPRING DALE SCHOOL WARJE</t>
  </si>
  <si>
    <t>CENTRAL BOARD OF SECONDARY EDUCATION, PUNE</t>
  </si>
  <si>
    <t>M.I.T. JUNIOR COLLEGE KOTHRUD</t>
  </si>
  <si>
    <t>SINHGAD COLLEGE OF ENGINEERING, PUNE</t>
  </si>
  <si>
    <t>2022-Jan</t>
  </si>
  <si>
    <t>SIDDHI NISARG ASSOCIATES | Site Intern - Civil Engineer | Wakad, Pune | Dec 2023 | Jan 2024 | 4.2857142857143 Weeks</t>
  </si>
  <si>
    <t>P25700214</t>
  </si>
  <si>
    <t>ABDULKADAR</t>
  </si>
  <si>
    <t>MOHAMMED ISAQ</t>
  </si>
  <si>
    <t>MUTWALLI</t>
  </si>
  <si>
    <t>Abdulkadar Mohammed Isaq Mutwalli</t>
  </si>
  <si>
    <t>abdulmutwalli7860@gmail.com</t>
  </si>
  <si>
    <t>p25700214@student.nicmar.ac.in</t>
  </si>
  <si>
    <t>09-Apr-2002</t>
  </si>
  <si>
    <t>5865 3236 2039</t>
  </si>
  <si>
    <t>MOHAMMED ISAQ MUTWALLI</t>
  </si>
  <si>
    <t>BUSSNIESS</t>
  </si>
  <si>
    <t>TAIYYABA MOHAMMEDISAQ MUTWALLI</t>
  </si>
  <si>
    <t>Darul Hamad Complex Sahara Solapur Awing 303</t>
  </si>
  <si>
    <t>INDIAN MODEL SCHOOL</t>
  </si>
  <si>
    <t>A.D JOSHI JR COLLEGE</t>
  </si>
  <si>
    <t>2020-Jan</t>
  </si>
  <si>
    <t>WALCHAND INSTITUTE OF TECHNOLOGY , SOLAPUR MAHARASHTRA</t>
  </si>
  <si>
    <t>AutoCAD,MS Office,MS Project,Revit,Lumion</t>
  </si>
  <si>
    <t>Iconic Civil Engineering and Structural Solutions ,Solapur | Eng Trainee | Solapur  | Jun 2024 | Jul 2025 | 1Y 1M | 3</t>
  </si>
  <si>
    <t>Anarock project Management and Engineering Services | Planning and Design Coordination | Bengaluru | May 2026 | Jul 2026 | 8.7142857142857 Weeks | Campus Internship
L&amp;T MUMBAI | Intern | MUMBAI ( VIRAR) | Feb 2024 | Mar 2024 | 4.1428571428571 Weeks
THAKUR&amp;THAKUR PUNE | Intern | PUNE ( SASWAD ) | Mar 2023 | Mar 2023 | 3.2857142857143 Weeks
Iconic Engineering Solutions | Eng Trainee | solapur  | Jun 2024 | Jul 2025 | 56.428571428571 Weeks</t>
  </si>
  <si>
    <t>Pregrad Bussniess Analysis
Acceleration 2022 WIT
Revit / Lumion 3d
Autocad</t>
  </si>
  <si>
    <t>P25700215</t>
  </si>
  <si>
    <t>SHITANGSHU</t>
  </si>
  <si>
    <t>SARKAR</t>
  </si>
  <si>
    <t>Shitangshu Sarkar</t>
  </si>
  <si>
    <t>arch.shitangshusarkar@gmail.com</t>
  </si>
  <si>
    <t>p25700215@student.nicmar.ac.in</t>
  </si>
  <si>
    <t>10-Oct-2000</t>
  </si>
  <si>
    <t>English, Hindi, Bengali</t>
  </si>
  <si>
    <t>5732 7546 0740</t>
  </si>
  <si>
    <t>TAPAN SARKAR</t>
  </si>
  <si>
    <t>SIPRA SARKAR</t>
  </si>
  <si>
    <t>40B/6, Upendra Chandra Banerjee Road, Kankurgachi, Kolkata - 700054, West Bengal</t>
  </si>
  <si>
    <t>PURWANCHAL VIDYAMANDIR</t>
  </si>
  <si>
    <t>COUNCIL FOR THE INDIAN SCHOOL CERTIFICATE EXAMINATIONS , KOLKATA</t>
  </si>
  <si>
    <t>AMITY UNIVERSITY , KOLKATA</t>
  </si>
  <si>
    <t>AutoCAD,MS Office,MS Project,Primavera,Photoshop,Sketchup,Lumion,Twinmotion,Revit,enscpe,Illustrator,Procreate</t>
  </si>
  <si>
    <t>Ar. Tamal Chaudhuri and Associates | Junior Architect | Kolkata | Sep 2023 | Aug 2024 | 0Y 11M | 3</t>
  </si>
  <si>
    <t>Ahluwalia Contracts India Ltd  | Planning and Coordination Intern | Kolkata  | May 2026 | Jul 2026 | 8.7142857142857 Weeks | Campus Internship
INTERSTICE STUDIO | INTERN ARCHITECT | NEW DELHI | Aug 2022 | Dec 2022 | 19.142857142857 Weeks</t>
  </si>
  <si>
    <t>Registered architect under the Council of Architecture ( COA )
Finance for Non financial Managers by Emory University through Coursera</t>
  </si>
  <si>
    <t>P25700216</t>
  </si>
  <si>
    <t>RIYA</t>
  </si>
  <si>
    <t>FALE</t>
  </si>
  <si>
    <t>Riya Fale</t>
  </si>
  <si>
    <t>faleriya92@gmail.com</t>
  </si>
  <si>
    <t>p25700216@student.nicmar.ac.in</t>
  </si>
  <si>
    <t>22-Nov-2003</t>
  </si>
  <si>
    <t>Hindi, English and marathi</t>
  </si>
  <si>
    <t>3572 0256 4917</t>
  </si>
  <si>
    <t>DILIP FALE</t>
  </si>
  <si>
    <t>TANUJA FALE</t>
  </si>
  <si>
    <t>Near Buddh Vihar, Bajar Chauk Saoner, Nagpur, Maharastra</t>
  </si>
  <si>
    <t>ST. JOHN'S MISSION EDUCATION SOCIETY'S CONVENT SAONER</t>
  </si>
  <si>
    <t>GOVERNMENT POLYTECNIC NAGPUR</t>
  </si>
  <si>
    <t>RASHTRASANT TUKADOJI MAHARAJ NAGPUR UNIVERSITY, NAGPUR</t>
  </si>
  <si>
    <t>G. H. RAISONI COLLEGE OF ENGINEERING</t>
  </si>
  <si>
    <t>AutoCAD,MS Office,MS Project,MS-CIT</t>
  </si>
  <si>
    <t>New consolidated construction company pvt ltd (NCCCL) | Project management | Navi Mumbai | May 2026 | Jul 2026 | 8.7142857142857 Weeks | Campus Internship
Panacea Civil India Pvt. Ltd. | Site Engineer Intern | Pune | Jan 2025 | Jun 2025 | 25.714285714286 Weeks</t>
  </si>
  <si>
    <t>P25700217</t>
  </si>
  <si>
    <t>SAI KEERTHI</t>
  </si>
  <si>
    <t>Sai Keerthi R</t>
  </si>
  <si>
    <t>saikeerthi10301@gmail.com</t>
  </si>
  <si>
    <t>p25700217@student.nicmar.ac.in</t>
  </si>
  <si>
    <t>10-Mar-2001</t>
  </si>
  <si>
    <t>6715 7491 9682</t>
  </si>
  <si>
    <t>RANGANATH N R</t>
  </si>
  <si>
    <t>SAI DARSHAN T R</t>
  </si>
  <si>
    <t>Flat No. 408, Maruthi Enclave Apartment, Balaji Layout, Mallathahalli, Bangalore</t>
  </si>
  <si>
    <t>SRI VANI EDUCATION CENTRE</t>
  </si>
  <si>
    <t>CENTRAL BOARD OF SECONDARY EDUCATION, BANGALORE, KARNATAKA</t>
  </si>
  <si>
    <t>JAIN PU COLLEGE</t>
  </si>
  <si>
    <t>GLOBAL ACADEMY OF TECHNOLOGY, BANGALORE, KARNATAKA</t>
  </si>
  <si>
    <t>AutoCAD,MS Office,MS Project,Autodesk Revit,Primavera P6</t>
  </si>
  <si>
    <t>Ardent Constructions | Design Engineer | Bangalore | Jun 2023 | Jun 2025 | 2Y 0M | 3.27</t>
  </si>
  <si>
    <t>Cushman &amp; Wakefield | Project Management Intern | Bangalore | May 2026 | Jul 2026 | 8.7142857142857 Weeks | Campus Internship
SARVA HOMES | DESIGN ENGINEER INTERN | BANGALORE | Aug 2022 | Sep 2022 | 3.7142857142857 Weeks</t>
  </si>
  <si>
    <t>P25700218</t>
  </si>
  <si>
    <t>B</t>
  </si>
  <si>
    <t>Akash B V</t>
  </si>
  <si>
    <t>akashbenne18@gmail.com</t>
  </si>
  <si>
    <t>p25700218@student.nicmar.ac.in</t>
  </si>
  <si>
    <t>18-Dec-2002</t>
  </si>
  <si>
    <t>9517 0743 5081</t>
  </si>
  <si>
    <t>VENKATESH B R</t>
  </si>
  <si>
    <t>SUMA T R</t>
  </si>
  <si>
    <t>N0: 87 SHRINIVASA NILAYA 2ND MAIN 1ST CROSS RIGHT SAVALANGA ROAD L B S NAGARA SHIVAMOGGA KARNATAKA</t>
  </si>
  <si>
    <t>KENDRIYA VIDYALAYA SHIVAMOGGA KARNATAKA</t>
  </si>
  <si>
    <t>SHIVAMOGGA KARNATAKA</t>
  </si>
  <si>
    <t>EXCELLENT PU COLLEGE,KALLABETTU MOODBIDRI,MANGALORE TQ</t>
  </si>
  <si>
    <t>MOODBIDRI MANGALORE</t>
  </si>
  <si>
    <t>DAYANANDA SAGAR COLLEGE OF ENGINEERING</t>
  </si>
  <si>
    <t>DAYANANDA SAGAR COLLEGE OF ENGINEERING BANGALORE KARNATAKA</t>
  </si>
  <si>
    <t>VINYAS INFRA LLP ENGINEERS,BUILDERS,DEVELOPERS AND PROMOTORS | Site Engineer  | SHIVAMOGGA | Aug 2024 | Jul 2025 | 0Y 11M | 3</t>
  </si>
  <si>
    <t>Sobha Limited | Site Execution | Bengaluru | May 2026 | Jul 2026 | 9 Weeks | Campus Internship
DESIGN POINT PROJECT MANAGEMENT CONSULTANTS ARCHITECTS AND ENGINEERS | SITE ENGINEER | RICHMOND ROAD BANGALORE | Aug 2023 | Sep 2023 | 4.4285714285714 Weeks</t>
  </si>
  <si>
    <t>P25700219</t>
  </si>
  <si>
    <t>OMKAR</t>
  </si>
  <si>
    <t>Omkar Arun Bhalerao</t>
  </si>
  <si>
    <t>omkarbhalerao243@gmail.com</t>
  </si>
  <si>
    <t>p25700219@student.nicmar.ac.in</t>
  </si>
  <si>
    <t>09-Mar-2003</t>
  </si>
  <si>
    <t>7800 3509 2668</t>
  </si>
  <si>
    <t>ARUN BHALERAO</t>
  </si>
  <si>
    <t>CHANDRAKALA BHALERAO</t>
  </si>
  <si>
    <t>MAYA SADAN, 3RD FLOOR ROOM NO 301, SECTOR  6, HOLI MAIDAN, SARSOLE VILLAGE, NERUL (WEST), NAVI MUMBAI</t>
  </si>
  <si>
    <t>ROOM NO 413, 4TH FLOOR_x000D_
A- WING PRABUDHA TOWER_x000D_
P L LOKHANDE MARG LIMBONI BAUG OPP ASISI_x000D_
NAGAR GOVANDI MUMBAI</t>
  </si>
  <si>
    <t>OUR LADY OF PERPETUAL SUCCOUR HIGH SCHOOL</t>
  </si>
  <si>
    <t>GOVERNMENT POLYTECHNIC MUMBAI, BANDRA</t>
  </si>
  <si>
    <t>JKUMAR INFRASTRUCTURE LTD. | Construction Management Intern | PAREL, MUMBAI | May 2026 | Jul 2026 | 9.4285714285714 Weeks | Campus Internship
Jain Engineers Pvt. Ltd. | Intern | Palava Phase-2, Dombivali | Feb 2022 | Aug 2022 | 25.714285714286 Weeks</t>
  </si>
  <si>
    <t>P25700220</t>
  </si>
  <si>
    <t>YADHUNANDH</t>
  </si>
  <si>
    <t>GUNJARA</t>
  </si>
  <si>
    <t>Yadhunandh Gunjara</t>
  </si>
  <si>
    <t>gunjarayadhunandh@gmail.com</t>
  </si>
  <si>
    <t>p25700220@student.nicmar.ac.in</t>
  </si>
  <si>
    <t>15-Feb-2004</t>
  </si>
  <si>
    <t>English,Telugu,Hindi</t>
  </si>
  <si>
    <t>2296 4734 9130</t>
  </si>
  <si>
    <t>G N PRAKASH BABU</t>
  </si>
  <si>
    <t>SR.SSO-ACCOUNTS, SOUTH CENTRAL RAILWAYS</t>
  </si>
  <si>
    <t>K UMADEVI</t>
  </si>
  <si>
    <t>20/212-G-6, Icon Square Apartment, Vijaya Nagar Colony, Guntakal</t>
  </si>
  <si>
    <t>NARAYANA EM HIGH SCHOOL</t>
  </si>
  <si>
    <t>GUNTAKAL, ANDHRA PRADESH</t>
  </si>
  <si>
    <t>BOARD OF INTERMEDIATE EDUCATION, VIJAYAWADA, ANDHRA PRADESH</t>
  </si>
  <si>
    <t>VELLORE INSTITUTE OF TECHNOLOGY, VELLORE, TAMIL NADU</t>
  </si>
  <si>
    <t>Goa State Infrastructure Development Corporation Limited | Site execution Engineer | Goa | May 2026 | Jul 2026 | 8.7142857142857 Weeks | Campus Internship
Elemental Realty Private Limited | Site Engineer | Hyderbad | Sep 2023 | Oct 2023 | 4.2857142857143 Weeks</t>
  </si>
  <si>
    <t>P25700222</t>
  </si>
  <si>
    <t>SATYAM</t>
  </si>
  <si>
    <t>Satyam Sharma</t>
  </si>
  <si>
    <t>satyamsharma1420@gmail.com</t>
  </si>
  <si>
    <t>p25700222@student.nicmar.ac.in</t>
  </si>
  <si>
    <t>14-Oct-2001</t>
  </si>
  <si>
    <t>6875 0528 2484</t>
  </si>
  <si>
    <t>RAM VINOD SARASWAT</t>
  </si>
  <si>
    <t>SHASHI</t>
  </si>
  <si>
    <t>C-521, BETA-1, GREATER NOIDA</t>
  </si>
  <si>
    <t>CENTRAL BOARD OF SECONDARY EDUCATION , DELHI</t>
  </si>
  <si>
    <t>GAUTAM BUDDHA UNIVERSITY</t>
  </si>
  <si>
    <t>SCHOOL OF ENGINEERING , GREATER NOIDA UP</t>
  </si>
  <si>
    <t>Sobha Ltd. | Intern | Gurugram | May 2026 | Jul 2026 | 9 Weeks | Campus Internship
A.K.CONSTRUCTION | INTERN | LACHHIPUR,GORAKHNATH,GORAKHPUR | Jul 2023 | Dec 2023 | 26 Weeks
CENTRAL WATER COMMISSION | INTERN | IRRIGATION PLANNING(NORTH) DIRECTORATE,CENTRAL WATER COMMISSION, SEWA BHAWAN R.K.PURAM SECTOR-1 NEW DELHI 110066 | Jul 2022 | Aug 2022 | 6.2857142857143 Weeks</t>
  </si>
  <si>
    <t>Ethics in Engineering Practice</t>
  </si>
  <si>
    <t>P25700223</t>
  </si>
  <si>
    <t>GHOLAP</t>
  </si>
  <si>
    <t>Shubham Ashok Gholap</t>
  </si>
  <si>
    <t>ar.shubhamgholap2914@gmail.com</t>
  </si>
  <si>
    <t>p25700223@student.nicmar.ac.in</t>
  </si>
  <si>
    <t>29-Aug-1999</t>
  </si>
  <si>
    <t>8335 4983 1932</t>
  </si>
  <si>
    <t>ASHOK AMBADAS GHOLAP</t>
  </si>
  <si>
    <t>RETIRED CIVIL ENGINEER</t>
  </si>
  <si>
    <t>JAYSHRI ASHOK GHOLAP</t>
  </si>
  <si>
    <t>495, Kanhoba Chari No. 2, Bend Vasti, Loni Kh., Po: Loni Kh, Tal.- Rahata, Dist.- Ahmednagar, Maharashta- 413713</t>
  </si>
  <si>
    <t>RAYAT SHIKSHAN SANSTHA'S PADMASHRI DR. VITTHALRAO VIKHE PATIL VIDYALAY, LONI.</t>
  </si>
  <si>
    <t>PVP JR. COLLEGE, LONI.</t>
  </si>
  <si>
    <t>PRAVARA RURAL COLLEGE OF ARCHITECTURE, LONI.</t>
  </si>
  <si>
    <t>AutoCAD,MS Office,MS Project,Primavera,Sktech up,Lumion,Autodesk Revit,Adobe Photoshop,Adobe Illustrator,Enscape</t>
  </si>
  <si>
    <t>Ekaa Designs | Jr. Architect, Project and Liasoning Architect | Baner, Pune | Jun 2023 | Jun 2025 | 2Y 0M | 3.56</t>
  </si>
  <si>
    <t>2 Years 1 Month</t>
  </si>
  <si>
    <t>Ekaa Designs | Trainee Architect | Baner, Pune | Jul 2022 | Dec 2022 | 24.714285714286 Weeks</t>
  </si>
  <si>
    <t>P25700224</t>
  </si>
  <si>
    <t>SUNDAR</t>
  </si>
  <si>
    <t>SALVE</t>
  </si>
  <si>
    <t>Rohit Sundar Salve</t>
  </si>
  <si>
    <t>salverohit001@gmail.com</t>
  </si>
  <si>
    <t>p25700224@student.nicmar.ac.in</t>
  </si>
  <si>
    <t>26-Aug-2000</t>
  </si>
  <si>
    <t>Marathi , Hindi , English</t>
  </si>
  <si>
    <t>2010 6597 5556</t>
  </si>
  <si>
    <t>SUNDAR SALVE</t>
  </si>
  <si>
    <t>BUILDING CONTRACTOR</t>
  </si>
  <si>
    <t>SHILA SALVE</t>
  </si>
  <si>
    <t>BANK CLERK</t>
  </si>
  <si>
    <t>POST OFFICE, 25/1, NICMAR UNIVERSITY, N.I.A, BALEWADI RD, RAM NAGAR, BANER, PUNE, MAHARASHTRA 411045</t>
  </si>
  <si>
    <t>Row House No.A5 , GRB Kesar Housing Society ,Sudhakar Nagar Road ,Aurangabad</t>
  </si>
  <si>
    <t>DNYANANKUR  HIGH SCHOOL, AURANGABAD, MAHARASHTRA</t>
  </si>
  <si>
    <t>DR . R. P. NATH JR. COLLEGE ARTS &amp; SCIENCE , AURANGABAD, MAHARASHTRA</t>
  </si>
  <si>
    <t>DR . BABASAHEB AMBEDKAR TECHNOLOGICAL UNIVERSITY ,LONERE , MAHARASHTRA</t>
  </si>
  <si>
    <t>MGM'S JAWAHARLAL NEHRU ENGINEERING COLLEGE, AURANGABAD, MAHARASHTRA</t>
  </si>
  <si>
    <t>Bangalore Metro Rail Corporation Limited (BMRCL) | Management | Bengaluru | May 2026 | Jul 2026 | 8.7142857142857 Weeks | Campus Internship
NEHA CONSTRUCTION | Site Engineer | Aurangabad | Dec 2023 | Apr 2025 | 68.571428571429 Weeks</t>
  </si>
  <si>
    <t>P25700225</t>
  </si>
  <si>
    <t>ANUGRAHA</t>
  </si>
  <si>
    <t>Anugraha J</t>
  </si>
  <si>
    <t>anugrahaj2002@gmail.com</t>
  </si>
  <si>
    <t>p25700225@student.nicmar.ac.in</t>
  </si>
  <si>
    <t>09-Mar-2002</t>
  </si>
  <si>
    <t>English, Malayalam, Tamil</t>
  </si>
  <si>
    <t>8821 2784 8526</t>
  </si>
  <si>
    <t>JAYAPRAKASH A</t>
  </si>
  <si>
    <t>EX - SERVICE MAN</t>
  </si>
  <si>
    <t>LATHA P</t>
  </si>
  <si>
    <t>Veettiparambil (House), Puthucode (Post), Palakkad (District),</t>
  </si>
  <si>
    <t>Palakkad</t>
  </si>
  <si>
    <t>CHERUPUSHPAM GIRLS HIGHER SECONDARY SCHOOL</t>
  </si>
  <si>
    <t>KERALA STATE BOARD OF EDUCATION</t>
  </si>
  <si>
    <t>JAWAHARLAL COLLEGE OF ENGINEERING AND TECHNOLOGY, LAKKIDI, PALAKKAD, KERALA</t>
  </si>
  <si>
    <t>AutoCAD,MS Office,MS Project,Primavera,Revit Architecture,3DS Max,SketchUp</t>
  </si>
  <si>
    <t>RISE-UP BUILDERS LLP | Junior Site Engineer | Palakkad, Kerala | Jun 2024 | Jun 2025 | 1Y 0M | 1.44</t>
  </si>
  <si>
    <t>SOBHA LIMITED | PLANNING INTERN | Bangalore | May 2026 | Jul 2026 | 9 Weeks | Campus Internship
SHAPOORJI PALLONJI AND COMPANY PRIVATE LIMITED | INTERNSHIP TRAINEE | IIT PALAKKAD, KERALA | May 2023 | May 2023 | 3 Weeks</t>
  </si>
  <si>
    <t>Navisworks
Primavera P6
3ds Max
SketchUp
Revit Architecture
Autocad 2D and 3D
Construction Equipment Maintenance and Safety
German</t>
  </si>
  <si>
    <t>P25700227</t>
  </si>
  <si>
    <t>KUMARI</t>
  </si>
  <si>
    <t>Ankita Kumari Sinha</t>
  </si>
  <si>
    <t>ankitakumarisinha21@gmail.com</t>
  </si>
  <si>
    <t>p25700227@student.nicmar.ac.in</t>
  </si>
  <si>
    <t>23-Aug-1998</t>
  </si>
  <si>
    <t>2706 8302 4913</t>
  </si>
  <si>
    <t>DHIRAJ KUMAR SINGH</t>
  </si>
  <si>
    <t>ARTI KUMARI</t>
  </si>
  <si>
    <t>Sahay Sadan, Pakki Goriya, Ashok Chakra Gali, Patna City</t>
  </si>
  <si>
    <t>SATYAM INTERNATIONAL SCHOOL</t>
  </si>
  <si>
    <t>CBSE, PATNA</t>
  </si>
  <si>
    <t>GIRLS HIGH SCHOOL</t>
  </si>
  <si>
    <t>BBOSE,PATNA</t>
  </si>
  <si>
    <t>2016-Dec</t>
  </si>
  <si>
    <t>TECHNO INDIA COLLEGE OF TECHNOLOGY, KOLKATA</t>
  </si>
  <si>
    <t>AutoCAD,MS Office,MS Project,Primavera,Revit - Architecture and structure,Navisworks,Bluebeam,Autodesk Construction Cloud,K Track,Sketch up,Archicad,MS Excel</t>
  </si>
  <si>
    <t>Pinnacle Infotech Solutions | BIM Engineer | Durgapur, West Bengal | Aug 2021 | Aug 2023 | 2Y 0M | 3.6
Intec Infra Technologies Pvt. Ltd. | BIM-Architect | Gurugram, Haryana | Sep 2023 | Jul 2025 | 1Y 10M | 6.84</t>
  </si>
  <si>
    <t>3 Years 10 Months</t>
  </si>
  <si>
    <t>Ahluwalia Contracts (India) Limited  | Project Coordinator Intern - Formwork Department  | Delhi | May 2026 | Jun 2026 | 7.7142857142857 Weeks | Campus Internship</t>
  </si>
  <si>
    <t>Engineering Project Management  Time and Cost Management
Engineering Project Management: Initiating and Planning
Oil &amp; Gas Industry Operations and Markets
PMP certification
Project Admin Scholar - Digi QC
Construction Aspects of Formwork
Ethics in Engineering Practice</t>
  </si>
  <si>
    <t>P25700228</t>
  </si>
  <si>
    <t>ABHAY</t>
  </si>
  <si>
    <t>Abhay Yadav</t>
  </si>
  <si>
    <t>abhayyaduvanshi2000@gmail.com</t>
  </si>
  <si>
    <t>p25700228@student.nicmar.ac.in</t>
  </si>
  <si>
    <t>18-Oct-2000</t>
  </si>
  <si>
    <t>7659 5240 7408</t>
  </si>
  <si>
    <t>NEERAJ KANT YADAV</t>
  </si>
  <si>
    <t>MANOJ KUMARI</t>
  </si>
  <si>
    <t>1031, ULTIMA HOSTEL, NICMAR UNIVERSITY, RAM NAGAR, BANER</t>
  </si>
  <si>
    <t>1/250 Suhag Nagar</t>
  </si>
  <si>
    <t>Firozabad</t>
  </si>
  <si>
    <t>KIDS CORNER HAPPY SENIOR SECONDARY SCHOOL</t>
  </si>
  <si>
    <t>CBSE, FIROZABAD, UTTAR PRADESH</t>
  </si>
  <si>
    <t>KIIT UNIVERSITY</t>
  </si>
  <si>
    <t>KIIT UNIVERSITY, BHUBANESWAR, ODISHA</t>
  </si>
  <si>
    <t>Econstruct Design &amp; Build Pvt Ltd. | Intern | Bangalore | May 2026 | Jun 2026 | 8.1428571428571 Weeks | Campus Internship
Simplex Infrastructures Limited | Intern | Barabehra, Kolkata, West Bengal | Jun 2022 | Jul 2022 | 4.2857142857143 Weeks</t>
  </si>
  <si>
    <t>P25700229</t>
  </si>
  <si>
    <t>POPERE</t>
  </si>
  <si>
    <t>Sahil Suresh Popere</t>
  </si>
  <si>
    <t>sahilpopere18@gmail.com</t>
  </si>
  <si>
    <t>p25700229@student.nicmar.ac.in</t>
  </si>
  <si>
    <t>18-Feb-2001</t>
  </si>
  <si>
    <t>English, Hindi and Marathi</t>
  </si>
  <si>
    <t>5067 9765 1047</t>
  </si>
  <si>
    <t>SURESH VITTHAL POPERE</t>
  </si>
  <si>
    <t>KAVITA SURESH POPERE</t>
  </si>
  <si>
    <t>SARVODAYA NAGAR AMBICA APARTMENTS_x000D_
CC2 R.NO 418  NEAR JAIN MANDIR_x000D_
MULUND WEST</t>
  </si>
  <si>
    <t>Saishraddha CHS,  3/B, R. No:-305_x000D_
G. G. Road,  Near Lions Club,  Mulund (West)</t>
  </si>
  <si>
    <t>LOKMANYA TILAK ENGLISH HIGH SCHOOL</t>
  </si>
  <si>
    <t>MAHARASHTRA STATE BOARD OF SECONDARY AND HIGHER SECONDARY EDUCATION, MUMBAI, MAHARASHTRA</t>
  </si>
  <si>
    <t>MULUND VIDYA MANDIR JR COLLEGE</t>
  </si>
  <si>
    <t>TERNA ENGINEERING COLLEGE, NAVI MUMBAI, MAHARASHTRA</t>
  </si>
  <si>
    <t>AutoCAD,MS Office,MS Project,Primavera,Staad-Pro Connect Edition,Etabs</t>
  </si>
  <si>
    <t>Vishvaraj Environment Private Limited | Graduate Engineering Trainee (GET) | Mumbai and Ahmedabad | Sep 2023 | Sep 2024 | 0Y 11M | 3.07</t>
  </si>
  <si>
    <t>J Kumar Infraprojects Ltd.  | Intern – Construction Management (Civil) | Ulwe, Navi Mumbai, Maharashtra | May 2026 | Jul 2026 | 9.7142857142857 Weeks | Campus Internship
City and Industrial Development Corporation of Maharashtra Limited | Internship Trainee | Mulund | Jun 2022 | Jul 2022 | 2.7142857142857 Weeks
Neptune Ventures and Developers Pvt Ltd | Internship Trainee | Mulund | Dec 2021 | Jan 2022 | 4.1428571428571 Weeks</t>
  </si>
  <si>
    <t>Develop Soft Skills
AUTOCAD AND CONCRETE TECHNOLOGY
Staad Pro</t>
  </si>
  <si>
    <t>P25700230</t>
  </si>
  <si>
    <t>SATPUTE</t>
  </si>
  <si>
    <t>ASHWINI</t>
  </si>
  <si>
    <t>Satpute Ashwini Vijay</t>
  </si>
  <si>
    <t>satputeashwini1111@gmail.com</t>
  </si>
  <si>
    <t>p25700230@student.nicmar.ac.in</t>
  </si>
  <si>
    <t>English,  Hindi , Marathi</t>
  </si>
  <si>
    <t>7973 4119 2731</t>
  </si>
  <si>
    <t>VIJAY PANDURANG SATPUTE</t>
  </si>
  <si>
    <t>ANITA VIJAY SATPUTE</t>
  </si>
  <si>
    <t>Tilak Residency,  A2/07 , Sector No.07, Indrayaninagar, Bhosari,  Pune</t>
  </si>
  <si>
    <t>PRIYADARSHANI ENGLISH MEDIUM SCHOOL</t>
  </si>
  <si>
    <t>JAI HIND JUNIOR COLLEGE</t>
  </si>
  <si>
    <t>DR.D.Y.PATIL INSTITUTE OF TECHNOLOGY , PUNE , MAHARASHTRA</t>
  </si>
  <si>
    <t>AutoCAD,MS Office,MS Project,STADpro,MSExcel,MS Word</t>
  </si>
  <si>
    <t>Ratna Construction | Junior Engineer  | Pune  | Aug 2023 | Mar 2025 | 1Y 7M</t>
  </si>
  <si>
    <t>Bhajan Infratech Pvt Ltd | Site Execution + Control | Surat,Gujrat | May 2026 | Jun 2026 | 7.7142857142857 Weeks | Campus Internship
RATNA CONSTRUCTION | JUNIOR ENGINEER  | PUNE | Dec 2021 | Jan 2022 | 6 Weeks</t>
  </si>
  <si>
    <t>P25700231</t>
  </si>
  <si>
    <t>MANGESH</t>
  </si>
  <si>
    <t>GOVIND</t>
  </si>
  <si>
    <t>Mangesh Govind Jadhav</t>
  </si>
  <si>
    <t>jmangesh193@gmail.com</t>
  </si>
  <si>
    <t>p25700231@student.nicmar.ac.in</t>
  </si>
  <si>
    <t>20-Apr-2002</t>
  </si>
  <si>
    <t>8691 2207 7169</t>
  </si>
  <si>
    <t>CHAMANBAI</t>
  </si>
  <si>
    <t>Holi Post Pethsangvi Ta. Lohara Dist. Dharashiv</t>
  </si>
  <si>
    <t>MAHATMA GANDHI VIDHYALAYA HOLI</t>
  </si>
  <si>
    <t>GAYATRI COLLEGE OF SCIENCE CHARHOLI BK.</t>
  </si>
  <si>
    <t>SAVITRIBAI PHULE UNIVERCITY PUNE</t>
  </si>
  <si>
    <t>SINHGAD COOLEGE OF ENGINEERING VADGAON PUNE</t>
  </si>
  <si>
    <t>AutoCAD, Primavera,MS Project, Revit,</t>
  </si>
  <si>
    <t>Medigence Solutions Pvt. Ltd | Project Management Intern | Ahmedabad | May 2026 | Jul 2026 | 8.7142857142857 Weeks | Campus Internship
Maharashtra Metro Rail Corporation Limited | Intrn | Pune | Feb 2023 | Feb 2023 | 3.8571428571429 Weeks</t>
  </si>
  <si>
    <t>P25700232</t>
  </si>
  <si>
    <t>KOULASKAR</t>
  </si>
  <si>
    <t>Aditya Anand Koulaskar</t>
  </si>
  <si>
    <t>koulaskaraditya@gmail.com</t>
  </si>
  <si>
    <t>p25700232@student.nicmar.ac.in</t>
  </si>
  <si>
    <t>01-Dec-2002</t>
  </si>
  <si>
    <t>English ,Hindi,Marathi</t>
  </si>
  <si>
    <t>4666 6342 7594</t>
  </si>
  <si>
    <t>RASHMI</t>
  </si>
  <si>
    <t>H.NO 8 YASH NAGARI UNIT 4 KABRA NAGAR</t>
  </si>
  <si>
    <t>Nanded</t>
  </si>
  <si>
    <t>SANDEEPANI PUBLIC SCHOOL</t>
  </si>
  <si>
    <t>MAHARASHTRA STATE BOARD OF SECONDARY AND HIGHER  EDUCATION, PUNE</t>
  </si>
  <si>
    <t>NETAJI SUBHAS CHANDRA BOSE MAHAVIDYALA</t>
  </si>
  <si>
    <t>SAVITRI BAI PHULE PUNE UNIVERSITY,PUNE</t>
  </si>
  <si>
    <t>D. Y. PATIL COLLAGE OF ENGINEERING ,AKURDI,PUNE</t>
  </si>
  <si>
    <t xml:space="preserve">AutoCAD ,MS Office ,MS Project ,Primavera ,CostX ,Excel </t>
  </si>
  <si>
    <t>HEET INFRASTRUCTURE | SITE ENGINEER | CHANDRAPUR | Nov 2024 | Jun 2025 | 0Y 7M | 3.6</t>
  </si>
  <si>
    <t>Sribal Construction Company  | Project Management Intern | Bogapuram ,Vishakhapatnam,A.P | May 2026 | Jul 2026 | 8.7142857142857 Weeks | Campus Internship
HEMAY INFRASTRUCTURE | SITE SUPERVISOR  | AMALNER ,JALGAON | Feb 2023 | Mar 2023 | 4 Weeks</t>
  </si>
  <si>
    <t>Advance Contracts ,Tendering And Procurements.</t>
  </si>
  <si>
    <t>P25700233</t>
  </si>
  <si>
    <t>AAKANKSHA</t>
  </si>
  <si>
    <t>Aakanksha Pramod Pawar</t>
  </si>
  <si>
    <t>pawaraakanksha139@gmail.com</t>
  </si>
  <si>
    <t>p25700233@student.nicmar.ac.in</t>
  </si>
  <si>
    <t>21-Dec-2000</t>
  </si>
  <si>
    <t>9758 8013 1313</t>
  </si>
  <si>
    <t>PRAMOD PAWAR</t>
  </si>
  <si>
    <t>RETIRED COLLEGE PRINCIPAL</t>
  </si>
  <si>
    <t>KANCHAN PAWAR</t>
  </si>
  <si>
    <t>Flat No. 403, Radha Govind Apartment, Pisal Path, Shukrawar Peth</t>
  </si>
  <si>
    <t>ST. JOSEPH CONVENT SENIOR SECONDARY SCHOOL, JALGAON</t>
  </si>
  <si>
    <t>ALL INDIA SHRI SHIVAJI MEMORIAL SOCIETY'S COLLEGE OF POLYTECHNIC, PUNE</t>
  </si>
  <si>
    <t>MARATHWADA MITRA MANDAL'S COLLEGE OF ARCHITECTURE, PUNE</t>
  </si>
  <si>
    <t>AutoCAD,MS Office,MS Project,Primavera,Revit,Photoshop,Sketchup,Lumion,Autocad</t>
  </si>
  <si>
    <t>Prashant Deshmukh and Associates | Project Management/Coordination | Pune | May 2026 | Jul 2026 | 8.7142857142857 Weeks | Campus Internship
Z.P. Works Department, Sub-Division, Haveli, Pune | Intern | Khanapur, Pune | May 2019 | Jun 2019 | 6 Weeks
The Raw Project LLP | Architectural Intern | Ahmedabad, Gujrat | Jun 2024 | Sep 2024 | 16.285714285714 Weeks</t>
  </si>
  <si>
    <t>P25700234</t>
  </si>
  <si>
    <t>CHIRAG</t>
  </si>
  <si>
    <t>Chirag Roy</t>
  </si>
  <si>
    <t>chiragroy1234@gmail.com</t>
  </si>
  <si>
    <t>p25700234@student.nicmar.ac.in</t>
  </si>
  <si>
    <t>25-Aug-2002</t>
  </si>
  <si>
    <t>3809 3122 2701</t>
  </si>
  <si>
    <t>DHANANJAY ROY</t>
  </si>
  <si>
    <t>KIRAN ROY</t>
  </si>
  <si>
    <t>LAWYER</t>
  </si>
  <si>
    <t>202 Ashiyana Bld, Opp. V.N. Desai Hospital,11TH Road, Santacruz East , Mumbai 400055</t>
  </si>
  <si>
    <t>SHREE MUMBADEVI VIDYA MANDIR</t>
  </si>
  <si>
    <t>SECONDARY AND HIGHER SECONDARY EDUCATION PUNE, MUMBAI, MAHARASHTRA</t>
  </si>
  <si>
    <t>KHAR EDUCATION SOCIETY'S JUNIOR COLLEGE OF SCIENCE</t>
  </si>
  <si>
    <t>J. Kumar Infra projects Ltd | Site Execution | Ulwe , Navi Mumbai | May 2026 | Jul 2026 | 9.7142857142857 Weeks | Campus Internship
V. CHHIBBER &amp; CO | Trainee Site Engineer | Mumbai | Dec 2022 | Mar 2023 | 13 Weeks</t>
  </si>
  <si>
    <t>Fundamentals of Predictive Project  Management</t>
  </si>
  <si>
    <t>P25700235</t>
  </si>
  <si>
    <t>HIRASING</t>
  </si>
  <si>
    <t>Ajay Hirasing Rathod</t>
  </si>
  <si>
    <t>ajayhrathod0522@gmail.com</t>
  </si>
  <si>
    <t>p25700235@student.nicmar.ac.in</t>
  </si>
  <si>
    <t>05-Feb-2002</t>
  </si>
  <si>
    <t>3453 7090 9655</t>
  </si>
  <si>
    <t>SHOBHA</t>
  </si>
  <si>
    <t>405-ULTIMA HOSTEL NICMAR UNIVERSITY PUNE</t>
  </si>
  <si>
    <t>Umari (I) ,post Dabhadi, Tq. Arni</t>
  </si>
  <si>
    <t>Yavatmal</t>
  </si>
  <si>
    <t>SHAHID BHAGATSINGH HIGHER SECONDARY SCHOOL AND COLLEGE,ARNI</t>
  </si>
  <si>
    <t>MAHARASHTRA STATE BOARD, AMRAVATI DIVISIONAL BOARD</t>
  </si>
  <si>
    <t>SHRI,M.D. BHARTI HIGHER SECONDARY SCHOOL, ARNI</t>
  </si>
  <si>
    <t>JSPM'S IMPERIAL COLLEGE OF ENGINEERING &amp; RESEARCH, WAGHOLI ,PUNE ,MAHARASHTRA</t>
  </si>
  <si>
    <t>AutoCAD,MS Office,MS Project,Primavera,Site Execution,Project Coordination,CostX,BIM (Building Information Modeling)</t>
  </si>
  <si>
    <t>Riseco Infra Pvt. ltd. | Junior Civil Engineer | Pune | Jan 2024 | Apr 2025 | 1Y 2M | 3.25</t>
  </si>
  <si>
    <t>SAI CONSTRUCTION | TRAINEE CIVIL ENGINEER | ARNI, DIST YAVATMAL,MAHARASHTRA | Apr 2021 | Jan 2023 | 91.428571428571 Weeks</t>
  </si>
  <si>
    <t>P25700236</t>
  </si>
  <si>
    <t>KUNAL</t>
  </si>
  <si>
    <t>SARMA</t>
  </si>
  <si>
    <t>Kunal Sarma</t>
  </si>
  <si>
    <t>sarmakunal2001@gmail.com</t>
  </si>
  <si>
    <t>p25700236@student.nicmar.ac.in</t>
  </si>
  <si>
    <t>25-Oct-2002</t>
  </si>
  <si>
    <t>English, Hindi, Assamese</t>
  </si>
  <si>
    <t>9419 2245 6838</t>
  </si>
  <si>
    <t>RAJEN SARMA</t>
  </si>
  <si>
    <t>BARNALI SARMA</t>
  </si>
  <si>
    <t>MUSIC TEACHER</t>
  </si>
  <si>
    <t>H.No- 18, Laxmi Mandir Path, Barsajai, Basistha, Kamrup Metro, Assam-781029</t>
  </si>
  <si>
    <t>SANSKRITI THE GURUKUL</t>
  </si>
  <si>
    <t>GUWAHATI, ASSAM</t>
  </si>
  <si>
    <t>KALINGA INSTITUTE OF INDUSTRIAL TECHNOLOGY</t>
  </si>
  <si>
    <t>KALINGA INSTITUTE OF INDUSTRIAL TECHNOLOGY, BHUBANESWAR, ODISHA</t>
  </si>
  <si>
    <t>Goa State Infrastructure Development Corporation Limited (GSIDC) | Site Execution Engineer | Goa | May 2026 | Jul 2026 | 8.7142857142857 Weeks | Campus Internship
PWD(Govt. of Delhi) | Site Engineer Intern | Delhi | May 2024 | May 2024 | 4 Weeks
PWRD East Guwahati Territorial Road Division | Site Engineer Intern | Guwahati | May 2023 | Jun 2023 | 5.4285714285714 Weeks</t>
  </si>
  <si>
    <t>P25700237</t>
  </si>
  <si>
    <t>SALUNKHE</t>
  </si>
  <si>
    <t>Mihir Suresh Salunkhe</t>
  </si>
  <si>
    <t>a46111314@gmail.com</t>
  </si>
  <si>
    <t>p25700237@student.nicmar.ac.in</t>
  </si>
  <si>
    <t>04-Jul-2001</t>
  </si>
  <si>
    <t>3451 8337 8478</t>
  </si>
  <si>
    <t>MAHARASHTRA POLICE</t>
  </si>
  <si>
    <t>SAYALI</t>
  </si>
  <si>
    <t>5/6, Om Siddhi Vinayak Housing Society, Sarvodaya Nagar, Jogeshwari East</t>
  </si>
  <si>
    <t>ST DOMINIC SAVIO HIGH SCHOOL</t>
  </si>
  <si>
    <t>MAHARASHTRA STATE BOARD OF SECONDARY EDUCATION</t>
  </si>
  <si>
    <t>SARDAR VALLABHBHAI PATEL POLYTECHNIC MUMBAI/MAHARASHTRA</t>
  </si>
  <si>
    <t>VIVA INSTITUTE OF TECHNOLOGY VIRAR/MAHARASHTRA</t>
  </si>
  <si>
    <t>Wheel Buildwell | Junior Site Engineer | Jogeshwari East | Aug 2023 | Nov 2024 | 1Y 3M | 0.96
Nexus Builders &amp; Developers | Site Engineer | Jogeshwari | Dec 2024 | Aug 2025 | 0Y 8M | 3</t>
  </si>
  <si>
    <t>Prestige Group | Execution + Control  | Mumbai | May 2026 | Jul 2026 | 8.5714285714286 Weeks | Campus Internship</t>
  </si>
  <si>
    <t>Kohinoor Technical Institute (Electrical Wireman)</t>
  </si>
  <si>
    <t>P25700238</t>
  </si>
  <si>
    <t>JASH</t>
  </si>
  <si>
    <t>Jash Pawar</t>
  </si>
  <si>
    <t>jashpawarofficial@gmail.com</t>
  </si>
  <si>
    <t>p25700238@student.nicmar.ac.in</t>
  </si>
  <si>
    <t>04-Nov-2000</t>
  </si>
  <si>
    <t>English,Hindi,Gujarati,Marathi</t>
  </si>
  <si>
    <t>3406 9469 4126</t>
  </si>
  <si>
    <t>RAJUBHAI</t>
  </si>
  <si>
    <t>PADMABEN</t>
  </si>
  <si>
    <t>1301, JUIPTER BUILDING RAJHANS CAMPUS NEAR PAL RTO , SURAT CITY , SURAT , GUJARAT - 395009</t>
  </si>
  <si>
    <t>Surat</t>
  </si>
  <si>
    <t>80,Nandanvan Soc , Coseway Beside , Singanpore , Surat City , Surat , Gujarat-395004</t>
  </si>
  <si>
    <t>SMT.S.H GAJERA SEC. &amp; H.SEC SCHOOL</t>
  </si>
  <si>
    <t>GUJARAT SECONDARY &amp; HIGHER SECONDARY EDUCATION BOARD</t>
  </si>
  <si>
    <t>GUJARAT TECHNOLOGIAL UNIVERSITY</t>
  </si>
  <si>
    <t>L.D COLLEGE OF ENGINEERING,AHMEDABAD,GUJARAT</t>
  </si>
  <si>
    <t>AutoCAD,MS Office,MS Project,Primavera,Power BI,SQL</t>
  </si>
  <si>
    <t>Siddhivinayak Infrastructure | Billing Engineer | Surat,Gujarat | Aug 2022 | Jul 2024 | 1Y 11M | 2.4
Laxmi Infra Vision Private Limited | Junior Engineer | Surat,Gujarat | Aug 2024 | Jul 2025 | 0Y 11M | 3.36</t>
  </si>
  <si>
    <t>2 Years 12 Months</t>
  </si>
  <si>
    <t>SOBHA Limited | Project Management | GIFT City, Gandhinagar , Gujarat | May 2026 | Jul 2026 | 9 Weeks | Campus Internship
DECENT ENGINEERING | SITE ENGINEER | SURAT,GUJARAT | Jan 2022 | Apr 2022 | 12.857142857143 Weeks</t>
  </si>
  <si>
    <t>L&amp; T Project Management in Construction Specialization
Finance for Non-Financial Managers
Data Analysis</t>
  </si>
  <si>
    <t>P25700239</t>
  </si>
  <si>
    <t>ISHA</t>
  </si>
  <si>
    <t>RAJKUMARSINGH</t>
  </si>
  <si>
    <t>CHAUHAN</t>
  </si>
  <si>
    <t>Isha Rajkumarsingh Chauhan</t>
  </si>
  <si>
    <t>ishaachauhan1@gmail.com</t>
  </si>
  <si>
    <t>p25700239@student.nicmar.ac.in</t>
  </si>
  <si>
    <t>20-Jan-2001</t>
  </si>
  <si>
    <t>9122 9773 4733</t>
  </si>
  <si>
    <t>RAJKUMARSINGH CHAUHAN</t>
  </si>
  <si>
    <t>MEGHA R CHAUHAN</t>
  </si>
  <si>
    <t>A 105, RIVIERA, MAHALUNGE, BANER, PUNE</t>
  </si>
  <si>
    <t>Plot No 4, Behind Laxmi Devi Bajaj Hospital, Krida Square, Nagpur</t>
  </si>
  <si>
    <t>KENDRIYA VIDYALAYA AJNI, NAGPUR</t>
  </si>
  <si>
    <t>KAMLA NEHRU MAHAVIDYALAYA, NAGPUR</t>
  </si>
  <si>
    <t>MAHARASHTRA STATE BOARD OF SECODARY AND HIGHER SECONDARY EDUCATION, PUNE, MAHARASHTRA</t>
  </si>
  <si>
    <t>SMT. MANORAMABAI MUNDLE COLLEGE OF ARCHITECTURE, NAGPUR, MAHARASHTRA</t>
  </si>
  <si>
    <t>AutoCAD,MS Office,MS Project,Google Sketchup,Revit,BIM,3DS MAX,Photoshop,Illustrator,INdesign</t>
  </si>
  <si>
    <t>Base 4 | Architect | Nagpur, Maharashtra | Jun 2023 | Jul 2024 | 1Y 1M | 2.4
The Collective Praxis | Architect | Nagpur, Maharashtra | Oct 2024 | Jun 2025 | 0Y 8M | 1.44</t>
  </si>
  <si>
    <t xml:space="preserve">  Godrej Properties Limited | Operations Intern (Construction) | Maan-Hinjewadi, Pune | May 2026 | Jul 2026 | 8.7142857142857 Weeks | Campus Internship
MISA ARCHITECTS | Architectural Intern | AHMEDABAD | Jan 2022 | Sep 2022 | 35.571428571429 Weeks</t>
  </si>
  <si>
    <t>Birla Mural making competition- Handson Industry experience (consolation prize)
Ar. Sunil Toye Competition for landscape and sustainable development
Studio Layout Software Academy</t>
  </si>
  <si>
    <t>P25700240</t>
  </si>
  <si>
    <t>VISHWARAJ</t>
  </si>
  <si>
    <t>MOKASHI</t>
  </si>
  <si>
    <t>Vishwaraj Mohan Mokashi</t>
  </si>
  <si>
    <t>vishwarajmokashi20@gmail.com</t>
  </si>
  <si>
    <t>p25700240@student.nicmar.ac.in</t>
  </si>
  <si>
    <t>26-Sep-2003</t>
  </si>
  <si>
    <t>5802 3796 5902</t>
  </si>
  <si>
    <t>MOHAN RAGHUNATH MOKASHI</t>
  </si>
  <si>
    <t>SUNITA MOHAN MOKASHI</t>
  </si>
  <si>
    <t>Mokashi Villa, At Post Banpuri Tal-Patan Dist-Satara</t>
  </si>
  <si>
    <t>Satara</t>
  </si>
  <si>
    <t>PATAN VALLEY ENGLISH MEDIUM SCHOLL PATAN MAHARASHTRA</t>
  </si>
  <si>
    <t>SECONDARY SCHOOL CERTIFICATE BOARD MAHARASHTRA</t>
  </si>
  <si>
    <t>GOVERNMENT POLYTECHNIC KOLHAPUR MAHARASHTRA</t>
  </si>
  <si>
    <t>JSPM'S RAJARSHI SHAHU COLLEGE OF ENGINEERING TATHAWADE,PUNE MAHARASHTRA</t>
  </si>
  <si>
    <t>AutoCAD,MS Office,MS Project,Revit Architecture,MS-Excel,MS-PowerPoint,Google Sheets,Quality Audit,Snag list preparation</t>
  </si>
  <si>
    <t>Vilas Javdekar Developers Pune | Home Quality Inspection Intern | Wakad,Pune | Jul 2024 | Dec 2024 | 26.142857142857 Weeks</t>
  </si>
  <si>
    <t>P25700241</t>
  </si>
  <si>
    <t>LOVESON</t>
  </si>
  <si>
    <t>Jithin Joseph Loveson</t>
  </si>
  <si>
    <t>lovesonjithinjoseph@gmail.com</t>
  </si>
  <si>
    <t>p25700241@student.nicmar.ac.in</t>
  </si>
  <si>
    <t>08-Jun-2003</t>
  </si>
  <si>
    <t>English, Malayalam, Hindi</t>
  </si>
  <si>
    <t>9080 4282 9232</t>
  </si>
  <si>
    <t>LOVESON JOSEPH ARACKAL</t>
  </si>
  <si>
    <t>MARIAMMA M J</t>
  </si>
  <si>
    <t>Moozhukunnam (H), Champakulam (PO), Alappuzha, Kerala</t>
  </si>
  <si>
    <t>BISHOP KURIALACHERRY PUBLIC SCHOOL</t>
  </si>
  <si>
    <t>CENTRAL BOARD OF SECONDARY EDUCATION , ALAPPUZHA, KERALA</t>
  </si>
  <si>
    <t>ST. MARY'S HIGHER SECONDARY SCHOOL, CHAMPAKULAM</t>
  </si>
  <si>
    <t>BOARD OF HIGHER SECONDARY EDUCATION, GOVERNMENT OF KERALA</t>
  </si>
  <si>
    <t>SAINTGITS COLLEGE OF ENGINEERING, KOTTAYAM, KERALA</t>
  </si>
  <si>
    <t>AutoCAD, MS Office, MS Project, Primavera, Cost X, Revit, BIM, ETABS,Plaxis 2D, Adobe Photoshop, Canva</t>
  </si>
  <si>
    <t>SOBHA LTD. | PROJECT MANAGEMENT INTERN | Thykoodam, Kerala | May 2026 | Jul 2026 | 9 Weeks | Campus Internship
KERALA SHIPPING AND INLAND NAVIGATION CORPORATION LTD. | INTERN | Kochi, Kerala | May 2022 | May 2022 | 0.57142857142857 Weeks
NATIONAL TRANPORTATION PLANNING AND RESEARCH CENTRE | INTERN | Kottayam, Kerala | Feb 2023 | Feb 2023 | 1 Weeks
VAIKOM PUBLICS WORK DEPARTMENT | INTERN | VAIKOM, KERALA | Jul 2023 | Aug 2023 | 2.4285714285714 Weeks</t>
  </si>
  <si>
    <t>GPS Surveying
Sustainability Inquiry &amp; Investigation program on  United Nations Sustainable Development Goal 11
Construction Scheduling
Impacts of the Environment on Global Public Health Specialization
German I NPTEL
Ethics in Engineering Practice NPTEL
Construction Equipment Maintenance and Safety
Finance for Non Financial Managers
Data Analysis</t>
  </si>
  <si>
    <t>P25700242</t>
  </si>
  <si>
    <t>ANUJ</t>
  </si>
  <si>
    <t>BAISHANDER</t>
  </si>
  <si>
    <t>Anuj Baishander</t>
  </si>
  <si>
    <t>anujbaishander321@gmail.com</t>
  </si>
  <si>
    <t>p25700242@student.nicmar.ac.in</t>
  </si>
  <si>
    <t>13-Aug-2001</t>
  </si>
  <si>
    <t>4966 6123 1597</t>
  </si>
  <si>
    <t>AJAY BAISHANDER</t>
  </si>
  <si>
    <t>SUB INSPECTOR (MADHYA PRADESH POLICE)</t>
  </si>
  <si>
    <t>SUMAN BAISHANDER</t>
  </si>
  <si>
    <t>Bhagat Singh Nagar, D.D. Nagar</t>
  </si>
  <si>
    <t>Gwalior</t>
  </si>
  <si>
    <t>GREEN WOOD PUBLIC SCHOOL</t>
  </si>
  <si>
    <t>CENTRAL BOARD OF SECONDARY EDUCATION, GWALIOR, M.P.</t>
  </si>
  <si>
    <t>SUNRISE PUBLIC H.S. SCHOOL</t>
  </si>
  <si>
    <t>BOARD OF SECONDARY EDUCATION, GWALIOR, M.P.</t>
  </si>
  <si>
    <t>RAJIV GANDHI PROUDYOGIKI VISHWAVIDYALAYA</t>
  </si>
  <si>
    <t>MADHAV INSTITUTE OF TECHNOLOGY AND SCIENCE, GWALIOR, M.P.</t>
  </si>
  <si>
    <t>J. Kumar Infraprojects Ltd. | Site Execution | Noida | May 2026 | Jul 2026 | 9.7142857142857 Weeks | Campus Internship
Madhya Pradesh Public Works Department (M.P.P.W.D.) | Summer Intern | Gwalior | Jan 2024 | May 2024 | 17.285714285714 Weeks</t>
  </si>
  <si>
    <t>Air Pollution and Control
Principles of Construction Management
Introduction to Civil Engineering Profession
Data Analysis
Finance for Non-Financial Managers
Construction Equipment Maintenance &amp; Safety</t>
  </si>
  <si>
    <t>P25700243</t>
  </si>
  <si>
    <t>SHREY</t>
  </si>
  <si>
    <t>BHARAT</t>
  </si>
  <si>
    <t>Shrey Bharat Shinde</t>
  </si>
  <si>
    <t>shrey7p@gmail.com</t>
  </si>
  <si>
    <t>p25700243@student.nicmar.ac.in</t>
  </si>
  <si>
    <t>16-Mar-2001</t>
  </si>
  <si>
    <t>ENGLISH, HINDI, MARATHI, GUJARATI</t>
  </si>
  <si>
    <t>9088 6193 2895</t>
  </si>
  <si>
    <t>GOVERNMENT RETIRED, PRIVATE BUSINESS</t>
  </si>
  <si>
    <t>SEJAL</t>
  </si>
  <si>
    <t>A/6 NITI NAGAR ROW HOUSE ALTHAN CANAL ROAD BHATAR SURAT</t>
  </si>
  <si>
    <t>RADIANT ENGLISH ACADEMY</t>
  </si>
  <si>
    <t>GUJARAT TECHNOLOGICAL UNIVERSITY</t>
  </si>
  <si>
    <t>C.K. PITHAWALA COLLEGE OF ENGINEERING AND TECHNOLOGY, SURAT GUJARAT</t>
  </si>
  <si>
    <t>AutoCAD,MS Office,MS Project,REVIT3D,SKETCHUP</t>
  </si>
  <si>
    <t>WTP Cost Advisory Services India Pvt.Lmt. | SUMMER INTERN | Vikroli, Maharashtra  | May 2026 | Jun 2026 | 7.5714285714286 Weeks | Campus Internship
EARTH ARCHITECTS | INTERN | SURAT | Apr 2024 | Jun 2025 | 65 Weeks
RRASHI CONSULTANCY | INTERN | SURAT | Jun 2023 | Mar 2024 | 43.428571428571 Weeks
AADESH MAHAVEER PROJECTS (PROJECT - VEER SUPREMUS ) | INTERN | SURAT | Jan 2023 | Apr 2023 | 13.571428571429 Weeks</t>
  </si>
  <si>
    <t>P25700244</t>
  </si>
  <si>
    <t>SWAMI</t>
  </si>
  <si>
    <t>Akshay Sanjay Swami</t>
  </si>
  <si>
    <t>akshayswami1455@gmail.com</t>
  </si>
  <si>
    <t>p25700244@student.nicmar.ac.in</t>
  </si>
  <si>
    <t>28-Jun-1999</t>
  </si>
  <si>
    <t>English,Hindi,Marathi,Kannada</t>
  </si>
  <si>
    <t>6643 8265 7958</t>
  </si>
  <si>
    <t>SANJAY SWAMI</t>
  </si>
  <si>
    <t>JAGADEVI SWAMI</t>
  </si>
  <si>
    <t>36, A, Mahalaxmi Society, Shelagi, Solapur.</t>
  </si>
  <si>
    <t>SVCS HIGHSCHOOL SOLAPUR MAHARASHTRA</t>
  </si>
  <si>
    <t>AD JOSHI JUNIOR COLLEGE OF SCIENCE, SOLAPUR</t>
  </si>
  <si>
    <t>WALCHAND INSTITUTE OF TECHNOLOGY, SOLAPUR (WIT)</t>
  </si>
  <si>
    <t>AutoCAD,MS Office,MS Project,Primavera,Civil 3D</t>
  </si>
  <si>
    <t>Pushpak Infra Steel Pvt Ltd | Sales Manager | Pune | May 2024 | Jun 2025 | 1Y 1M | 4
Think &amp; Learn Pvt Ltd | Team Lead | Pune | Sep 2021 | May 2024 | 2Y 7M | 9.56</t>
  </si>
  <si>
    <t>Goa State Infrastructure Development Corporation  | Intern | Goa | May 2026 | Jul 2026 | 8.7142857142857 Weeks | Campus Internship</t>
  </si>
  <si>
    <t>P25700245</t>
  </si>
  <si>
    <t>VAIDEHI</t>
  </si>
  <si>
    <t>SHIVANKAR</t>
  </si>
  <si>
    <t>Vaidehi Suresh Shivankar</t>
  </si>
  <si>
    <t>vaidehi48a@gmail.com</t>
  </si>
  <si>
    <t>p25700245@student.nicmar.ac.in</t>
  </si>
  <si>
    <t>24-Dec-2001</t>
  </si>
  <si>
    <t>2667 8135 1124</t>
  </si>
  <si>
    <t>RANJANA</t>
  </si>
  <si>
    <t>Plot No. 61 Prabhu Nagar Kohale Layout Zingabai Takli Godhani Road Nagpur</t>
  </si>
  <si>
    <t>ST. VINCENT PALLOTTI HIGH SCHOOL NAGPUR</t>
  </si>
  <si>
    <t>CENTRAL BOARD OF SECONDARY EDUCATION NAGPUR MAHARASHTRA</t>
  </si>
  <si>
    <t>SAINT FRANCIS DE'SALES COLLEGE NAGPUR</t>
  </si>
  <si>
    <t>MAHARASHTRA STATE BOARD OF SECONDARY AND HIGHER SECONDARY EDUCATION,  MAHARASHTRA</t>
  </si>
  <si>
    <t>PRIYADARSHINI COLLEGE OF ENGINEERING NAGPUR MAHARASHTRA</t>
  </si>
  <si>
    <t>2024-Dec</t>
  </si>
  <si>
    <t>AutoCAD,MS Office,MS Project,Primavera,Excel,Power BI,Tableau,SQL,Auto-CAD,Revit,BIM,MS Word,CostX,Basics of R,Basics of python,Basics of Statistics</t>
  </si>
  <si>
    <t>Wani Projects &amp; Infra | Project Planning Intern | Pune | May 2026 | Jun 2026 | 8.1428571428571 Weeks | Campus Internship
Prayojana Construction Management Training Institute | Intern | Bengaluru | Jul 2022 | Aug 2022 | 4.4285714285714 Weeks
NSK Builders &amp; Developers | Intern | Nashik  | Jun 2024 | Dec 2024 | 26.142857142857 Weeks
ExcelR Institute | Project Intern | Pune | Nov 2024 | Aug 2025 | 39.285714285714 Weeks</t>
  </si>
  <si>
    <t>Business Analyst
REVIT
Auto-CAD
Interior texture site training program ( Asian Paints Colour company )
Advance plumbing course
Basic plumbing course
Emory University ( Finance for Non-Financial Managers) Coursera
NPTEL (Ethics in Engineering practices)</t>
  </si>
  <si>
    <t>P25700246</t>
  </si>
  <si>
    <t>Patil Jayesh Ravindra</t>
  </si>
  <si>
    <t>patiljayesh808@gmail.com</t>
  </si>
  <si>
    <t>p25700246@student.nicmar.ac.in</t>
  </si>
  <si>
    <t>2024 7468 4289</t>
  </si>
  <si>
    <t>RAVINDRA PATIL</t>
  </si>
  <si>
    <t>VAISHALI PATIL</t>
  </si>
  <si>
    <t>805 Tulip Bldg.no.8 Everest World Kolshet Road Thane West</t>
  </si>
  <si>
    <t>SRI MA VIDYALAYA, THANE WEST</t>
  </si>
  <si>
    <t>MAHARASHTRA STATE BOARD OF SECONDARY AND HIGHER SECONDARY EDUCATION, THANE</t>
  </si>
  <si>
    <t>SHUBHAMRAJE JUNIOR COLLEGE, THANE WEST</t>
  </si>
  <si>
    <t>BHARATI VIDYAPEETH (DEEMED TO BE UNIVERSITY), PUNE</t>
  </si>
  <si>
    <t>BHARATI VIDYAPEETH DEEMED UNIVERSITY COLLEGE OF ENGINEERING, PUNE</t>
  </si>
  <si>
    <t>AutoCAD,MS Office,MS Project,Market Research,Power BI</t>
  </si>
  <si>
    <t>Shreeji Properties | Site Engineer | Mumbai | Sep 2023 | Jun 2025 | 1Y 9M | 3</t>
  </si>
  <si>
    <t>Rodic Consultants Pvt. Ltd. | Operations &amp; Business Development | Delhi &amp; Mumbai | May 2026 | Jul 2026 | 8.7142857142857 Weeks | Campus Internship
PHYSICSWALLAH | Strategy Intern | MUMBAI | Mar 2023 | Aug 2023 | 20 Weeks
Raunak Group | Industrial trainee | Thane | Jul 2022 | Aug 2022 | 5.8571428571429 Weeks</t>
  </si>
  <si>
    <t>Project Management in Construction
Financial Equity Market Analyst
Municipal Solid Waste Management</t>
  </si>
  <si>
    <t>P25700247</t>
  </si>
  <si>
    <t>AISWARYA</t>
  </si>
  <si>
    <t>A J</t>
  </si>
  <si>
    <t>Aiswarya A J</t>
  </si>
  <si>
    <t>aiswaryaiverkala07@gmail.com</t>
  </si>
  <si>
    <t>p25700247@student.nicmar.ac.in</t>
  </si>
  <si>
    <t>19-Jul-2001</t>
  </si>
  <si>
    <t>2260 3641 0650</t>
  </si>
  <si>
    <t>JAYACHANDRAN PILLAI G</t>
  </si>
  <si>
    <t>KSFE SENIOR MANAGER</t>
  </si>
  <si>
    <t>ASHADEVI G</t>
  </si>
  <si>
    <t>KSFE ASSISTANT MANAGER</t>
  </si>
  <si>
    <t>SARAYU_x000D_
Iverkala West North_x000D_
Puthanampalam P O</t>
  </si>
  <si>
    <t>Kollam</t>
  </si>
  <si>
    <t>VIVEKANANDA H S FOR GIRLS KADAMBANAD</t>
  </si>
  <si>
    <t>VGSS AHSS NEDIYAVILA</t>
  </si>
  <si>
    <t>BOARD OF HIGHER SECONDARY EXAMINATIONS, KOLLAM</t>
  </si>
  <si>
    <t>APJ  ABDUL KALAM TECHNOLOGICAL UNIVERSITY</t>
  </si>
  <si>
    <t>MAR BASELIOS COLLEGE OF ENGINEERING AND TECHNOLOGY, TRIVANDRUM</t>
  </si>
  <si>
    <t>AutoCAD, BIM, Revit, MS Project, Primavera, CostX, Staad Pro, PTV Vissim</t>
  </si>
  <si>
    <t>Econstruct Design &amp; Build Pvt. Ltd. | Project Management Intern | Banglore | May 2026 | Jun 2026 | 8.1428571428571 Weeks | Campus Internship
Local Self Government Department | Civil Engineering Intern | Pazhakulam | Mar 2023 | Mar 2023 | 1.4285714285714 Weeks
Public Work Department | Civil Engineering Intern | Thiruvananthapuram | Oct 2022 | Oct 2022 | 1.2857142857143 Weeks
Puthenvilayil Construction | Civil Engineering Intern | Thengamam  | Sep 2023 | Sep 2023 | 1.1428571428571 Weeks</t>
  </si>
  <si>
    <t>Advanced Microsoft Excel Formulas and Functions
Introduction to Programming Fundamentals
IoT for industrial applications
NPTEL -Integrated Waste Management for a Smart City
NPTEL-Japanese Language and Culture
NPTEL-Ethics in Engineering Practice
Construction Equipment Maintenance &amp; Safety
Finance for Non-Financial Managers
Data Analysis</t>
  </si>
  <si>
    <t>P25700248</t>
  </si>
  <si>
    <t>PARMEET</t>
  </si>
  <si>
    <t>KHANUJA</t>
  </si>
  <si>
    <t>Parmeet Singh Khanuja</t>
  </si>
  <si>
    <t>sparmeet731@gmail.com</t>
  </si>
  <si>
    <t>p25700248@student.nicmar.ac.in</t>
  </si>
  <si>
    <t>08-Dec-2002</t>
  </si>
  <si>
    <t>English, Hindi, Punjabi</t>
  </si>
  <si>
    <t>9328 5504 8042</t>
  </si>
  <si>
    <t>TARANJEET SINGH KHANUJA</t>
  </si>
  <si>
    <t>HARJEET KAUR KHANUJA</t>
  </si>
  <si>
    <t>Meet Villa, Near Gurudwara Tarbahar, Sirgitti, Bilaspur Chhattisgarh</t>
  </si>
  <si>
    <t>Bilaspur</t>
  </si>
  <si>
    <t>ST FRANCIS HR SEC SCHOOL</t>
  </si>
  <si>
    <t>CENTRAL BOARD OF SECONDARY EDUCATION CHHATTISGARH</t>
  </si>
  <si>
    <t>LAKHMI CHAND INSTITUTE OF TECHNOLOGY, BILASPUR</t>
  </si>
  <si>
    <t>2025-Aug</t>
  </si>
  <si>
    <t>AutoCAD,MS Office,MS Project,Tally,Python,AI Tools,CostX</t>
  </si>
  <si>
    <t>Civil Guruji | Trainee | Bhilai Chhattisgarh | Jan 2024 | Feb 2024 | 8.2857142857143 Weeks
Ravi Shankar Tripathi | Billing And Site Engineer Intern | Bilaspur Chhattisgarh | Mar 2024 | Sep 2024 | 30.428571428571 Weeks</t>
  </si>
  <si>
    <t>Done Stock Market Investment Workshop from IIT Kanpur
Done Bridge Design Workshop from IIT Kanpur
Done Skyscrapper Design Workshop from IIT Kanpur
Pursuing Advanced Certification Program in Construction Management from IIT Guwahati
Pursuing Minor in AI from IIT Ropar</t>
  </si>
  <si>
    <t>P25700249</t>
  </si>
  <si>
    <t>PRIYANSH</t>
  </si>
  <si>
    <t>PANDE</t>
  </si>
  <si>
    <t>Priyansh Jayesh Pande</t>
  </si>
  <si>
    <t>priyanshj2003@gmail.com</t>
  </si>
  <si>
    <t>p25700249@student.nicmar.ac.in</t>
  </si>
  <si>
    <t>12-May-2003</t>
  </si>
  <si>
    <t>Gujarati, Hindi, English</t>
  </si>
  <si>
    <t>5055 8663 8967</t>
  </si>
  <si>
    <t>JAYESH D PANDE</t>
  </si>
  <si>
    <t>DEPUTY DIRECTOR, NWDA, MOJS, GOVT OF INDIA.</t>
  </si>
  <si>
    <t>AARTI J PANDE</t>
  </si>
  <si>
    <t>70 Navnathnagar Society,_x000D_
Near Rameshwar School,_x000D_
Gotri Road, Vadodara, Gujarat, 390021.</t>
  </si>
  <si>
    <t>KENDRIYA VIDYALAYA NO 1 HARNI ROAD, VADODARA</t>
  </si>
  <si>
    <t>CENTRAL BOARD OF SECONDARY EDUCATION, VADODARA/GUJARAT</t>
  </si>
  <si>
    <t>THE MAHARAJA SAYAJIRAO UNIVERSITY OF BARODA</t>
  </si>
  <si>
    <t>THE MAHARAJA SAYAJIRAO UNIVERSITY OF BARODA, VADODARA/GUJARAT</t>
  </si>
  <si>
    <t>MS Office,MS Project,Primavera,Autodesk Revit,Autodesk Navisworks,CostX,GIS,Public Sector Projects</t>
  </si>
  <si>
    <t>CBRE | Research Intern | Pune, Maharashtra | May 2026 | Jul 2026 | 9.2857142857143 Weeks | Campus Internship
National Water Development Agency, Ministry of Jal Shakti, Government of India | Summer Intern | New Delhi | May 2024 | Jun 2024 | 4.4285714285714 Weeks</t>
  </si>
  <si>
    <t>NCC 'C' Certificate</t>
  </si>
  <si>
    <t>P25700250</t>
  </si>
  <si>
    <t>SHRUTI</t>
  </si>
  <si>
    <t>Shruti Tanaji Shinde</t>
  </si>
  <si>
    <t>shindeshruti1411@gmail.com</t>
  </si>
  <si>
    <t>p25700250@student.nicmar.ac.in</t>
  </si>
  <si>
    <t>18-Mar-2002</t>
  </si>
  <si>
    <t>English, Marathi and Hindi</t>
  </si>
  <si>
    <t>2449 3686 6348</t>
  </si>
  <si>
    <t>TANAJI SHINDE</t>
  </si>
  <si>
    <t>SUJATA SHINDE</t>
  </si>
  <si>
    <t>Ft No 7, Shree Ganga Heights, Hotel Quality Lodging Inn Lane, Vadgoan Bk, Pune-41</t>
  </si>
  <si>
    <t>CBSE DELHI</t>
  </si>
  <si>
    <t>SURYADATTA PUBLIC SCHOOL</t>
  </si>
  <si>
    <t>JSPM NARHE TECHNICAL CAMPUS, PUNE, MAHARASHTRA</t>
  </si>
  <si>
    <t>AutoCAD,MS Office,MS Project,Primavera,Civil 3d,CostX,Revit,MS Excel</t>
  </si>
  <si>
    <t>Godrej Properties Limited | Operations | Pune | May 2026 | Jul 2026 | 8.7142857142857 Weeks | Campus Internship
SHREE VENKATESH BUILDCON | INTERN | PUNE | Jan 2023 | Feb 2023 | 4.4285714285714 Weeks</t>
  </si>
  <si>
    <t>Microsoft Excel For Construction Management
Ethics in Engineering Practice
Finance for Non-Financial Managers</t>
  </si>
  <si>
    <t>P25700251</t>
  </si>
  <si>
    <t>kr.ayush251@gmail.com</t>
  </si>
  <si>
    <t>p25700251@student.nicmar.ac.in</t>
  </si>
  <si>
    <t>6017 8563 6291</t>
  </si>
  <si>
    <t>ARBIND KUMAR</t>
  </si>
  <si>
    <t>SUNITA DEVI</t>
  </si>
  <si>
    <t>S/O: ARBIND KUMAR, VILLAGE: ATWARPUR, POST OFFICE: KURTHOUL, POLICE STATION: PARSA BAZAR, PATNA, BIHAR</t>
  </si>
  <si>
    <t>BIHAR ENGINEERING UNIVERSITY, PATNA</t>
  </si>
  <si>
    <t>GOVERNMENT ENGINEERING COLLEGE, JEHANABAD</t>
  </si>
  <si>
    <t>J. Kumar Infraprojects Ltd. | Construction Management Intern | New Delhi | May 2026 | Jul 2026 | 9.7142857142857 Weeks | Campus Internship
BIHAR STATE BUILDING CONSTRUCTION CORPORATION LTD. | INTERN | PATNA, BIHAR | Jan 2023 | Mar 2023 | 6.1428571428571 Weeks
BIHAR RAJYA PUL NIRMAN NIGAM LIMITED | INTERN | PATNA, BIHAR | Mar 2022 | Apr 2022 | 3.8571428571429 Weeks</t>
  </si>
  <si>
    <t>P25700252</t>
  </si>
  <si>
    <t>RAHISH</t>
  </si>
  <si>
    <t>HATTARGE</t>
  </si>
  <si>
    <t>Rahish Dinesh Hattarge</t>
  </si>
  <si>
    <t>rahishhattarge@gmail.com</t>
  </si>
  <si>
    <t>p25700252@student.nicmar.ac.in</t>
  </si>
  <si>
    <t>13-Nov-2001</t>
  </si>
  <si>
    <t>English Marathi Hindi</t>
  </si>
  <si>
    <t>5721 6421 8296</t>
  </si>
  <si>
    <t>1042/C/A8,Majgavkar Nagar Near Kanerkar Nagar,Kolhapur</t>
  </si>
  <si>
    <t>PRIVATE HIGHSCHOOL</t>
  </si>
  <si>
    <t>SSC KOLHAPUR/ MAHARASHTRA</t>
  </si>
  <si>
    <t>CHATE JR COLLEGE</t>
  </si>
  <si>
    <t>HSC KOLHAPUR/ MAHARASHTRA</t>
  </si>
  <si>
    <t>TATYASAHEB KORE INSTITUTE OF ENGINEERING AND TECHNOLOGY</t>
  </si>
  <si>
    <t>Panchshil Realty - A2Z Online Services Private Limited | Projects Execution &amp; Planning Division | PUNE | May 2026 | Jul 2026 | 8.7142857142857 Weeks | Campus Internship
Shri Ganesh Builders &amp; Developers | Trainee Engineer  | Kolhapur | Jul 2023 | Aug 2024 | 57.714285714286 Weeks</t>
  </si>
  <si>
    <t>MS CIT
Scholarship Certificate Nicmar
CAD 2D &amp; 3D Certification
STAAD PRO Software Certificate</t>
  </si>
  <si>
    <t>P25700253</t>
  </si>
  <si>
    <t>GARGHATE</t>
  </si>
  <si>
    <t>Vedant Pradip Garghate</t>
  </si>
  <si>
    <t>vedantgarghate0@gmail.com</t>
  </si>
  <si>
    <t>p25700253@student.nicmar.ac.in</t>
  </si>
  <si>
    <t>02-Jul-2002</t>
  </si>
  <si>
    <t>3539 0816 8413</t>
  </si>
  <si>
    <t>PRADIP GARGHATE</t>
  </si>
  <si>
    <t>PRANJALI</t>
  </si>
  <si>
    <t>NICMAR HOSTEL, GATE NO 2,BALEWADI PUNE</t>
  </si>
  <si>
    <t>At. Post Shankarpur, Tah Chimur, Dist Chandrapur</t>
  </si>
  <si>
    <t>ST CLARET ENGLISH MEDIUM SCHOOL</t>
  </si>
  <si>
    <t>CENTRAL BOARD OF SECONDARY EDUCATION CHANDRAPUR</t>
  </si>
  <si>
    <t>ST PAUL JUNIOR COLLEGE</t>
  </si>
  <si>
    <t>MAHARASTRA STATE BOARD OF SECOUNDRY AND HIGHER SECOUNDRY EDUCATION,PUNE</t>
  </si>
  <si>
    <t>RASHTRASANT TUKADOJI MAHARAJ NAGPUR UNIVERSITY,NAGPUR</t>
  </si>
  <si>
    <t>GH RAISONI COLLEGE OF ENGINEERING,NAGPUR</t>
  </si>
  <si>
    <t>B.G.SHIRKE CONSTRUCTION TECHNOLOGY PVT.LTD. | Managment Trainee | Nagpur | May 2026 | Jul 2026 | 9.7142857142857 Weeks | Campus Internship
D.K Morey | Site Engineer Trainee | Chandrapur | May 2022 | Jun 2022 | 4.4285714285714 Weeks
L.G Developers and Builders | Site Engineer Trainee | Nagpur | Dec 2023 | Jun 2024 | 26.142857142857 Weeks</t>
  </si>
  <si>
    <t>Revit Architecture and Autocad</t>
  </si>
  <si>
    <t>P25700254</t>
  </si>
  <si>
    <t>MOHAMMED</t>
  </si>
  <si>
    <t>Mohammed Ahmed Deshmukh</t>
  </si>
  <si>
    <t>mohammedahmed.dma123@gmail.com</t>
  </si>
  <si>
    <t>p25700254@student.nicmar.ac.in</t>
  </si>
  <si>
    <t>01-Aug-2002</t>
  </si>
  <si>
    <t>8495 7721 5953</t>
  </si>
  <si>
    <t>MOHAMMED ASLAM DESHMUKH</t>
  </si>
  <si>
    <t>CIVIL ENGINEERING COST CONSULTANT</t>
  </si>
  <si>
    <t>MUMTAZ BEGUM DESHMUKH</t>
  </si>
  <si>
    <t>FLAT-705, BUILDING-3D, HM ROYAL SOCIETY, KONDHWA BUDRUK</t>
  </si>
  <si>
    <t>Row House B-8, Green Valley Housing Society, Near Kohinoor Lawns, Roza Baugh_x000D_</t>
  </si>
  <si>
    <t>JAIN INTERNATIONAL SCHOOL AURANGABAD MAHARASHTRA</t>
  </si>
  <si>
    <t>ARIHANT ARTS, COMMERCE &amp; SCIENCE JUNIOR COLLEGE, BAVDHAN, PUNE-21</t>
  </si>
  <si>
    <t>VELLORE INSTITUTE OF TECHNOLOGY, VELLORE-632014</t>
  </si>
  <si>
    <t>Clancy Global - AKG Building Consultant Pvt Ltd. | Procurement and Planning | Pune | May 2026 | Jul 2026 | 9.2857142857143 Weeks | Campus Internship</t>
  </si>
  <si>
    <t>P25700255</t>
  </si>
  <si>
    <t>TATODE</t>
  </si>
  <si>
    <t>Aditya Tatode</t>
  </si>
  <si>
    <t>adityatatode26@gmail.com</t>
  </si>
  <si>
    <t>p25700255@student.nicmar.ac.in</t>
  </si>
  <si>
    <t>26-Nov-2001</t>
  </si>
  <si>
    <t>2544 2598 5963</t>
  </si>
  <si>
    <t>PURUSHOTTAM TATODE</t>
  </si>
  <si>
    <t>MEDHA TATODE</t>
  </si>
  <si>
    <t>544, Ashirwad Nagar</t>
  </si>
  <si>
    <t>BHAVAN'S B P VIDYA MANDIR WATHODA NAGPUR MR</t>
  </si>
  <si>
    <t>CENTRAL BOARD OF SECONDARY EDUCATION, NAGPUR</t>
  </si>
  <si>
    <t>M.K.H. SANCHETI PUBLIC SCHOOL &amp; JUNIOR COLLEGE</t>
  </si>
  <si>
    <t>YESHWANTRAO CHAVAN COLLEGE OF ENGINEERING, NAGPUR</t>
  </si>
  <si>
    <t>NFC INFRASTRUCTURES | SITE ENGINEERS | NAGPUR, MAHARASHTRA | Apr 2024 | May 2025 | 1Y 1M | 1.56</t>
  </si>
  <si>
    <t>CIVIL GURUJI PVT. LTD. | TRAINEE | NAGPUR, MAHARASHTRA | Feb 2024 | Mar 2024 | 8.1428571428571 Weeks
MANAVI CONSTRUCTION | SITE ENGINEER | NAGPUR | Jan 2024 | Apr 2024 | 17.142857142857 Weeks</t>
  </si>
  <si>
    <t>Diploma in Building Design
Corporate Training Coarse</t>
  </si>
  <si>
    <t>P25700256</t>
  </si>
  <si>
    <t>ANIKET</t>
  </si>
  <si>
    <t>NIKAM</t>
  </si>
  <si>
    <t>Aniket Shivaji Nikam</t>
  </si>
  <si>
    <t>aninikam18@gmail.com</t>
  </si>
  <si>
    <t>p25700256@student.nicmar.ac.in</t>
  </si>
  <si>
    <t>20-Apr-2001</t>
  </si>
  <si>
    <t>Marathi, Hindi, English</t>
  </si>
  <si>
    <t>5407 2621 7628</t>
  </si>
  <si>
    <t>13/254 Dattar Mala, Ichalkaranji</t>
  </si>
  <si>
    <t>VYANKATESHWARA ENGLISH SCHOOL</t>
  </si>
  <si>
    <t>SSC, MAHARASHTRA</t>
  </si>
  <si>
    <t>SHARAD INSTITUTE OF TECHNOLOGY POLYTECHNIC, MAHARASHTRA</t>
  </si>
  <si>
    <t>SINHAGAD INSTITUTE OF TECHNOLOGY AND SCIENCE</t>
  </si>
  <si>
    <t>Aakar Architects , Interior and Landscapes Consultants | Assistant/ Junior Engineer | Ichalkaranji | Jul 2023 | Dec 2024 | 1Y 5M | 1.8</t>
  </si>
  <si>
    <t>Goa State Infrastructure Development  Corporation Ltd. (GSIDC) | Site execution | Shiroda, Goa. | May 2026 | Jul 2026 | 8.7142857142857 Weeks | Campus Internship
Omkar Enterprises | Intern  | Pune | Feb 2022 | Apr 2022 | 11.714285714286 Weeks</t>
  </si>
  <si>
    <t>P25700257</t>
  </si>
  <si>
    <t>BATE</t>
  </si>
  <si>
    <t>Prasad Ashok Bate</t>
  </si>
  <si>
    <t>bateprasad2@gmail.com</t>
  </si>
  <si>
    <t>p25700257@student.nicmar.ac.in</t>
  </si>
  <si>
    <t>5146 9874 8873</t>
  </si>
  <si>
    <t>ASHOK BATE</t>
  </si>
  <si>
    <t>SUJATA BATE</t>
  </si>
  <si>
    <t>A 301, Dhiraj Building, Sudeep CHS, Sanyukta Nagar, Achole Cross Road, Nalasopara East</t>
  </si>
  <si>
    <t>CHANDRESH LODHA MEMORIAL HIGH SCHOOL</t>
  </si>
  <si>
    <t>A V COLLEGE OF ARTS, K M COLLEGE OF COMMERCE &amp; ES ANDRADES COLLEGE OF SCIENCE</t>
  </si>
  <si>
    <t>VIDYAVARDHINI'S COLLEGE OF ENGINEERING AND TECHNOLOGY</t>
  </si>
  <si>
    <t>Deepak Mande and Associates | Trainee Engineer | Vikhroli and Nagpur | Jul 2024 | Mar 2025 | 0Y 8M | 1.95</t>
  </si>
  <si>
    <t>Badiyani Construction | Summer Intern – Billing &amp; Execution | Vanaha Project, Pune | May 2026 | Jul 2026 | 9.7142857142857 Weeks | Campus Internship
Imperial Lifestyle | Internship Trainee | Nalasopara West | Jun 2023 | Jun 2023 | 4.1428571428571 Weeks</t>
  </si>
  <si>
    <t>P25700258</t>
  </si>
  <si>
    <t>GABULA</t>
  </si>
  <si>
    <t>Gabula Balaji</t>
  </si>
  <si>
    <t>gabulabalajibablu12345@gmail.com</t>
  </si>
  <si>
    <t>p25700258@student.nicmar.ac.in</t>
  </si>
  <si>
    <t>05-Aug-1997</t>
  </si>
  <si>
    <t>Telugu Hindi English Kannada Marathi</t>
  </si>
  <si>
    <t>2701 7808 6930</t>
  </si>
  <si>
    <t>GABULA RAMESH</t>
  </si>
  <si>
    <t>GOVT EMPLOYEE</t>
  </si>
  <si>
    <t>GABULA RANJITHA</t>
  </si>
  <si>
    <t>H.no -1-2-431 ,Shanti Nagar Colony  Rakasipet   Bodhan</t>
  </si>
  <si>
    <t>SRI VIJAYA SAI HIGH SCHOOL</t>
  </si>
  <si>
    <t>BOARD OF SECONDARY EDUCATION  NIZAMABAD / TELANGANA</t>
  </si>
  <si>
    <t>NARAYANA JUNIOR COLEEGE</t>
  </si>
  <si>
    <t>BOARD OF INTERMEDIATE EDUCATION HYDERABAD /TELANGANA</t>
  </si>
  <si>
    <t>CMR  TECHNICAL CAMPUS</t>
  </si>
  <si>
    <t>2014-Sep</t>
  </si>
  <si>
    <t>Stiffners | Valuation Engineer  | Hyderabad  | May 2026 | Jul 2026 | 9.5714285714286 Weeks | Campus Internship
SHREE ASSOCIATES | Internship Trainee | Bodhan telangana  | Apr 2024 | May 2025 | 57.857142857143 Weeks</t>
  </si>
  <si>
    <t>P25700259</t>
  </si>
  <si>
    <t>SHANKU</t>
  </si>
  <si>
    <t>RAAJASHREE</t>
  </si>
  <si>
    <t>NAYUDU</t>
  </si>
  <si>
    <t>Shanku Raajashree Nayudu</t>
  </si>
  <si>
    <t>shankuraajashree@gmail.com</t>
  </si>
  <si>
    <t>p25700259@student.nicmar.ac.in</t>
  </si>
  <si>
    <t>10-Oct-1999</t>
  </si>
  <si>
    <t>Telugu, Hindi, English</t>
  </si>
  <si>
    <t>2818 1648 0451</t>
  </si>
  <si>
    <t>THRILOK RAAJ NAYUDU</t>
  </si>
  <si>
    <t>UNEMPLOYEED</t>
  </si>
  <si>
    <t>SANGEETHA RAAJ</t>
  </si>
  <si>
    <t>4-4-81/16, FLOOR 1 , VEERA REDDY COLONY , KARTHIKEYA NAGARÂ ,500076</t>
  </si>
  <si>
    <t>3-9/46, Flat No: 304, Sharadhanagar, Ramanthapur, Hyderabad - 500013</t>
  </si>
  <si>
    <t>ANNIE BEASENT HIGH SCHOOL</t>
  </si>
  <si>
    <t>JAWAHARLAL NEHRU ARCHITECTURE AND FINE ARTS UNIVERSITY</t>
  </si>
  <si>
    <t>SRI VENKATESHWARA COLLEGE OF ARCHITECTURE</t>
  </si>
  <si>
    <t>2017-Sep</t>
  </si>
  <si>
    <t>AutoCAD,MS Office,sketchup,revit,lumion,enscape,photoshop,indesign,illlustrator</t>
  </si>
  <si>
    <t>GRANITI VICENTIA | DRAFTER  | AMEERPET | Jul 2023 | Mar 2025 | 1Y 7M | 4.2</t>
  </si>
  <si>
    <t>ManAssure  | Business Development Intern | Remote - Hyderabad | May 2026 | Jul 2026 | 8.7142857142857 Weeks | Campus Internship
L N Design | Jr. Architect  | Bowenpally  | Mar 2022 | Oct 2023 | 81.857142857143 Weeks</t>
  </si>
  <si>
    <t>P25700260</t>
  </si>
  <si>
    <t>RISHABH</t>
  </si>
  <si>
    <t>KATIYAR</t>
  </si>
  <si>
    <t>Rishabh Katiyar</t>
  </si>
  <si>
    <t>rishabhkatiyar050@gmail.com</t>
  </si>
  <si>
    <t>p25700260@student.nicmar.ac.in</t>
  </si>
  <si>
    <t>26-Mar-2001</t>
  </si>
  <si>
    <t>9379 2476 5909</t>
  </si>
  <si>
    <t>SARVESH CHANDRA KATIYAR</t>
  </si>
  <si>
    <t>SERVICEMAN</t>
  </si>
  <si>
    <t>SHASHI PRABHA KATIYAR</t>
  </si>
  <si>
    <t>1/467 Ambedkar Puram Awas Vikas-3 Kalyanpur, Kanpur</t>
  </si>
  <si>
    <t>Kanpur Nagar</t>
  </si>
  <si>
    <t>54226-GAURAV MEMO INTNL SCHOOL KALYANPUR KANPUR UP</t>
  </si>
  <si>
    <t>KAMLA NEHRU INSTITUTE OF TECHNOLOGY, SULTANPUR(UP)</t>
  </si>
  <si>
    <t>J.Kumar Infraprojects Ltd | Construction Management Intern | Noida ,Uttar Pradesh | May 2026 | Jul 2026 | 9.7142857142857 Weeks | Campus Internship
Irrigation Department | Internship Trainee | Sultanpur, Uttar Pradesh | Jul 2023 | Jul 2023 | 4.2857142857143 Weeks</t>
  </si>
  <si>
    <t>P25700261</t>
  </si>
  <si>
    <t>YASHASVI</t>
  </si>
  <si>
    <t>SRIVASTAVA</t>
  </si>
  <si>
    <t>Yashasvi Srivastava</t>
  </si>
  <si>
    <t>yashsrivastava26999@gmail.com</t>
  </si>
  <si>
    <t>p25700261@student.nicmar.ac.in</t>
  </si>
  <si>
    <t>26-Nov-1999</t>
  </si>
  <si>
    <t>3734 7515 3283</t>
  </si>
  <si>
    <t>SANJAY KUMAR SRIVASTAVA</t>
  </si>
  <si>
    <t>SAROJ BALA SRIVASTAVA</t>
  </si>
  <si>
    <t>82, Manas Enclave Colony, Indiranagar, Cimap</t>
  </si>
  <si>
    <t>CITY MONTERSSORI SCHOOL</t>
  </si>
  <si>
    <t>INDIAN CERTIFICATE OF SECONDARY EDUCATION EXAMINATION</t>
  </si>
  <si>
    <t>INDIAN SCHOOL CERTIFICATE EXAMINATION</t>
  </si>
  <si>
    <t>SRM INSTITUTE OF SCIENCE AND TECHNOLOGY KATTANKULATHUR</t>
  </si>
  <si>
    <t>Prabha Enterprises | Site Engineer | Lucknow, Uttar Pradesh | May 2024 | Apr 2025 | 0Y 11M | 3</t>
  </si>
  <si>
    <t>Uttar Pradesh Projects Corporation Ltd. | Civil Engineer | Bahraich, Uttar Pradesh | Jul 2021 | Aug 2021 | 4.2857142857143 Weeks
SF associates | Site Engineer  | Lucknow  | Apr 2023 | Jan 2024 | 40.142857142857 Weeks</t>
  </si>
  <si>
    <t>P25700262</t>
  </si>
  <si>
    <t>ANSHUL</t>
  </si>
  <si>
    <t>DIPAK</t>
  </si>
  <si>
    <t>FUNDE</t>
  </si>
  <si>
    <t>Anshul Dipak Funde</t>
  </si>
  <si>
    <t>anshulfunde1671@gmail.com</t>
  </si>
  <si>
    <t>p25700262@student.nicmar.ac.in</t>
  </si>
  <si>
    <t>16-Jul-2001</t>
  </si>
  <si>
    <t>8311 4100 8255</t>
  </si>
  <si>
    <t>TEACHER (RETIRED )</t>
  </si>
  <si>
    <t>Near Jamidar Wada, Behind Primary School, Amgaon (District- Gondia)</t>
  </si>
  <si>
    <t>PROGRESSIVE ENGLISH HIGH SCHOOL, GONDIA</t>
  </si>
  <si>
    <t>VIDYA NIKETAN JUNIOR COLLEGE, AMGAON</t>
  </si>
  <si>
    <t>SHRI LAXMANRAO MANKAR COLLEGE OF POLYTECHNIC, AMGAON</t>
  </si>
  <si>
    <t>G H RAISONI COLLEGE OF ENGINEERING, NAGPUR</t>
  </si>
  <si>
    <t>AutoCAD,MS Office,MS Project,Power BI</t>
  </si>
  <si>
    <t>Kalpataru Projects International Limited | PMG Intern | Nagpur | May 2026 | Jul 2026 | 8.7142857142857 Weeks | Campus Internship
Khalatkar construction Infra pvt. ltd. | Site Engineer | Nagpur | Jan 2024 | Jul 2024 | 26 Weeks</t>
  </si>
  <si>
    <t>P25700263</t>
  </si>
  <si>
    <t>SAQUIB</t>
  </si>
  <si>
    <t>SHAKIL</t>
  </si>
  <si>
    <t>DAULATABAD</t>
  </si>
  <si>
    <t>Saquib Shakil Daulatabad</t>
  </si>
  <si>
    <t>saquibdaulatabad@gmail.com</t>
  </si>
  <si>
    <t>p25700263@student.nicmar.ac.in</t>
  </si>
  <si>
    <t>09-Oct-2000</t>
  </si>
  <si>
    <t>English,Hindi &amp; Marathi</t>
  </si>
  <si>
    <t>8469 6147 8733</t>
  </si>
  <si>
    <t>SHAHENAZ</t>
  </si>
  <si>
    <t>558, New Paccha Peth, Near Pathroot Chowk, Behind Taj Medical</t>
  </si>
  <si>
    <t>SHANTI ENGLISH MEDIUM SCHOOL</t>
  </si>
  <si>
    <t>MAHARASHTRA STATE BOARD OF SECONDARY AND HIGHER SECONDARY EDUCATION, SOLAPUR</t>
  </si>
  <si>
    <t>TELANGANA STATE BOARD OF INTERMEDIATE EDUCATION, HYDERABAD</t>
  </si>
  <si>
    <t>SRI RAMASWAMY MEMORIAL (SRM) INSTITUTE OF SCIENCE AND TECHNOLOGY</t>
  </si>
  <si>
    <t>SRI RAMASWAMY MEMORIAL (SRM) INSTITUTE OF SCIENCE AND TECHNOLOGY, CHENNAI</t>
  </si>
  <si>
    <t>SOBHA Ltd. | Planning | Bangalore | May 2026 | Jul 2026 | 9 Weeks | Campus Internship</t>
  </si>
  <si>
    <t>Finance for Non-Financial Managers
NPTEL Ethics in Engineering Practice</t>
  </si>
  <si>
    <t>P25700264</t>
  </si>
  <si>
    <t>KANISHK</t>
  </si>
  <si>
    <t>SHILPI</t>
  </si>
  <si>
    <t>Kanishk Kumar Shilpi</t>
  </si>
  <si>
    <t>17kanishkkshilpi@gmail.com</t>
  </si>
  <si>
    <t>p25700264@student.nicmar.ac.in</t>
  </si>
  <si>
    <t>12-Feb-2003</t>
  </si>
  <si>
    <t>5995 1677 5547</t>
  </si>
  <si>
    <t>KANHAIYA LAL LADIA</t>
  </si>
  <si>
    <t>RAJNI LADIA</t>
  </si>
  <si>
    <t>GOVERNMENT TEACHER</t>
  </si>
  <si>
    <t>53, Aakarsh Enclave Tilhari Mandla Road , Jabalpur Madhya Pradesh 482020</t>
  </si>
  <si>
    <t>Jabalpur</t>
  </si>
  <si>
    <t>ST. ALOYSIUS SENIOR SECONDARY SCHOOL CANTT , JABALPUR</t>
  </si>
  <si>
    <t>CENTRAL BOARD OF SECONDARY EDUCATION ,  NEW DELHI</t>
  </si>
  <si>
    <t>RAJIV GANDHI PROUDYOGIKI VISHWAVIDYALAYA (R.G.P.V) BHOPAL ,MADHYA PRADESH</t>
  </si>
  <si>
    <t>MADHAV INSTITUTE OF TECHNOLOGY AND SCIENCE  GWALIOR , MADHYA PRADESH</t>
  </si>
  <si>
    <t>AutoCAD,MS Office,MS Project,MS Excel, REVIT, PrimaVera P6</t>
  </si>
  <si>
    <t>Ahluwalia Contracts (India) Limited | INTERN | Delhi | May 2026 | Jul 2026 | 8.7142857142857 Weeks | Campus Internship
NKC Projects Pvt. Ltd. | INTERN | jabalpur | Jun 2024 | Jul 2024 | 8.4285714285714 Weeks
MADHYA PRADESH PUBLIC WORKS DEPARTMENT , BRIDGE DIVISION JABALPUR | INTERN | JABALPUR | Dec 2024 | May 2025 | 19.857142857143 Weeks</t>
  </si>
  <si>
    <t>P25700265</t>
  </si>
  <si>
    <t>HARSHVARDHAN</t>
  </si>
  <si>
    <t>GEHLOT</t>
  </si>
  <si>
    <t>Harshvardhan Singh Gehlot</t>
  </si>
  <si>
    <t>harshvardhan3960@gmail.com</t>
  </si>
  <si>
    <t>p25700265@student.nicmar.ac.in</t>
  </si>
  <si>
    <t>9273 4260 0399</t>
  </si>
  <si>
    <t>SANJAY SINGH GEHLOT</t>
  </si>
  <si>
    <t>COMPUTER OPERATOR</t>
  </si>
  <si>
    <t>KALPANA GEHLOT</t>
  </si>
  <si>
    <t>M2,222 Ayodhya Nagri Nanda Nagar</t>
  </si>
  <si>
    <t>Indore</t>
  </si>
  <si>
    <t>ST.JOSEPH'S SCHOOL</t>
  </si>
  <si>
    <t>CENTRAL BOARD OF SECONDARY EDUCATION, INDORE, MADHYA PRADESH</t>
  </si>
  <si>
    <t>VAISHNAV BAL MANDIR H S</t>
  </si>
  <si>
    <t>BOARD OF SECONDARY EDUCATION, INDORE, MADHYA PRADESH</t>
  </si>
  <si>
    <t>SHRI VAISHNAV VIDYAPEETH VISHWAVIDYALAYA, INDORE, MADHYA PRADESH</t>
  </si>
  <si>
    <t>SHRI VAISHNAV INSTITUTE OF TECHNOLOGY AND SCIENCE, INDORE, MADHYA PRADESH</t>
  </si>
  <si>
    <t>Sobha Limited  | Site Execution  | Bangalore, Karnataka  | May 2026 | Jul 2026 | 9 Weeks | Campus Internship
SIDDIQUI DEVELOPERS | PROJECT INTERN | INDORE | Jan 2025 | Apr 2025 | 14.285714285714 Weeks
LIUGONG INDIA | GRADUATE ENGINEER TRAINEE  | PITHAMPUR (M.P) | May 2025 | Jun 2025 | 7 Weeks</t>
  </si>
  <si>
    <t>P25700266</t>
  </si>
  <si>
    <t>Shruti Pravin Wagh</t>
  </si>
  <si>
    <t>shrutiwagh9722@gmail.com</t>
  </si>
  <si>
    <t>p25700266@student.nicmar.ac.in</t>
  </si>
  <si>
    <t>09-Jul-2002</t>
  </si>
  <si>
    <t>3851 9629 3669</t>
  </si>
  <si>
    <t>PRAVIN HIRAMAN WAGH</t>
  </si>
  <si>
    <t>MANISHA PRAVIN WAGH</t>
  </si>
  <si>
    <t>Plot No 18/2 Near Z B Patil College Deopur Dhule, 424002</t>
  </si>
  <si>
    <t>Dhule</t>
  </si>
  <si>
    <t>JAI HIND HIGH SCHOOL DHULE</t>
  </si>
  <si>
    <t>SECONDRY AND HIGHER SECONDARY EDUCATION ,MAHARASHTRA</t>
  </si>
  <si>
    <t>SHIKSHAN MAHARSHI DADASAHEB RAWAL GOVERNMENT POLYTECHNIC,DHULE</t>
  </si>
  <si>
    <t>DR D Y PATIL INSTITUTE OF ENGINEERING MANAGEMENT AND REASEARCH AKURDI PUNE</t>
  </si>
  <si>
    <t>AutoCAD,MS Office,MS Project,Primavera,M S Excel,Project planning &amp; scheduling,Costing &amp; Estimation,Quality &amp; safety Management,Risk Assessment &amp; Mitigation,Autodesk Revit</t>
  </si>
  <si>
    <t>GNY GROUP  | ESTIMATION AND BILLING ENGINEER  | Chatrapati sambhaji nagar | May 2026 | Jul 2026 | 8.7142857142857 Weeks | Campus Internship
PADMASHREE BUILDERS | Site Intern | DHULE | Jan 2023 | Feb 2023 | 4.1428571428571 Weeks
JOGESHWARI CONSTRUCTIONS | Site &amp; Planning Intern | DHULE | Aug 2024 | Jan 2025 | 26.142857142857 Weeks</t>
  </si>
  <si>
    <t>MSCIT Certificate
Academic excellence
REASEARCH PAPER PUBLISH
AUTOCADD</t>
  </si>
  <si>
    <t>P25700267</t>
  </si>
  <si>
    <t>CHANDRASHEKHAR</t>
  </si>
  <si>
    <t>KHAIRE</t>
  </si>
  <si>
    <t>Rohit Chandrashekhar Khaire</t>
  </si>
  <si>
    <t>rohitckhaire02@gmail.com</t>
  </si>
  <si>
    <t>p25700267@student.nicmar.ac.in</t>
  </si>
  <si>
    <t>08-Oct-2002</t>
  </si>
  <si>
    <t>2212 7119 4993</t>
  </si>
  <si>
    <t>CENTRAL GOVERNMENT SERVANT</t>
  </si>
  <si>
    <t>Savata Niwas, F-118, I.U.D.P, Manmad</t>
  </si>
  <si>
    <t>KAVI RABINDRANATH TAGORE ENGLISH MEDIUM SCHOOL, MANMAD</t>
  </si>
  <si>
    <t>MADHYA RAILWAY MADHYAMIK VIDYALAYA, MANMAD</t>
  </si>
  <si>
    <t>VISHWAKARMA INSTITUTE OF INFORMATION TECHNOLOGY, PUNE</t>
  </si>
  <si>
    <t>AutoCAD,MS Office,MS Project,Revit Architech,Revit Structure, Primavera, CostX</t>
  </si>
  <si>
    <t>Impact Infraheights PVT.LTD | Site Execution | Pune | May 2026 | Jul 2026 | 8.7142857142857 Weeks | Campus Internship
Joshi vastu consultant | Site Execution &amp; Controls | Wagholi, pune | Jan 2024 | May 2024 | 19.428571428571 Weeks</t>
  </si>
  <si>
    <t>Revit structure and architect
Autocad
Maharashtra state certificate in information technology (MS-CIT)</t>
  </si>
  <si>
    <t>P25700268</t>
  </si>
  <si>
    <t>GEETANSH</t>
  </si>
  <si>
    <t>AGNIHOTRI</t>
  </si>
  <si>
    <t>Geetansh Agnihotri</t>
  </si>
  <si>
    <t>geetansh12agni@gmail.com</t>
  </si>
  <si>
    <t>p25700268@student.nicmar.ac.in</t>
  </si>
  <si>
    <t>12-Aug-2003</t>
  </si>
  <si>
    <t>7505 3945 2007</t>
  </si>
  <si>
    <t>VIJAY AGNIHOTRI</t>
  </si>
  <si>
    <t>LOCO PILOT IN SECR</t>
  </si>
  <si>
    <t>KAJAL AGNIHOTRI</t>
  </si>
  <si>
    <t>T.G.T. TEACHER</t>
  </si>
  <si>
    <t>A 2 , Phase 2 , Sai Dham Colony, Torwa, Bilaspur , Chhattisgarh</t>
  </si>
  <si>
    <t>ST. FRANCIS HIGHER SECONDARY SCHOOL</t>
  </si>
  <si>
    <t>C.B.S.E.</t>
  </si>
  <si>
    <t>COLONELS ACADEMY OF RADIANT EDUCATION PUBLIC SCHOOL</t>
  </si>
  <si>
    <t>SRM INSTITUTE OF SCIENCE AND TECHNOLOGY , UNIVERSITY IN CHENNAI, TAMIL NADU</t>
  </si>
  <si>
    <t xml:space="preserve"> Sai Shlok Infra Pvt. Ltd. | Site Execution | Surangi | May 2026 | Jun 2026 | 8.1428571428571 Weeks | Campus Internship
Evita Construtions | Site Intern | Chennai - Oragadam | Dec 2023 | Dec 2023 | 3.7142857142857 Weeks</t>
  </si>
  <si>
    <t>Finlatics Equity Market Analyst
Revit Architecture
NPTEL Ethics in Engineering Practice
Finance for Non-Finance Managers
Foundation of Project Management
The Construction Industry: The Way Forward
Construction Finance
Construction Cost Estimating and Cost Control
Construction Scheduling
Construction Project Management
Construction Management</t>
  </si>
  <si>
    <t>P25700269</t>
  </si>
  <si>
    <t>Shubham Gupta</t>
  </si>
  <si>
    <t>shubhamgupta200058@gmail.com</t>
  </si>
  <si>
    <t>p25700269@student.nicmar.ac.in</t>
  </si>
  <si>
    <t>10-Apr-2000</t>
  </si>
  <si>
    <t>2022 0096 0869</t>
  </si>
  <si>
    <t>HARISH GUPTA</t>
  </si>
  <si>
    <t>MANJU GUPTA</t>
  </si>
  <si>
    <t>13/112, Beside Radha Krishna Temple, Kilaward, Juna Bilaspur, Bilaspur.</t>
  </si>
  <si>
    <t>MAHARISHI VIDYA MANDIR BILASPUR</t>
  </si>
  <si>
    <t>CHHATTISGARH SWAMI VIVEKANAND TECHNICAL UNIVERSITY DURG</t>
  </si>
  <si>
    <t>SHRI SHANKARACHARYA TECHNICAL CAMPUS BHILAI, CHHATTISGARH</t>
  </si>
  <si>
    <t>Savvy infrastructure pvt ltd | Cost management intern. | Gandhi Nagar, Gujarat  | May 2026 | Jul 2026 | 8.7142857142857 Weeks | Campus Internship
PUBLIC WORK DEPARTMENT | INTERN | BILASPUR CHHATTISGARH | Sep 2021 | Oct 2021 | 4.8571428571429 Weeks</t>
  </si>
  <si>
    <t>P25700270</t>
  </si>
  <si>
    <t>MANYA</t>
  </si>
  <si>
    <t>MADHU</t>
  </si>
  <si>
    <t>Manya Madhu</t>
  </si>
  <si>
    <t>manyamadhu04@gmail.com</t>
  </si>
  <si>
    <t>p25700270@student.nicmar.ac.in</t>
  </si>
  <si>
    <t>21-Jun-2003</t>
  </si>
  <si>
    <t>8757 9420 6112</t>
  </si>
  <si>
    <t>MADHU KRISHNAN</t>
  </si>
  <si>
    <t>ANITHA MADHU</t>
  </si>
  <si>
    <t>217, Shyam Nagar NX, Near Abhinandan Nagar, Shukhliya</t>
  </si>
  <si>
    <t>ST. VINCENT PALLOTTI SCHOOL</t>
  </si>
  <si>
    <t>INDORE, MADHYA PRADESH</t>
  </si>
  <si>
    <t>SICA SENIOR SECONDARY SCHOOL</t>
  </si>
  <si>
    <t>RAJIV GANDHI PROUDYOGIKI VISHWAVIDHALAYA</t>
  </si>
  <si>
    <t>IPS ACADEMY, INSTITUTE OF ENGINEERING AND SCIENCE, INDORE, M.P</t>
  </si>
  <si>
    <t>Saint Gobains | Management Intern | Pune | May 2026 | Jul 2026 | 8.7142857142857 Weeks | Campus Internship
PD AGRAWAL CONSTRUCTION COMPANY INDORE | INTERN | INDORE | Jun 2023 | Jun 2023 | 4.1428571428571 Weeks
CSIR-NIIST THIRUVANANTHAPURAM | RESEARCH INTERN | THIRUVANANTHAPURAM | May 2024 | Jul 2024 | 7.2857142857143 Weeks</t>
  </si>
  <si>
    <t>P25700271</t>
  </si>
  <si>
    <t>SANSKRUTI</t>
  </si>
  <si>
    <t>Sanskruti Sanjay Jadhav</t>
  </si>
  <si>
    <t>sanskrutijadhav679@gmail.com</t>
  </si>
  <si>
    <t>p25700271@student.nicmar.ac.in</t>
  </si>
  <si>
    <t>30-Jul-2002</t>
  </si>
  <si>
    <t>2941 8530 2780</t>
  </si>
  <si>
    <t>SANJAY JADHAV</t>
  </si>
  <si>
    <t>GOLDSMITH</t>
  </si>
  <si>
    <t>VAISHALI JADHAV</t>
  </si>
  <si>
    <t>1145, 'B' Ward, Potnis Bol, Mirajkar Tikati , Mangalwar Peth, Kolhapur, 416012</t>
  </si>
  <si>
    <t>HOLY CROSS CONVENT HIGH SCHOOL, KOLHAPUR</t>
  </si>
  <si>
    <t>MAHARASHTRA STATE BOARD OF SECONDARY AND HIGHER SECONDARY EDUCATION, PUNE (KOLHAPUR DIVISIONAL BOARD)</t>
  </si>
  <si>
    <t>THE NEW COLLEGE, KOLHAPUR</t>
  </si>
  <si>
    <t>COLLEGE OF ARCHITECTURE, KOLHAPUR</t>
  </si>
  <si>
    <t>Vilas Javdekar Developers (Sankalp Contracts Pvt. Ltd.)  | Site Execution  | Pune  | May 2026 | Jun 2026 | 8.5714285714286 Weeks | Campus Internship
ENVIARCH | INTERN ARCHITECT | BANGALORE  | Jan 2024 | May 2024 | 19.571428571429 Weeks</t>
  </si>
  <si>
    <t>P25700272</t>
  </si>
  <si>
    <t>SOHAM</t>
  </si>
  <si>
    <t>RAJENDRA</t>
  </si>
  <si>
    <t>Soham Rajendra Jadhav</t>
  </si>
  <si>
    <t>sohamj2706@gmail.com</t>
  </si>
  <si>
    <t>p25700272@student.nicmar.ac.in</t>
  </si>
  <si>
    <t>20-Dec-2003</t>
  </si>
  <si>
    <t>5213 6105 2508</t>
  </si>
  <si>
    <t>RAJENDRA KRUSHNAJI JADHAV</t>
  </si>
  <si>
    <t>SMITA RAJENDRA JADHAV</t>
  </si>
  <si>
    <t>Flat No B-506 YASHWIN SOCIETY, Yashwin Rd, Shri Ram Nagar, Sus, Pune, MaharashtraÂ 411021</t>
  </si>
  <si>
    <t>ANAND NIKETAN</t>
  </si>
  <si>
    <t>STATE BOARD OF SECONDARY AND HIGHER SECONDARY EDUCATION, PUNE</t>
  </si>
  <si>
    <t>K.K.WAGH POLYTECHNIC, NASHIK</t>
  </si>
  <si>
    <t>BHARATI VIDYAPEETH'S COLLEGE OF ENGINEERING, LAVALE</t>
  </si>
  <si>
    <t>AutoCAD,MS Office,MS Project,Primavera,MS Excel,CostX,REVIT,CANVA,Power BI</t>
  </si>
  <si>
    <t>Econstruct design &amp; build pvt. ltd. | BIM and Project Management Intern |  Bangalore  | May 2026 | Jul 2026 | 8.5714285714286 Weeks | Campus Internship
Samraat group project | Intern  | Nashik  | Dec 2023 | Jan 2024 | 4.4285714285714 Weeks</t>
  </si>
  <si>
    <t>Factors affecting real estate property rates
IRJET Publication certificate</t>
  </si>
  <si>
    <t>P25700273</t>
  </si>
  <si>
    <t>SUTHIKSAN</t>
  </si>
  <si>
    <t>RAM</t>
  </si>
  <si>
    <t>J S</t>
  </si>
  <si>
    <t>Suthiksan Ram J S</t>
  </si>
  <si>
    <t>suthiksenthil@icloud.com</t>
  </si>
  <si>
    <t>p25700273@student.nicmar.ac.in</t>
  </si>
  <si>
    <t>10-Jul-2004</t>
  </si>
  <si>
    <t>English, Tamil</t>
  </si>
  <si>
    <t>6507 9914 6357</t>
  </si>
  <si>
    <t>SENTHIL C</t>
  </si>
  <si>
    <t>SAVITHA K</t>
  </si>
  <si>
    <t>76/1, Kavery Avenue, MDS Nagar, Hasthampatti, Salem- 636007</t>
  </si>
  <si>
    <t>SENTHIL PUBLIC SCHOOL</t>
  </si>
  <si>
    <t>CENTRAL BOARD OF SECONDARY EDUCATION, SALEM/TAMILNADU</t>
  </si>
  <si>
    <t>HOLYCROSS MATRICULATION HIGHER SECONDARY SCHOOL</t>
  </si>
  <si>
    <t>STATE BOARD OF SCHOOL EXAMINATIONS, SALEM/TAMILNADU</t>
  </si>
  <si>
    <t>SONA COLLEGE OF TECHNOLOGY, SALEM/TAMILNADU</t>
  </si>
  <si>
    <t>Suryapriya Constructions Private Limited | Project Management | Bengaluru | May 2026 | Jul 2026 | 8.7142857142857 Weeks | Campus Internship
RK&amp; SONS CONSTRUCTION | CONSTRUCTION OF BUFFER PARKING YARD AT CHENNAI PORT TRUST | CHENNAI PORT TRUST | Jun 2024 | Aug 2024 | 9.8571428571429 Weeks</t>
  </si>
  <si>
    <t>P25700274</t>
  </si>
  <si>
    <t>AARTI</t>
  </si>
  <si>
    <t>VITTHAL</t>
  </si>
  <si>
    <t>GANESHKAR</t>
  </si>
  <si>
    <t>Aarti Vitthal Ganeshkar</t>
  </si>
  <si>
    <t>aartiganeshkar002004@gmail.com</t>
  </si>
  <si>
    <t>p25700274@student.nicmar.ac.in</t>
  </si>
  <si>
    <t>01-Mar-2004</t>
  </si>
  <si>
    <t>6642 2600 0759</t>
  </si>
  <si>
    <t>VITTHAL SUKHADEV GANESHKAR</t>
  </si>
  <si>
    <t>AASHA VITTHAL GANESHKAR</t>
  </si>
  <si>
    <t>168 B Shreenath Colony Sadar Bazar Satara</t>
  </si>
  <si>
    <t>AADARSH VIDYAMANDIR SATARA</t>
  </si>
  <si>
    <t>YASHAVANTRAO CHAVAN INSTITUTE OF SCIENCE, SATARA</t>
  </si>
  <si>
    <t>DR. BABASAHEB AMBEDKAR TECHNOLOGICAL UNIVERSITY LONERE</t>
  </si>
  <si>
    <t>KARMAVEER BHAURAO PATIL COLLEGE OF ENGINEERING, SATARA</t>
  </si>
  <si>
    <t>AutoCAD,MS Office,MS Project,Staad-Pro,MS Excel</t>
  </si>
  <si>
    <t>Bhajan Infra Tech Pvt. Ltd. | Project Coordination Intern  | Surat | May 2026 | Jun 2026 | 7.7142857142857 Weeks | Campus Internship
BUILD TECH HOMES | INTERN | Satara, Maharashtra | Jul 2023 | Aug 2023 | 7.1428571428571 Weeks</t>
  </si>
  <si>
    <t>P25700275</t>
  </si>
  <si>
    <t>MUNISH</t>
  </si>
  <si>
    <t>RANA</t>
  </si>
  <si>
    <t>Munish Rana</t>
  </si>
  <si>
    <t>munishranasmr52@gmail.com</t>
  </si>
  <si>
    <t>p25700275@student.nicmar.ac.in</t>
  </si>
  <si>
    <t>Hindi, English, Punjabi</t>
  </si>
  <si>
    <t>3389 7916 6746</t>
  </si>
  <si>
    <t>MAN SINGH RANA</t>
  </si>
  <si>
    <t>SHANTA RANA</t>
  </si>
  <si>
    <t>1456_x000D_
Dashmesh Nagar_x000D_
Near Church</t>
  </si>
  <si>
    <t>Mohali</t>
  </si>
  <si>
    <t>DAV PUBLIC SCHOOL, CHANDIGARH</t>
  </si>
  <si>
    <t>BAL NIKETAN MODEL SENIOR SECONDARY SCHOOL</t>
  </si>
  <si>
    <t>IK GUJRAL PUNJAB TECHNICAL UNIVERSITY</t>
  </si>
  <si>
    <t>GURU NANAK DEV ENGINEERING COLLEGE, LUDHIANA</t>
  </si>
  <si>
    <t>AutoCAD,MS Office,MS Project,Primavera,EPANET,REVIT,COST X,CIVIL Storm</t>
  </si>
  <si>
    <t>WELSPUN ENTERPRISES LIMITED | INTERN | AURANGABAD, BIHAR | Sep 2023 | Dec 2023 | 14.428571428571 Weeks</t>
  </si>
  <si>
    <t>P25700277</t>
  </si>
  <si>
    <t>SHYAM</t>
  </si>
  <si>
    <t>Shyam S</t>
  </si>
  <si>
    <t>shyamsudhesan@gmail.com</t>
  </si>
  <si>
    <t>p25700277@student.nicmar.ac.in</t>
  </si>
  <si>
    <t>01-Oct-1999</t>
  </si>
  <si>
    <t>9598 3547 8855</t>
  </si>
  <si>
    <t>SUDESAN G</t>
  </si>
  <si>
    <t>SOBHANA S</t>
  </si>
  <si>
    <t>Manikyamandiram, Alumkadavu P O, Kollam, Karunagappally</t>
  </si>
  <si>
    <t>SREE NARAYANA CENTRAL SCHOOL</t>
  </si>
  <si>
    <t>CBSC -KOLLAM ,KARUNAGAPPALLY</t>
  </si>
  <si>
    <t>SAINTGITS COLLAGE OF ENGINEERING</t>
  </si>
  <si>
    <t>SAINTGITS COLLAGE OF ENGINEERING,CHANGANASSERY,KOTTAYAM</t>
  </si>
  <si>
    <t>Bokhad construction | Site Engineer | Kollam, kerala | Jul 2022 | Jul 2025 | 2Y 11M | 1.85</t>
  </si>
  <si>
    <t>Cherry hills | Site Engineer | chennai  | May 2026 | Jul 2026 | 8.7142857142857 Weeks | Campus Internship</t>
  </si>
  <si>
    <t>P25700278</t>
  </si>
  <si>
    <t>JAGDISH</t>
  </si>
  <si>
    <t>DIDDI</t>
  </si>
  <si>
    <t>Nikhil Jagdish Diddi</t>
  </si>
  <si>
    <t>nikhildiddi730@gmail.com</t>
  </si>
  <si>
    <t>p25700278@student.nicmar.ac.in</t>
  </si>
  <si>
    <t>English, Hindi, Marathi, Telgu</t>
  </si>
  <si>
    <t>7860 1788 0399</t>
  </si>
  <si>
    <t>JAGDISH DIDDI</t>
  </si>
  <si>
    <t>KAVITA DIDDI</t>
  </si>
  <si>
    <t>FLAT NO 103, RAMALAYAM APARTMENT, ASHOK CHOWK,  SOLAPUR</t>
  </si>
  <si>
    <t>370, Sakhar Peth,solaur</t>
  </si>
  <si>
    <t>ST. JOSEPH HIGH SCHOOL, SOLAPUR</t>
  </si>
  <si>
    <t>MAHARSHTRA STATE BOSARD OF SECONDARY AND HIGHER SECONDARY EDUCATION, PUNE</t>
  </si>
  <si>
    <t>KUCHAN JR. COLLEGE , SOLAPUR</t>
  </si>
  <si>
    <t>MAHARSHTRA STATE BOARD OF SECONDARY AND HIGHER SECONDARY EDUCATION , PUNE</t>
  </si>
  <si>
    <t>PUNYASHLOK AHILYADEVI HOLKAR SOLAPUR UNIVERSITY , SOLAPUR</t>
  </si>
  <si>
    <t>WALCHAND INSTITUTE OF TECHNOLOGY , SOLAPUR, MAHARASHTRA</t>
  </si>
  <si>
    <t>AutoCAD,MS Office,MS Project,Primavera,revit,sketchup,d5,Ms excel,IGBC AP Associate</t>
  </si>
  <si>
    <t>Shubh Ventures , solapur | Site engineer | Solapur  | Dec 2024 | Feb 2025 | 8.8571428571429 Weeks</t>
  </si>
  <si>
    <t>2D Drafting and Planning (Using autocad)
REVIT architecture bim level level 1</t>
  </si>
  <si>
    <t>P25700280</t>
  </si>
  <si>
    <t>ARAVIND</t>
  </si>
  <si>
    <t>THAMPI</t>
  </si>
  <si>
    <t>Aravind M Thampi</t>
  </si>
  <si>
    <t>aravindmthampi2003@gmail.com</t>
  </si>
  <si>
    <t>p25700280@student.nicmar.ac.in</t>
  </si>
  <si>
    <t>12-Mar-2003</t>
  </si>
  <si>
    <t>English, Malayalam &amp; Hindi</t>
  </si>
  <si>
    <t>5212 0674 5508</t>
  </si>
  <si>
    <t>VIKRAMAN THAMBI M P</t>
  </si>
  <si>
    <t>BINDHU THAMBI</t>
  </si>
  <si>
    <t>Mylankal House, Karimkunnam P O,Karimkunnam_x000D_
Idukki, Kerala 685586</t>
  </si>
  <si>
    <t>Idukki</t>
  </si>
  <si>
    <t>NIRMALA PUBLIC SCHOOL, PIZHAKU, KOTTAYAM</t>
  </si>
  <si>
    <t>ST. GEORGE HIGHER SECONDARY SCHOOL, MUTHALAKODAM,IDUKKI</t>
  </si>
  <si>
    <t>APJ ABDUL KALAM TECHNOLOGICAL UNIVERSITY, THIRUVANANTHAPURAM, KERALA</t>
  </si>
  <si>
    <t>AutoCAD,MS Office,MS Project,Primavera,Bentley RamConcept,CSI Column</t>
  </si>
  <si>
    <t>Goa State Infrastructure Development Corporation | Site Execution | Panaji, Goa | May 2026 | Jul 2026 | 8.7142857142857 Weeks | Campus Internship
STRANDS POST TENSION EXPERTS | Junior Structural Design Engineer | Kochi | Jul 2024 | Jun 2025 | 52 Weeks
KERALA STATE PUBLIC WORKS DEPARTMENT | Site Engineer- Intern | Kottayam | May 2023 | May 2023 | 0.57142857142857 Weeks</t>
  </si>
  <si>
    <t>ICI Membership
Traffic Studies for Sabari Rail Project
Work Readiness Program
Training on STAAD Pro CONNECT Edition
5-Days Internship in Building Information Modelling
Introduction to AutoCAD
The Fundamentals of Digital Marketing certification Exam</t>
  </si>
  <si>
    <t>P25700282</t>
  </si>
  <si>
    <t>RESHMA</t>
  </si>
  <si>
    <t>CHANDRAN</t>
  </si>
  <si>
    <t>Reshma S Chandran</t>
  </si>
  <si>
    <t>reshmaspillai2001@gmail.com</t>
  </si>
  <si>
    <t>p25700282@student.nicmar.ac.in</t>
  </si>
  <si>
    <t>English and Malayalam</t>
  </si>
  <si>
    <t>7398 2008 0857</t>
  </si>
  <si>
    <t>SUNIL CHANDRAN</t>
  </si>
  <si>
    <t>SAJITHA</t>
  </si>
  <si>
    <t>Puthenveettil,manakkad,vallikunnam.p.o</t>
  </si>
  <si>
    <t>HOLY TRINITY ANGLO INDIAN INTERNATIONAL SCHOOL</t>
  </si>
  <si>
    <t>INDIAN SCHOOL CERTIFICATE</t>
  </si>
  <si>
    <t>SREE BUDDHA COLLEGE OF ENGINEERING,ALAPPUZHA</t>
  </si>
  <si>
    <t>Uralungal Labour Contract Co-operative Society (ULCCS) | site execution | Ernakulam | May 2026 | Jul 2026 | 7.7142857142857 Weeks | Campus Internship
MADECKAL CONSTRUCTIONS | INTERNSHIP TRAINEE | KOCHI | Jul 2024 | Jul 2024 | 1 Weeks</t>
  </si>
  <si>
    <t>Data analysis
Finance for Non-Financial Managers
NPTEL</t>
  </si>
  <si>
    <t>P25700283</t>
  </si>
  <si>
    <t>MUKUNDRAO</t>
  </si>
  <si>
    <t>GAMBHIRE</t>
  </si>
  <si>
    <t>Vinod Mukundrao Gambhire</t>
  </si>
  <si>
    <t>vrgambhire1722424@gmail.com</t>
  </si>
  <si>
    <t>p25700283@student.nicmar.ac.in</t>
  </si>
  <si>
    <t>01-Jun-2001</t>
  </si>
  <si>
    <t>other</t>
  </si>
  <si>
    <t>8981 1619 5022</t>
  </si>
  <si>
    <t>MUKUND SHANKARRAO GAMBHIRE</t>
  </si>
  <si>
    <t>MOHINI</t>
  </si>
  <si>
    <t>FLAT NO.305,TOWER 1,KOHINOOR CORAL, OPPOSITE TCS GATE NO. 2 HINJAWADI PHASE 3</t>
  </si>
  <si>
    <t>Vaiibhav Niwas, Near Gurkha Maroti Mandir, Jawala Bazar</t>
  </si>
  <si>
    <t>Hingoli</t>
  </si>
  <si>
    <t>NIWASI HIGHSCHOOL BARASHIV</t>
  </si>
  <si>
    <t>MAHARASHTRA STATE BOARD OF SECONDARY AND HIGHER SECONDARY EDUCATION, MAHARASHTRA</t>
  </si>
  <si>
    <t>ANAND KANISHTHA MAHAVIDYALAYA</t>
  </si>
  <si>
    <t>MAHARASHTRA STATE BOARD OF SECONDARY AND HIGHER SECONDARY EDUCATION,MAHARASHTRA</t>
  </si>
  <si>
    <t>D.Y.PATIL COLLEGE OF ENGINEERING, PUNE</t>
  </si>
  <si>
    <t>AutoCAD,MS Office,MS Project,Power BI,Advenced Excel.</t>
  </si>
  <si>
    <t>Pramukh Omkar Group | Civil Engineer Intern | Randesan, Gandhinagar | May 2026 | Jul 2026 | 8.7142857142857 Weeks | Campus Internship</t>
  </si>
  <si>
    <t>Microsoft Excel - Excel from Beginner to Advanced
Microsoft Power BI Desktop for Business Intelligence(2023)
Ultimate Microsoft Office;Excel,Word,PowerPoint &amp; Access
The Complete AutoCad 2020 2D + 3D Course
Finance for non-Financial Managers
IGBC Accredited Professional - Associate
AI in Construction Program
Advanced Communication
Data Analysis
Autodesk Revit</t>
  </si>
  <si>
    <t>P25700284</t>
  </si>
  <si>
    <t>SUJAL</t>
  </si>
  <si>
    <t>CHANDAN</t>
  </si>
  <si>
    <t>SUWARANI</t>
  </si>
  <si>
    <t>Sujal Chandan Suwarani</t>
  </si>
  <si>
    <t>suwaranisujal45@gmail.com</t>
  </si>
  <si>
    <t>p25700284@student.nicmar.ac.in</t>
  </si>
  <si>
    <t>07-May-2002</t>
  </si>
  <si>
    <t>6725 6576 4701</t>
  </si>
  <si>
    <t>CHANDAN SUWARANI</t>
  </si>
  <si>
    <t>VEENA SUWARANI</t>
  </si>
  <si>
    <t>NICMAR HOSTEL GATE NO. 2, BALEWADI, PUNE</t>
  </si>
  <si>
    <t>Plot No. 76 Tulsi Nagar, Near Shantinagar Colony, Nagpur- 440002</t>
  </si>
  <si>
    <t>ST. JOHN'S HIGH SCHOOL</t>
  </si>
  <si>
    <t>NAMO NARAYANI JUNIOR COLLEGE</t>
  </si>
  <si>
    <t>G.H. RAISONI COLLEGE OF ENGINEERING, NAGPUR</t>
  </si>
  <si>
    <t>AutoCAD,MS Office,MS Project,Primavera,Revit,Navisworks,Bluebeam</t>
  </si>
  <si>
    <t>B.G. Shirke Construction Technology Pvt. Ltd. | Management Trainee | Nagpur | May 2026 | Jul 2026 | 9.7142857142857 Weeks | Campus Internship
Ulhas Enterprises (Government contractor of NMC) | Site Engineer Trainee | Nagpur | May 2022 | Jun 2022 | 4.4285714285714 Weeks
LG Developers and Builders | Site Engineer Trainee | Nagpur | Dec 2023 | Jun 2024 | 26.142857142857 Weeks</t>
  </si>
  <si>
    <t>BIM Engineer</t>
  </si>
  <si>
    <t>P25700285</t>
  </si>
  <si>
    <t>PEDNEKAR</t>
  </si>
  <si>
    <t>Omkar Vilas Pednekar</t>
  </si>
  <si>
    <t>ompednekar10@gmail.com</t>
  </si>
  <si>
    <t>p25700285@student.nicmar.ac.in</t>
  </si>
  <si>
    <t>16-Dec-2003</t>
  </si>
  <si>
    <t>6790 2439 1365</t>
  </si>
  <si>
    <t>VILAS PEDNEKAR</t>
  </si>
  <si>
    <t>RETRIED FROM CENTRAL RAILWAY (LOCO PILOT)</t>
  </si>
  <si>
    <t>VAISHAKHI</t>
  </si>
  <si>
    <t>ACCOUNT OFFICER IN BMC</t>
  </si>
  <si>
    <t>B/805, Astral, Mahavir Universe, L.B.S Marg, Bhandup West, Mumbai 400078</t>
  </si>
  <si>
    <t>PARAG ENGLISH SCHOOL</t>
  </si>
  <si>
    <t>MUMBAI / MAHARASHTRA</t>
  </si>
  <si>
    <t>VIVEKANAND EDUCATION SOCIETY POLYTECHNIC, MUMBAI / MAHARASHTRA</t>
  </si>
  <si>
    <t>DATTA MEGHE COLLEGE OF ENGINEERING, MUMBAI / MAHARASHTRA</t>
  </si>
  <si>
    <t>Moraj AHN Developer LLP | Project Execution &amp; Planning Intern | Moraj Opulence, Mahim, Mumbai | May 2026 | Jul 2026 | 8.7142857142857 Weeks | Campus Internship
NCC-SMC (SATIS) JV | Trainee Internship | Existing Thane Railway Station (East) | Dec 2024 | Jan 2025 | 4.4285714285714 Weeks
Damji Shamji Shah Group | Trainee Engineer |  Thane West | Dec 2022 | Mar 2023 | 12.857142857143 Weeks</t>
  </si>
  <si>
    <t>AutoCAD-2D ( Civil Engineers / Architectures / Interior Designers )
Milestone 2024, in Sport Committee as a Event Managing Head
International Journal Of Current Science, IJCS Publication
Technical Paper Presentation
National Level Project &amp; Paper Presentation Competition
Research Paper (ICMACET-2025), Titled: Influence of Nano Material on the Properties of High Performance Self-Compaction Concrete</t>
  </si>
  <si>
    <t>P25700286</t>
  </si>
  <si>
    <t>KRISHNAN</t>
  </si>
  <si>
    <t>Gokul Krishnan M</t>
  </si>
  <si>
    <t>gkalltheday@gmail.com</t>
  </si>
  <si>
    <t>p25700286@student.nicmar.ac.in</t>
  </si>
  <si>
    <t>14-May-2003</t>
  </si>
  <si>
    <t>5956 9867 8633</t>
  </si>
  <si>
    <t>MADHUSOODANAN PILLAI S</t>
  </si>
  <si>
    <t>ELECTRICAL CONTRACTOR</t>
  </si>
  <si>
    <t>GIRIJAKUMARY</t>
  </si>
  <si>
    <t>FOOTBALL COACH</t>
  </si>
  <si>
    <t>EARICKAL YADUKULAM ,MEKKUMMURI,THAMARAKULAM PO,690530,ALAPPUZHA</t>
  </si>
  <si>
    <t>VHSS CHATHIYARA</t>
  </si>
  <si>
    <t>BOARD OF PUBLIC EXAMINATIONS, KERALA</t>
  </si>
  <si>
    <t>BOARD OF HIGHER SECONDARY EXAMINATIONS, GOVERNMENT OF KERALA</t>
  </si>
  <si>
    <t>RAJIV GANDHI INSTITUTE OF TECHNOLOGY KOTTAYAM</t>
  </si>
  <si>
    <t>Uralungal Labour Contract Co-operative Society (ULCCS) | Site Execution | Ernakulam | May 2026 | Jul 2026 | 7.7142857142857 Weeks | Campus Internship</t>
  </si>
  <si>
    <t>P25700287</t>
  </si>
  <si>
    <t>DNYANDEO</t>
  </si>
  <si>
    <t>BIRARI</t>
  </si>
  <si>
    <t>Satyam Dnyandeo Birari</t>
  </si>
  <si>
    <t>satyambirari16@gmail.com</t>
  </si>
  <si>
    <t>p25700287@student.nicmar.ac.in</t>
  </si>
  <si>
    <t>01-Jun-1999</t>
  </si>
  <si>
    <t>8922 1527 1114</t>
  </si>
  <si>
    <t>DNYANDEO GANPAT BIRARI</t>
  </si>
  <si>
    <t>LATA DNYANDEO BIRARI</t>
  </si>
  <si>
    <t>Ambika Nagar,kotamgaon Road ,lasalgaon</t>
  </si>
  <si>
    <t>LOKNETE DATTAJI PATIL VIDYALAY LASALGAON</t>
  </si>
  <si>
    <t>K.K WAGH INSTITUTE OF ENGINEERING AND RESEARCH,NASHIK</t>
  </si>
  <si>
    <t>Saivaishnavi buildcon | Site execution and control | Nashik | Jun 2023 | Sep 2023 | 0Y 3M | 0.08
Harsh constructions | Quantity Surveying and billing | mumbai | Oct 2023 | May 2025 | 1Y 7M | 0.2</t>
  </si>
  <si>
    <t>SOBHA LIMITED | Project Planning Intern  | Sobha Infinia Koramangala,Banglore Karnataka | May 2026 | Jul 2026 | 9 Weeks | Campus Internship
VIGHNESH CONSTRUCTIONS | Site Execution and Control | LASALGAON | Mar 2022 | Feb 2023 | 48.571428571429 Weeks</t>
  </si>
  <si>
    <t>Internship training of construction skill development
Autocad +Revit+3ds max</t>
  </si>
  <si>
    <t>P25700288</t>
  </si>
  <si>
    <t>ARYA</t>
  </si>
  <si>
    <t>Atul Arya</t>
  </si>
  <si>
    <t>arya.atul0@gmail.com</t>
  </si>
  <si>
    <t>p25700288@student.nicmar.ac.in</t>
  </si>
  <si>
    <t>23-Jun-2000</t>
  </si>
  <si>
    <t>3740 5384 3786</t>
  </si>
  <si>
    <t>AMRENDRA KUMAR</t>
  </si>
  <si>
    <t>ARCHANA KUMARI</t>
  </si>
  <si>
    <t>191, Sreerampur Road North,_x000D_
Garia, South 24 Parganas, West Bengal-700084</t>
  </si>
  <si>
    <t>DELHI PUBLIC SCHOOL, RUBY PARK, KOLKATA</t>
  </si>
  <si>
    <t>CBSE, KOLKATA</t>
  </si>
  <si>
    <t>HERITAGE INSTITUTE OF TECHNOLOGY, KOLKATA, WEST BENGAL</t>
  </si>
  <si>
    <t>Advanced MS Excel, Power BI, MS Office Suite, AutoCAD, AutoCAD 3D, MS Projects, Primavera P6</t>
  </si>
  <si>
    <t>Satish Aggarwal &amp; Co. | G.E.T followed by Billing Engineer | Kathua, Jammu &amp;amp;amp; Kashmir | Jul 2023 | Feb 2025 | 1Y 6M | 3.96
NIKHIL GROUP | Billing Engineer-Q.S. | Mangaon, Maharashtra | Feb 2025 | Mar 2025 | 0Y 1M | 4.12</t>
  </si>
  <si>
    <t>State Highway Authority of Jharkhand | Industrial Trainee | Dhanbad | Jul 2022 | Aug 2022 | 4.2857142857143 Weeks</t>
  </si>
  <si>
    <t>Project Management with Prima Vera P6
Power BI for Beginners: Interactive Dashboard Fundamentals
PMI Essentials: Seven AI Project Patterns
SAP PS (Project System)
Geometric and Traffic Aspects of Highway
Procore Certified: Project Manager (Core Tools)
Complete Microsoft Advanced Excel</t>
  </si>
  <si>
    <t>P25700289</t>
  </si>
  <si>
    <t>CHETANA</t>
  </si>
  <si>
    <t>DILIPRAO</t>
  </si>
  <si>
    <t>UGE</t>
  </si>
  <si>
    <t>Chetana Diliprao Uge</t>
  </si>
  <si>
    <t>chetanauge@gmail.com</t>
  </si>
  <si>
    <t>p25700289@student.nicmar.ac.in</t>
  </si>
  <si>
    <t>24-Jul-2000</t>
  </si>
  <si>
    <t>3560 1826 1320</t>
  </si>
  <si>
    <t>RETIRED GOVERNMENT SERVANT</t>
  </si>
  <si>
    <t>SANGITA UGE</t>
  </si>
  <si>
    <t>89, Revti Nagar, Besa, Nagpur</t>
  </si>
  <si>
    <t>SOMALWAR HIGH SCHOOL RAMDASPETH, NAGPUR</t>
  </si>
  <si>
    <t>SHIVAJI SCIENCE COLLEGE, NAGPUR</t>
  </si>
  <si>
    <t>COEP TECHNOLOGICAL UNIVERSITY</t>
  </si>
  <si>
    <t>MBA</t>
  </si>
  <si>
    <t>AutoCAD,MS Office,MS Project,Primavera,BIM</t>
  </si>
  <si>
    <t>P.K. Nagrare Construction | Junior Site Engineer | Nagpur | Feb 2023 | May 2023 | 13.285714285714 Weeks</t>
  </si>
  <si>
    <t>P25700290</t>
  </si>
  <si>
    <t>RAUT</t>
  </si>
  <si>
    <t>Soham Satish Raut</t>
  </si>
  <si>
    <t>sohamraut22@gmail.com</t>
  </si>
  <si>
    <t>p25700290@student.nicmar.ac.in</t>
  </si>
  <si>
    <t>22-Aug-1999</t>
  </si>
  <si>
    <t>8829 7613 5494</t>
  </si>
  <si>
    <t>SATISH RAUT</t>
  </si>
  <si>
    <t>SONALI RAUT</t>
  </si>
  <si>
    <t>FLAT NO. 6, SIDDHI APARTMENT, NEAR WARJE BRIDGE</t>
  </si>
  <si>
    <t>Prabhag No. 1, Bayja Bhavan, House No. 12-B, Butibori</t>
  </si>
  <si>
    <t>ST. CLARET SCHOOL</t>
  </si>
  <si>
    <t>YESHWANTRAO CHAVAN COLLEGE OF ENGINEERING (YCCE), MAHARASHTRA</t>
  </si>
  <si>
    <t>AutoCAD,MS Office,MS Project,Primavera,Autodesk Revit</t>
  </si>
  <si>
    <t>TRIAA Housing | Jr Site Engineer | Pune | Jan 2024 | Jun 2025 | 1Y 5M | 3.6</t>
  </si>
  <si>
    <t>Malani Group-Real Estate Division | Executive-Contracts Management | Pune | May 2026 | Jul 2026 | 8.5714285714286 Weeks | Campus Internship
Pune Municipal Corporation | Trainee Engineer | Pune | Jul 2022 | Jul 2023 | 52.142857142857 Weeks
Maharashtra Metro Rail Corporation Limited | Intern | Nagpur | Feb 2021 | Mar 2021 | 6 Weeks</t>
  </si>
  <si>
    <t>P25700291</t>
  </si>
  <si>
    <t>BIYANI</t>
  </si>
  <si>
    <t>Darshan Ashok Biyani</t>
  </si>
  <si>
    <t>dbiyani19@gmail.com</t>
  </si>
  <si>
    <t>p25700291@student.nicmar.ac.in</t>
  </si>
  <si>
    <t>19-Dec-2000</t>
  </si>
  <si>
    <t>ENGLISH, HINDI, MARATHI, MARWADI</t>
  </si>
  <si>
    <t>3367 9974 2298</t>
  </si>
  <si>
    <t>SARITA</t>
  </si>
  <si>
    <t>108, Krushna Kunj, Shivaji Chowk, Khalapur, Raigarh, Maharashtra, 410202</t>
  </si>
  <si>
    <t>G.J.M. ENGLISH MEDIUM SCHOOL</t>
  </si>
  <si>
    <t>RAIGAD,MAHARASHTRA</t>
  </si>
  <si>
    <t>AIROLI, NAVI MUMBAI</t>
  </si>
  <si>
    <t>AutoCAD,MS Office,MS Project,STAAD PRO,MATCAD,NAVISWORK,MAT3D,FOUNDATION 3D,RCDC,CAT</t>
  </si>
  <si>
    <t>MAIRE TECNIMONT | ENGINEER (CIVIL) | Malad | Jul 2023 | Jun 2025 | 1Y 11M | 7.06</t>
  </si>
  <si>
    <t>EMBASSY DEVELOPMENT LIMITED | CONSTRUCTION | SAVROLI | May 2026 | Jul 2026 | 8.5714285714286 Weeks | Campus Internship
REAL INFRASTRUCTURE | TRAINEE ENGINEER | NASHIK | Jun 2022 | Jul 2022 | 4.2857142857143 Weeks
D.G. JAKHOTIA | SITE ENGINEER TRAINEE | KHOPOLI, RAIGAD | Jun 2020 | Sep 2021 | 65.142857142857 Weeks
ADVENT MANAGEMENT CONSULTANCY | INTERN (SITE SUPERVISOR) | KHOPOLI, RAIGAD | May 2019 | Jun 2019 | 5.8571428571429 Weeks</t>
  </si>
  <si>
    <t>P25700292</t>
  </si>
  <si>
    <t>ASFIYA</t>
  </si>
  <si>
    <t>Asfiya Khan</t>
  </si>
  <si>
    <t>asfk1262@gmail.com</t>
  </si>
  <si>
    <t>p25700292@student.nicmar.ac.in</t>
  </si>
  <si>
    <t>12-Jun-2002</t>
  </si>
  <si>
    <t>2959 2957 7786</t>
  </si>
  <si>
    <t>MOHAMMED HANEEF KHAN</t>
  </si>
  <si>
    <t>ZUBERA KHAN</t>
  </si>
  <si>
    <t>B-201,Green Heights</t>
  </si>
  <si>
    <t>Rajnandgaon</t>
  </si>
  <si>
    <t>NEERAJ PUBLIC SCHOOL</t>
  </si>
  <si>
    <t>CBSE, RAJNANDGAON,CHHATTISGARH</t>
  </si>
  <si>
    <t>YUGANTAR PUBLIC SCHOOL</t>
  </si>
  <si>
    <t>CBSE ,RAJNANDGAON,CHHATTISGARH</t>
  </si>
  <si>
    <t>SHRI SHANKARACHARYA TECHNICAL CAMPUS, BHILAI,CHHATTISGARH</t>
  </si>
  <si>
    <t>AutoCAD,MS Project,REVIT,STAADPRO</t>
  </si>
  <si>
    <t>Godrej Properties Limited | Summersault Operations Intern | Mumbai | May 2026 | Jul 2026 | 8.7142857142857 Weeks | Campus Internship</t>
  </si>
  <si>
    <t>P25700293</t>
  </si>
  <si>
    <t>SUDHIR</t>
  </si>
  <si>
    <t>PANDHARPURE</t>
  </si>
  <si>
    <t>Aishwarya Sudhir Pandharpure</t>
  </si>
  <si>
    <t>aishwaryapandharpure09@gmail.com</t>
  </si>
  <si>
    <t>p25700293@student.nicmar.ac.in</t>
  </si>
  <si>
    <t>12-Dec-2001</t>
  </si>
  <si>
    <t>Marathi, English, Hindi</t>
  </si>
  <si>
    <t>9626 5641 3440</t>
  </si>
  <si>
    <t>SAMPADA</t>
  </si>
  <si>
    <t>VISHWAMBHAR RESIDENCY MANIK BAUG, ANAND NAGAR,PUNE</t>
  </si>
  <si>
    <t>195 Gajanan Housing Society Karad -415124</t>
  </si>
  <si>
    <t>LAHOTI KANAYA PRASHALA KARAD.</t>
  </si>
  <si>
    <t>MAHARASHTRA STATE BOARD OF SECONDARY AND HIGHER SECONDARY EDUCATION,  DIVISIONAL BOARD - KOLHAPUR.</t>
  </si>
  <si>
    <t>YASHWANTRAO CHAVAN COLLEGE OF SCIENCE , KARAD</t>
  </si>
  <si>
    <t>ALL INDIA SHRI SHIVAJI MEMORIAL SOCIETY, PUNE</t>
  </si>
  <si>
    <t>AutoCAD,MS Office,MS Project,Primavera,REVIT,Quantity Surveying using MS-Excel</t>
  </si>
  <si>
    <t>Shobha limited  | Cost control  | Bengaluru  | May 2026 | Jul 2026 | 9 Weeks | Campus Internship
SKAF CONSTRUCTION PVT.LTD. | QUANTITY SURVEYOR | PUNE | Feb 2025 | Jun 2025 | 21.285714285714 Weeks
Gamlaa bioscapes | Landscaping Designer | Pune | Mar 2024 | Jun 2024 | 13.142857142857 Weeks</t>
  </si>
  <si>
    <t>P25700294</t>
  </si>
  <si>
    <t>KAUSHIK</t>
  </si>
  <si>
    <t>SRINIVAS</t>
  </si>
  <si>
    <t>GUMMADI</t>
  </si>
  <si>
    <t>Kaushik Srinivas Gummadi</t>
  </si>
  <si>
    <t>ksgimp323@gmail.com</t>
  </si>
  <si>
    <t>p25700294@student.nicmar.ac.in</t>
  </si>
  <si>
    <t>03-Feb-2003</t>
  </si>
  <si>
    <t>English,Hindi,Telugu,Marathi</t>
  </si>
  <si>
    <t>3354 9635 6912</t>
  </si>
  <si>
    <t>KIRANJYOTHI</t>
  </si>
  <si>
    <t>C2-901, Siyona Apartments, Katraj-Dehu, Punawale, Pune</t>
  </si>
  <si>
    <t>APPASAHEB BIRNALE PUBLIC SCHOOL</t>
  </si>
  <si>
    <t>CENTRAL BOARD OF SECONDARY EDUCATION, SANGLI</t>
  </si>
  <si>
    <t>SRM INSTITUTE OF SCIENCE AND TECHNOLOGY, KATTANKULATHUR</t>
  </si>
  <si>
    <t>AutoCAD,MS Office,MS Project,Primavera,Staad pro</t>
  </si>
  <si>
    <t>Akruti Enterprises | Site Engineer  | Hadapsar  | Jun 2024 | Jul 2025 | 1Y 1M | 6</t>
  </si>
  <si>
    <t>Skillvertex | Intern | Online  | Mar 2022 | Apr 2022 | 4.4285714285714 Weeks</t>
  </si>
  <si>
    <t>P25700295</t>
  </si>
  <si>
    <t>MAHANAND</t>
  </si>
  <si>
    <t>Sahil Mahanand Pawar</t>
  </si>
  <si>
    <t>sahil301102@gmail.com</t>
  </si>
  <si>
    <t>p25700295@student.nicmar.ac.in</t>
  </si>
  <si>
    <t>30-Nov-2002</t>
  </si>
  <si>
    <t>9865 2010 5897</t>
  </si>
  <si>
    <t>MAHANAND PAWAR</t>
  </si>
  <si>
    <t>LIBRARIAN</t>
  </si>
  <si>
    <t>MANSI PAWAR</t>
  </si>
  <si>
    <t>A/P, Janavli, Shikshak Colony, Near Anumit Super Store, Tarandale Road, Kankavli</t>
  </si>
  <si>
    <t>Sindhudurg</t>
  </si>
  <si>
    <t>ST. URSULA SCHOOL</t>
  </si>
  <si>
    <t>GOVERNMENT POLYTECHNIC MALVAN</t>
  </si>
  <si>
    <t>TERNA ENGINEERING COLLEGE</t>
  </si>
  <si>
    <t>Pawar Patkar  Constructions Pvt. Ltd. | Trainee Engineer | Belapur, Navi-Mumbai | Dec 2024 | Jun 2025 | 0Y 6M | 1.89</t>
  </si>
  <si>
    <t>Global Engineering Services | Project Management Intern | Navi Mumbai | May 2026 | Jul 2026 | 8.5714285714286 Weeks | Campus Internship</t>
  </si>
  <si>
    <t>P25700296</t>
  </si>
  <si>
    <t>BHOYAR</t>
  </si>
  <si>
    <t>Harsh Rajendra Bhoyar</t>
  </si>
  <si>
    <t>bhoyarharsh012@gmail.com</t>
  </si>
  <si>
    <t>p25700296@student.nicmar.ac.in</t>
  </si>
  <si>
    <t>19-Aug-2003</t>
  </si>
  <si>
    <t>2020 6466 5902</t>
  </si>
  <si>
    <t>RAJENDRA BHOYAR</t>
  </si>
  <si>
    <t>JYOTSANA BHOYAR</t>
  </si>
  <si>
    <t>Plot No.26,Chichghare Layout Bypass Road Umred, Dist.- Nagpur</t>
  </si>
  <si>
    <t>JEEVAN VIKAS VIDHYALAYA, UMRED</t>
  </si>
  <si>
    <t>ACHARYA SHRIMANNARAYAN POLYTECHNIC PIPRI (MEGHE), WARDHA</t>
  </si>
  <si>
    <t>SINHGAD INSTITUTE OF TECHNOLOGY AND SCIENCE NARHE, PUNE</t>
  </si>
  <si>
    <t>AutoCAD,MS Office,MS Project,Primavera,BIM,CostX</t>
  </si>
  <si>
    <t>Bangalore Metro Rail Corporation Ltd. | Project Intern  | Bangalore | May 2026 | Jul 2026 | 8.7142857142857 Weeks | Campus Internship
M/S M.D.BHOYAR CONSTRUCTIONS | Inten | Khapari | Dec 2023 | Jan 2024 | 3.8571428571429 Weeks</t>
  </si>
  <si>
    <t>P25700297</t>
  </si>
  <si>
    <t>AKSHITH</t>
  </si>
  <si>
    <t>BIJJALA</t>
  </si>
  <si>
    <t>Akshith Bijjala</t>
  </si>
  <si>
    <t>bijjalaakshith@gmail.com</t>
  </si>
  <si>
    <t>p25700297@student.nicmar.ac.in</t>
  </si>
  <si>
    <t>13-Jun-2003</t>
  </si>
  <si>
    <t>4858 5460 7265</t>
  </si>
  <si>
    <t>B S P C CHAKRAVARTHI</t>
  </si>
  <si>
    <t>SOFTWARE ENGINEER</t>
  </si>
  <si>
    <t>B SWAPNA</t>
  </si>
  <si>
    <t>13-6-460/34, MAHESH NAGAR COLONY, GUDIMALKAPUR, KARWAN</t>
  </si>
  <si>
    <t>13-6-463/1, Ashok Vihar_x000D_
Karwan_x000D_
Asifnagar</t>
  </si>
  <si>
    <t>NARAYANA SCHOOL</t>
  </si>
  <si>
    <t>TELANGANA</t>
  </si>
  <si>
    <t>ST. PATRICKS JUNIOR COLLAGE</t>
  </si>
  <si>
    <t>AMRITA VISHWA VIDHYAPEETHAM</t>
  </si>
  <si>
    <t>TAMIL NADU</t>
  </si>
  <si>
    <t>AutoCAD,MS Office,MS Project,Staad pro,BIM,Etabs,Sketchup</t>
  </si>
  <si>
    <t>Sagar SKYSCRAPERS LLP  | Trainee Junior Engineer | Pune | May 2026 | Jun 2026 | 8 Weeks | Campus Internship
L&amp;T edutech | Trainee  | Chennai  | Jun 2024 | Jul 2024 | 1.5714285714286 Weeks
L&amp;T edutech | Trainee  | Chennai  | Jul 2023 | Aug 2023 | 1.5714285714286 Weeks</t>
  </si>
  <si>
    <t>Design of Structural Steel Members
Principles of Construction Management
Safety for Professionals
Deep Excavation And Tunnels
Building Information Modeling
Bridge Engineering Design Practices
Concreting Techniques and Practices</t>
  </si>
  <si>
    <t>P25700298</t>
  </si>
  <si>
    <t>GOPICHAND</t>
  </si>
  <si>
    <t>Sejal Gopichand Rathod</t>
  </si>
  <si>
    <t>sejalrathod4617@gmail.com</t>
  </si>
  <si>
    <t>p25700298@student.nicmar.ac.in</t>
  </si>
  <si>
    <t>11-Jun-2002</t>
  </si>
  <si>
    <t>ENGLISH ,HINDI , MARATHI</t>
  </si>
  <si>
    <t>4703 9991 6788</t>
  </si>
  <si>
    <t>PARVATI</t>
  </si>
  <si>
    <t>N-12 D 52 / 2_x000D_
T.V Centre ,_x000D_
Hudco ,_x000D_
Near Sambhaji Statue_x000D_
Chhatrapati Sambhaji Nagar_x000D_
Maharashtra,431001_x000D_
8956224681</t>
  </si>
  <si>
    <t>SHANTINIKETAN PUBLIC SCHOOL</t>
  </si>
  <si>
    <t>BHASKARACHARYA  HIGHER SECONDARY SCHOOL</t>
  </si>
  <si>
    <t>DR. BABASAHEB AMBEDKAR MARATHWADA UNIVERSITY, CHHATRAPATI SAMBHAJINAGAR, MAHARASHTRA</t>
  </si>
  <si>
    <t>AutoCAD,MS Office,MS Project,lumion,Vray,Sketchup,Revit,html,css,MS Excel</t>
  </si>
  <si>
    <t>PrimaVerse IDC LLP | Junior Civil Engineer | Nanded City ,Pune | May 2024 | Sep 2024 | 0Y 4M | 2.4</t>
  </si>
  <si>
    <t>Impact Infraheight Pvt. Ltd. | Procurement Intern | Shivajinagar , Pune | May 2026 | Jul 2026 | 8.7142857142857 Weeks | Campus Internship
GVPR Engineers Limited | Intern | Chhatrapati Sambhaji Nagar | Dec 2022 | Apr 2023 | 21.428571428571 Weeks</t>
  </si>
  <si>
    <t>Construction Practice On-site
Professional Diploma In Civil CAD
Ethics in Engineering Practice
Finance For Non-Financial Manager</t>
  </si>
  <si>
    <t>P25700299</t>
  </si>
  <si>
    <t>Aditya Salve</t>
  </si>
  <si>
    <t>patiladitya542021@gmail.com</t>
  </si>
  <si>
    <t>p25700299@student.nicmar.ac.in</t>
  </si>
  <si>
    <t>Marathi, English and Hindi</t>
  </si>
  <si>
    <t>3000 6093 3518</t>
  </si>
  <si>
    <t>PADMAVATI</t>
  </si>
  <si>
    <t>1102 T3 GODREJ HILLSIDE 2 MAHALUNGE PUNE</t>
  </si>
  <si>
    <t>Mahavir Road , Sarafa Market, Sillod</t>
  </si>
  <si>
    <t>PODAR INTERNATIONAL SCHOOL, AURANGABAD</t>
  </si>
  <si>
    <t>CENTRAL BOARD OF SECONDARY EDUCATION , NEW DELHI</t>
  </si>
  <si>
    <t>DEVIDAS  GHORPADE INTERNATIONAL SCHOOL AND JR COLLEGE</t>
  </si>
  <si>
    <t>DR. BABASAHEB AMBEDKAR MARATHWADA UNIVERSITY, AURANGABAD</t>
  </si>
  <si>
    <t>GOVERNMENT COLLEGE OF ENGINEERING, AURANGABAD</t>
  </si>
  <si>
    <t>P25700300</t>
  </si>
  <si>
    <t>ADITYASINGH</t>
  </si>
  <si>
    <t>SANDIPSINGH</t>
  </si>
  <si>
    <t>MOHANE</t>
  </si>
  <si>
    <t>Adityasingh Sandipsingh Mohane</t>
  </si>
  <si>
    <t>adityamohane@gmail.com</t>
  </si>
  <si>
    <t>p25700300@student.nicmar.ac.in</t>
  </si>
  <si>
    <t>29-Nov-2002</t>
  </si>
  <si>
    <t>2683 6297 2373</t>
  </si>
  <si>
    <t>APARNA</t>
  </si>
  <si>
    <t>Kirti Nagar, Akola</t>
  </si>
  <si>
    <t>NISHU NURSERY AND KOTHARI CONVENT, AKOLA</t>
  </si>
  <si>
    <t>SHRI DAWALE JUNIOR COLLEGE, AKOLA</t>
  </si>
  <si>
    <t>SANT GADGE BABA AMRAVATI UNIVERSITY, AMRAVATI</t>
  </si>
  <si>
    <t>COLLEGE OF ENGINEERING AND TECHNOLOGY, AKOLA</t>
  </si>
  <si>
    <t>AutoCAD, MS Office, MS Project, Staad Pro Software, Primavera, Revit</t>
  </si>
  <si>
    <t>EZ Realty | Procurement Intern | Kharadi, Pune | May 2026 | Jul 2026 | 8.7142857142857 Weeks | Campus Internship
ATAL REALTECH LTD | INTERN- SITE SUPERVISION | AKOLA | Jun 2024 | Jul 2024 | 2.2857142857143 Weeks</t>
  </si>
  <si>
    <t>Bentley Foundation Certificate
Bentley Staad Pro Certificate</t>
  </si>
  <si>
    <t>P25700301</t>
  </si>
  <si>
    <t>SAGAR</t>
  </si>
  <si>
    <t>Sagar Singh</t>
  </si>
  <si>
    <t>chahalsagar725@gmail.com</t>
  </si>
  <si>
    <t>p25700301@student.nicmar.ac.in</t>
  </si>
  <si>
    <t>25-Apr-2003</t>
  </si>
  <si>
    <t>7958 9711 1849</t>
  </si>
  <si>
    <t>DHEER SINGH</t>
  </si>
  <si>
    <t>RUKMESH DEVI</t>
  </si>
  <si>
    <t>Gyan Vihar Colony, Near Sugar Mill</t>
  </si>
  <si>
    <t>Bijnor</t>
  </si>
  <si>
    <t>ROOTS INTL SCHOOL</t>
  </si>
  <si>
    <t>CBSE    BIJNOR/UTTAR PRADESH</t>
  </si>
  <si>
    <t>MD INTERNATIONAL SCHOOL</t>
  </si>
  <si>
    <t>CHANDIGARH UNIVERSITY  MOHALI/PUNJAB</t>
  </si>
  <si>
    <t>AutoCAD,MS Office,MS Project,OPENROADS,Abaqus</t>
  </si>
  <si>
    <t xml:space="preserve"> NBCC (INDIA) LIMITED | Intern | Gr. Noida | May 2026 | Jul 2026 | 9.5714285714286 Weeks | Campus Internship
S.P. Singla Construction Pvt. Ltd. | Intern | Haridwar | May 2024 | Jun 2024 | 3.7142857142857 Weeks</t>
  </si>
  <si>
    <t>Introduction to Civil Engineering profession</t>
  </si>
  <si>
    <t>P25700302</t>
  </si>
  <si>
    <t>RANDHE</t>
  </si>
  <si>
    <t>KALPESH</t>
  </si>
  <si>
    <t>Randhe Kalpesh Janardhan</t>
  </si>
  <si>
    <t>kalpeshrandhe999@gmail.com</t>
  </si>
  <si>
    <t>p25700302@student.nicmar.ac.in</t>
  </si>
  <si>
    <t>26-Dec-1996</t>
  </si>
  <si>
    <t>Marathi, Hinidi, English</t>
  </si>
  <si>
    <t>6366 7989 0055</t>
  </si>
  <si>
    <t>NICMAR BOYS' HOSTEL, N.I.A POST OFFICE, BALEWADI, PUNE</t>
  </si>
  <si>
    <t>Near Balaji Symphony, Sukhapur, Matheran Road, New Panvel, Tal- Panvel, Dist-Raigad</t>
  </si>
  <si>
    <t>PRIYADARSHANI HIGH SCHOOL</t>
  </si>
  <si>
    <t>PUNE/MAHARASHTRA</t>
  </si>
  <si>
    <t>CHANGU KANA THAKUR SECONDARY &amp; HIGHER SECONDARY VIDYALAYA</t>
  </si>
  <si>
    <t>MUMBAI/MAHARASHTRA</t>
  </si>
  <si>
    <t>J.S.P.M IMPERIAL COLLEGE OF ENGINEERING &amp; RESEARCH</t>
  </si>
  <si>
    <t>Balaji Symphony | Jr. Site Engineer | City-Panvel, Maharashtra | Sep 2018 | Sep 2022 | 4Y 0M | 1.87
Right Advisor Pvt.Ltd | Civil Engineer | Bamandongri, Kharkopar State- Maharashtra | Oct 2022 | Jun 2025 | 2Y 7M | 3.6</t>
  </si>
  <si>
    <t>6 Years 9 Months</t>
  </si>
  <si>
    <t>Sobha Ltd | Civil Engineer | Bangalore | May 2026 | Jul 2026 | 9 Weeks | Campus Internship</t>
  </si>
  <si>
    <t>Safety conscious person</t>
  </si>
  <si>
    <t>P25700303</t>
  </si>
  <si>
    <t>Shaik Mohammed Sameer</t>
  </si>
  <si>
    <t>sameersss1432@gmail.com</t>
  </si>
  <si>
    <t>p25700303@student.nicmar.ac.in</t>
  </si>
  <si>
    <t>ENGLISH,HINDI,TELUGU,URDU,TAMIL,ARABIC</t>
  </si>
  <si>
    <t>7351 1384 2219</t>
  </si>
  <si>
    <t>SHAIK MAHABOOB BASHA</t>
  </si>
  <si>
    <t>SHAIK SHAWAR</t>
  </si>
  <si>
    <t>39/107-138 Tagore Nagar, Bose Nagar, Raya Choti, Cuddapah</t>
  </si>
  <si>
    <t>PENCHAL REDDY HIGH SCHOOL</t>
  </si>
  <si>
    <t>CENTRAL BOARD OF SECONDARY EDUCATION, RAYACHOTY ANDHRA PRADESH</t>
  </si>
  <si>
    <t>SRI CHAITNYA BOYS JUNIOR COLLEGE</t>
  </si>
  <si>
    <t>BOARD OF INTERMEDIATE EDUCATION , VIJAYAWADA ANDHRA PRADESH</t>
  </si>
  <si>
    <t>SREE VIDYANIKETHAN ENGINEERING COLLAGE</t>
  </si>
  <si>
    <t>CEAT Limited | Project Trainee | Nagpur | May 2026 | Jul 2026 | 8.7142857142857 Weeks | Campus Internship
GS Peb &amp; Civil Works PVT.LTD | Shaik Mohammed Sameer | Chakan pune | Jan 2025 | Jun 2025 | 21.428571428571 Weeks</t>
  </si>
  <si>
    <t>P25700304</t>
  </si>
  <si>
    <t>SAMUDRAPU</t>
  </si>
  <si>
    <t>LAKSHMI DURGA</t>
  </si>
  <si>
    <t>ANAND KUMAR</t>
  </si>
  <si>
    <t>Samudrapu Lakshmi Durga Anand Kumar</t>
  </si>
  <si>
    <t>anandkumarsamudrapu@gmail.com</t>
  </si>
  <si>
    <t>p25700304@student.nicmar.ac.in</t>
  </si>
  <si>
    <t>28-May-2003</t>
  </si>
  <si>
    <t>2799 1929 3546</t>
  </si>
  <si>
    <t>ANIL KUMAR</t>
  </si>
  <si>
    <t>VASANTHA KUMARI</t>
  </si>
  <si>
    <t>3-71,Dibbalamida,Near Mahankallimma Temple,Undi Mandalam,Mahadevapatnam</t>
  </si>
  <si>
    <t>SRI BHARATHI EM HIGH SCHOOL</t>
  </si>
  <si>
    <t>BOARD OF SECOUNDARY EDUCATION ANDHRA PRADESH</t>
  </si>
  <si>
    <t>NARAYANA JUNIOUR COLLEGE</t>
  </si>
  <si>
    <t>SAGI RAMAKRISHNAM RAJU ENGINEERING COLLEGE</t>
  </si>
  <si>
    <t>FORTRESS INFRACON | Planning, Architect &amp; Engineering Department | Amaravathi | May 2026 | Jul 2026 | 8.7142857142857 Weeks | Campus Internship
ASCENT CS GLOBAL | INTERN | HYDERBAD | Jul 2022 | Sep 2022 | 8.7142857142857 Weeks
TRAFFIC POLICE  DEPARTMENT, BHIMAVARAM, ANDHRA PRADESH | INTERN IN TRAFFIC VOLUME STUDY  | BHIMAVARAM | Jun 2023 | Aug 2023 | 8.7142857142857 Weeks</t>
  </si>
  <si>
    <t>P25700305</t>
  </si>
  <si>
    <t>BALASAHEB</t>
  </si>
  <si>
    <t>FARGADE</t>
  </si>
  <si>
    <t>Yash Balasaheb Fargade</t>
  </si>
  <si>
    <t>yashfargade856@gmail.com</t>
  </si>
  <si>
    <t>p25700305@student.nicmar.ac.in</t>
  </si>
  <si>
    <t>5251 0121 6068</t>
  </si>
  <si>
    <t>BALASAHEB DATTU FARGADE</t>
  </si>
  <si>
    <t>PUSHPA</t>
  </si>
  <si>
    <t>AT-MEHENDURI,PO-RUMBHODI,TAL-AKOLE,DIS-AHILYANAGAR-422601</t>
  </si>
  <si>
    <t>SHRI CHHATRAPATI SHIVAJI MAHARAJ VIDYALAYA, MEHENDURI</t>
  </si>
  <si>
    <t>MAHARASHTRA STATE BOARD OF SECONDARY AND HIGHER SECONDARY EDUCATION,PUNE-(AKOLE,AHILYANAGAR-422601)</t>
  </si>
  <si>
    <t>SARSWATI VIDYALAYA AND JR. COLLEGE, DHAMANGAON PAT</t>
  </si>
  <si>
    <t>MAHARASHTRA STATE BOARD OF SECONDARY AND HIGHER SECONDARY EDUCATION,PUNE-(AKOLE, AHILYANAGAR-422601)</t>
  </si>
  <si>
    <t>AMRUTVAHINI POLYTECHNIC,(SANGAMNER,AHILYANAGAR-422605)</t>
  </si>
  <si>
    <t>DR.D.Y.PATIL SCHOOL OF ENGG AND TECH CHARHOLI BK ,(PUNE-412105)</t>
  </si>
  <si>
    <t>AutoCAD,MS Office,MS Project,Primavera,Project Scheduling</t>
  </si>
  <si>
    <t>TECHNOCRAFT FORMWORKS PRIVATE LIMITED | Design Engineer | Bavdhan, Pune-411021 | Aug 2024 | May 2025 | 0Y 8M | 3.36</t>
  </si>
  <si>
    <t>RITES Limited | Construction Management Intern | Mumbai, Maharashtra | May 2026 | Jul 2026 | 9.5714285714286 Weeks | Campus Internship</t>
  </si>
  <si>
    <t>Revit Architecture
AUTOCAD</t>
  </si>
  <si>
    <t>P25700306</t>
  </si>
  <si>
    <t>KURUVILA</t>
  </si>
  <si>
    <t>SAIJAN</t>
  </si>
  <si>
    <t>Kuruvila Saijan</t>
  </si>
  <si>
    <t>999.ar.k.s@gmail.com</t>
  </si>
  <si>
    <t>p25700306@student.nicmar.ac.in</t>
  </si>
  <si>
    <t>22-Mar-1999</t>
  </si>
  <si>
    <t>5013 6534 1614</t>
  </si>
  <si>
    <t>SAIJAN KURIAKOSE</t>
  </si>
  <si>
    <t>DALIA SAIJAN</t>
  </si>
  <si>
    <t>Oliyapuram House, EN-160, Angamaly, Ernakulam, Kerala, 683572</t>
  </si>
  <si>
    <t>VISWAJYOTHI PUBLIC SCHOOL</t>
  </si>
  <si>
    <t>UNIVERSITY OF CALICUT</t>
  </si>
  <si>
    <t>AVANI INSTITUTE OF DESIGN, CALICUT, KERALA</t>
  </si>
  <si>
    <t>AutoCAD,MS Office,SketchUp,ArchiCAD,Revit,Rhino &amp; Grasshopper,Twinmotion,Adobe Creative Cloud,Procreate</t>
  </si>
  <si>
    <t>WOA DESIGN STUDIO PVT LTD | Lead Architect &amp; System Strategist | Kadavanthra, Ernakulam, Kerala  | Apr 2023 | Apr 2025 | 2Y 0M | 4.15</t>
  </si>
  <si>
    <t>NURU KARIM PARTNERS LLP | Urban Planning  | Mumbai | May 2026 | Jul 2026 | 8.5714285714286 Weeks | Campus Internship
Flying Elephant Studio | Trainee Architect  | Kalyan Nagar, Bangalore  | Jan 2021 | Jun 2021 | 22.857142857143 Weeks
OLIYAPURAM MARKETING COMPANY | ARCHITECT (INTERN) | ANGAMALY, ERNAKULAM | Jun 2022 | Feb 2023 | 38.857142857143 Weeks</t>
  </si>
  <si>
    <t>P25700307</t>
  </si>
  <si>
    <t>MAYUR</t>
  </si>
  <si>
    <t>KALYANI</t>
  </si>
  <si>
    <t>BANSODE</t>
  </si>
  <si>
    <t>Mayur Kalyani Bansode</t>
  </si>
  <si>
    <t>mayurbansode333@gmail.com</t>
  </si>
  <si>
    <t>p25700307@student.nicmar.ac.in</t>
  </si>
  <si>
    <t>08-Apr-2000</t>
  </si>
  <si>
    <t>3425 9129 7227</t>
  </si>
  <si>
    <t>KALPANA</t>
  </si>
  <si>
    <t>Sr No 30 Lane 4 Kondhwa Hospital Antulenagar Pisoli Near Vidyashilp School Yewlewadi</t>
  </si>
  <si>
    <t>CAMP EDUCATION SOCIETY'S HIGH SCHOOL &amp; JR COLLEGE</t>
  </si>
  <si>
    <t>KJEI'S TRINITY POLYTECHNIC PUNE, MAHARASHTRA</t>
  </si>
  <si>
    <t>SINHGAD ACADEMY OF ENGINEERING, PUNE MAHARASHTRA</t>
  </si>
  <si>
    <t>HINDUSTAN PETROLEUM CORPORATION LTD ( MUMBAI REFINARY) | Trainee Engineer. | MUMBAI REFINARY | Apr 2023 | Apr 2024 | 0Y 11M | 3</t>
  </si>
  <si>
    <t>Medigence Solutions Pvt. Ltd  | Project Management Intern | Ahmedabad, Gujrat | May 2026 | Jul 2026 | 8.7142857142857 Weeks | Campus Internship
Unique Civil | Intern Bim Modeler | Pune | May 2024 | Nov 2024 | 26.285714285714 Weeks
GAGAN UNNATI PROMOTERS , GAGAN CEFIRO | Civil Engineer Student  | PUNE | May 2018 | Jun 2018 | 4.5714285714286 Weeks</t>
  </si>
  <si>
    <t>P25700308</t>
  </si>
  <si>
    <t>RITWICK</t>
  </si>
  <si>
    <t>VATSA</t>
  </si>
  <si>
    <t>Ritwick Vatsa</t>
  </si>
  <si>
    <t>ritwickvatsa@gmail.com</t>
  </si>
  <si>
    <t>p25700308@student.nicmar.ac.in</t>
  </si>
  <si>
    <t>28-Nov-1999</t>
  </si>
  <si>
    <t>English,Hindi,Gujrati</t>
  </si>
  <si>
    <t>4781 8664 5382</t>
  </si>
  <si>
    <t>PRAKASH CHANDRA SINGH</t>
  </si>
  <si>
    <t>KUMARI MANJU</t>
  </si>
  <si>
    <t>FLAT NO 202,SHANTI APARTMENT,WEST OF 90 FT ROAD , KANKARBAGH</t>
  </si>
  <si>
    <t>SATTVA VIKAS SCHOOL</t>
  </si>
  <si>
    <t>CBSE,AHMEDABAD</t>
  </si>
  <si>
    <t>R.J.P.R.P COLLEGE</t>
  </si>
  <si>
    <t>BSEB,PATNA</t>
  </si>
  <si>
    <t>KALINGA INSTITUTE OF INDUSTRIAL TECHNOLOGY,BHUBANESHWAR</t>
  </si>
  <si>
    <t>Ashiana Housing Ltd | Assistant Engineer | Bhiwadi | Apr 2023 | Jun 2025 | 2Y 1M | 4.32</t>
  </si>
  <si>
    <t>Masin Projects Private Limited | Quantum Intern | Gurgaon | May 2026 | Jul 2026 | 8.7142857142857 Weeks | Campus Internship</t>
  </si>
  <si>
    <t>P25700309</t>
  </si>
  <si>
    <t>GIRIPRASATH</t>
  </si>
  <si>
    <t>Giriprasath N</t>
  </si>
  <si>
    <t>ngiriprasath15@gmail.com</t>
  </si>
  <si>
    <t>p25700309@student.nicmar.ac.in</t>
  </si>
  <si>
    <t>15-Jul-2004</t>
  </si>
  <si>
    <t>English, Tamil and Telugu</t>
  </si>
  <si>
    <t>2245 6095 9239</t>
  </si>
  <si>
    <t>NAVANEETHAKRISHNAN T</t>
  </si>
  <si>
    <t>DATA MANAGER, GOVERNMENT HOSPITAL, VIRUDHUNAGAR, TAMIL NADU</t>
  </si>
  <si>
    <t>DHANALAKSHMI S</t>
  </si>
  <si>
    <t>1/223-8,kooraikundu,Virudhunagar Collectorate</t>
  </si>
  <si>
    <t>KVS MATRIC HR SEC SCHOOL VIRUDHUNAGAR</t>
  </si>
  <si>
    <t>NATIONAL ENGINEERING COLLEGE, KOVILPATTI</t>
  </si>
  <si>
    <t>Primavera P6,MS Project,MS Office,Revit,AutoCAD,CostX</t>
  </si>
  <si>
    <t>Bangalore Metro Corporation Ltd | Management Intern | Bangalore | May 2026 | Jul 2026 | 8.7142857142857 Weeks | Campus Internship
BALFOUR BEATTY INFRASTRUCTURE INDIA PVT. LTD. | Design and Drafting Engineer (Intern) | BANGALORE (UK-BASED COMPANY) | Jun 2024 | Jun 2024 | 3.8571428571429 Weeks
THE RAMCO CEMENTS LIMITED | Site Maintenance Engineer  | R.R. NAGAR FACTORY, TAMIL NADU | Nov 2023 | Nov 2023 | 2 Weeks</t>
  </si>
  <si>
    <t>Quantity Surveying Building Estimation and Project planning</t>
  </si>
  <si>
    <t>P25700310</t>
  </si>
  <si>
    <t>Bharat Parmar</t>
  </si>
  <si>
    <t>bharat866parmar@gmail.com</t>
  </si>
  <si>
    <t>p25700310@student.nicmar.ac.in</t>
  </si>
  <si>
    <t>16-Aug-2003</t>
  </si>
  <si>
    <t>Hindi,English,Marathi</t>
  </si>
  <si>
    <t>7062 5238 0855</t>
  </si>
  <si>
    <t>PARASMAL PARMAR</t>
  </si>
  <si>
    <t>PARUDEVI PARMAR</t>
  </si>
  <si>
    <t>FLAT NO 4 ANNAPURNA APARTMENTS 18 PANDE LAYOUT KHAML NAGPUR</t>
  </si>
  <si>
    <t>Parasmal Parmar, 22/104 Sonam Veena Chs Ltd, ., Nr Jain Bunglow, New Golden Nest, Phase -11, Bhaindar East, Thane</t>
  </si>
  <si>
    <t>SOMALWAR NIKALAS HIGH SCHOOL</t>
  </si>
  <si>
    <t>MAHARASHTRA STATE BOARD OF SECONDARY AND HIGHER SECONDARY EDUCATION, NAGPUR MAHARASHTRA</t>
  </si>
  <si>
    <t>MKH SANCHETI COLLAGE</t>
  </si>
  <si>
    <t>SHRI RAMDEOBABA COLLEGE OF ENGINEERING AND MANAGEMENT, NAGPUR MAHARASHTRA</t>
  </si>
  <si>
    <t>AutoCAD,MS Office,MS Project,SAP2000,Beam AI,Automeasure</t>
  </si>
  <si>
    <t>ATTENTIVE OS PRIVATE LIMITED | Trainee Estimator | New Delhi | Apr 2025 | Jun 2025 | 0Y 2M | 3.34</t>
  </si>
  <si>
    <t>NBCC (INDIA) LIMITED | PROJECT INTERN | Greater Noida | May 2026 | Jul 2026 | 9.7142857142857 Weeks | Campus Internship
ATTENTIVE OS PRIVATE LIMITED | INTERN | NEW DELHI | Jan 2025 | Apr 2025 | 12.571428571429 Weeks
R.K. MADHANI &amp; CO | INTERN | Amravati | May 2024 | Jul 2024 | 7.1428571428571 Weeks</t>
  </si>
  <si>
    <t>Construction Cost Estimating and Cost Control
International Leadership and Organizational  Behavior
Campus to Corporate
Resource and Waste Management in Buildings
Investment Analysis and Portfolio Management
Green Building Assessment &amp; Certification
Financial Reporting &amp; Analysis: Complete Preparation
Concreting Techniques and Practices</t>
  </si>
  <si>
    <t>P25700311</t>
  </si>
  <si>
    <t>Vaishnavi Vaishnavi</t>
  </si>
  <si>
    <t>ar.vysh332@gmail.com</t>
  </si>
  <si>
    <t>p25700311@student.nicmar.ac.in</t>
  </si>
  <si>
    <t>03-Mar-2000</t>
  </si>
  <si>
    <t>2503 6271 6368</t>
  </si>
  <si>
    <t>NAGNATH</t>
  </si>
  <si>
    <t>POLICE HEADCONSTABLE</t>
  </si>
  <si>
    <t>GOURAMMA</t>
  </si>
  <si>
    <t>15-5-269, Basavashraya, Near Gurudatta Dhyanmandir, Bidar</t>
  </si>
  <si>
    <t>Bidar</t>
  </si>
  <si>
    <t>GNYANA SUDHA VIDYALAYA, BIDAR</t>
  </si>
  <si>
    <t>CBSE, DELHI</t>
  </si>
  <si>
    <t>SC GURUKULA PU COLLEGE, KARDYAL BHALKI TQ, BIDAR DT 585328</t>
  </si>
  <si>
    <t>GOVERNMENT OF KARNATAKA, DEPARTMENT OF PRE UNIVERSITY EDUCATION, BANGALORE</t>
  </si>
  <si>
    <t>VISVESVARAYA TECHNOLOGICAL UNIVERSITY, BELGAVI</t>
  </si>
  <si>
    <t>BMS COLLEGE OF ARCHITECTURE, BENGALURU</t>
  </si>
  <si>
    <t>AutoCAD,MS Office,MS Project,Primavera,PowerBI,Revit,V- Ray,Enscape,Adobe Creative Suite,SketchUp</t>
  </si>
  <si>
    <t>INFRASCAPES LLP | ARCHITECT- DESIGN ASSOCIATE | Hyderabad | Mar 2024 | Mar 2025 | 1Y 0M | 3.6</t>
  </si>
  <si>
    <t>CHERRY HILL INTERIORS PVT. LTD. | Intern | Delhi | May 2026 | Jul 2026 | 8.5714285714286 Weeks | Campus Internship
CREATIVE GROUP LLP | INTERN ARCHITECT | NEW DELHI | Aug 2022 | Dec 2022 | 15.571428571429 Weeks
GROUND TALE ARCHITECTS AND DESIGNERS | JUNIOR ARCHITECT  | PUNE | Jun 2023 | Mar 2024 | 37.285714285714 Weeks</t>
  </si>
  <si>
    <t>C.Tech higher diploma in interior design
Operational excellence foundations
Root cause analysis: getting to the root of business problems
Microsoft project in business situations: tips from the field
Microsoft project quick tips
Microsoft project step-by-step: planning for successful project management
Learning Microsoft project
Six Sigma: green belt
Six Sigma foundations
Learn six Sigma foundations
Getting started with Microsoft project
Become a six sigma green belt
Ethics and engineering practice
Finance for non-financial managers
Construction Management: Planning and  Scheduling</t>
  </si>
  <si>
    <t>P25700312</t>
  </si>
  <si>
    <t>SANYAM</t>
  </si>
  <si>
    <t>KRUSHNARAO</t>
  </si>
  <si>
    <t>Sanyam Krushnarao Patil</t>
  </si>
  <si>
    <t>patilsanyam123@gmail.com</t>
  </si>
  <si>
    <t>p25700312@student.nicmar.ac.in</t>
  </si>
  <si>
    <t>10-Feb-1999</t>
  </si>
  <si>
    <t>7206 3466 9067</t>
  </si>
  <si>
    <t>KRUSHNARAO KASHIRAM PATIL</t>
  </si>
  <si>
    <t>RAJANI KRUSHNARAO PATIL</t>
  </si>
  <si>
    <t>SANKALP VIHAR WING A-19 JSPM COLLEGE ROAD, VETAL BUA CHOWK,NARHE,PUNE,41</t>
  </si>
  <si>
    <t>LATE B.D.S HIGHSCHOOL MOTALA,DIST BULDHANA</t>
  </si>
  <si>
    <t>ZEAL POLYTECHNIC NARHE,PUNE,MAHARASHTRA</t>
  </si>
  <si>
    <t>ALL INDIA SHREE SHIVAJI MEMORIAL SOCIETY,COLLEGE OF ENGINEERING ,PUNE</t>
  </si>
  <si>
    <t>AutoCAD,MS Office,Primavera</t>
  </si>
  <si>
    <t>Bangalore Metro Rail Corporation Ltd. | Management  | Bangalore | May 2026 | Jul 2026 | 8.7142857142857 Weeks | Campus Internship
Government Polytechnic Pune | Intern | Pune | Oct 2024 | Aug 2025 | 47.714285714286 Weeks
IMPERIAL PLAZA | Intern | Pune | Aug 2021 | Aug 2023 | 108.57142857143 Weeks</t>
  </si>
  <si>
    <t>Primavera
Autocad Advanced</t>
  </si>
  <si>
    <t>P25700313</t>
  </si>
  <si>
    <t>M S</t>
  </si>
  <si>
    <t>Manoj M S</t>
  </si>
  <si>
    <t>manoj77manu07@gmail.com</t>
  </si>
  <si>
    <t>p25700313@student.nicmar.ac.in</t>
  </si>
  <si>
    <t>11-Feb-2000</t>
  </si>
  <si>
    <t>9524 4003 0464</t>
  </si>
  <si>
    <t>SIDDESHWARA M B</t>
  </si>
  <si>
    <t>ASHA K</t>
  </si>
  <si>
    <t>207, _x000D_
Chikkobanahalli (P),_x000D_
Molakalmuru (T),_x000D_
Chitradurga (D),_x000D_
Karnataka._x000D_
Pincode - 577535</t>
  </si>
  <si>
    <t>Chitradurga</t>
  </si>
  <si>
    <t>ANMOL PUBLIC SCHOOL</t>
  </si>
  <si>
    <t>ST JOHN'S P.U. SCIENCE COLLEGE</t>
  </si>
  <si>
    <t>DEPARTMENT OF PRE-UNIVERSITY EDUCATION, KARNATKA</t>
  </si>
  <si>
    <t>BANGALORE INSTITUTE OF TECHNOLOGY, BENGALURU</t>
  </si>
  <si>
    <t>Primavera P6, MS Project, MIDAS - Civil, Staad Pro, Adsec, ETABS, AutoCAD, Revit</t>
  </si>
  <si>
    <t>SYSTRA MVA CONSULTING INDIA PRIVATE LIMITED | ENGINEER - STRUCTURES ( ELEVATED) | FARIDABAD, HARAYANA AND BENGALURU, KARNATAKA | Mar 2022 | Jun 2025 | 3Y 3M | 5
SMEC RAIL INDIA PRIVATE LIMITED | GRADUATE ENGINEER TRAINEE | CHENNAI, TAMIL NADU | Aug 2021 | Mar 2022 | 0Y 6M | 3</t>
  </si>
  <si>
    <t>Hindustan Construction Company (HCC) | Project Intern | MUMBAI | May 2026 | Jul 2026 | 7.5714285714286 Weeks | Campus Internship
SYSTRA MVA CONSULTING INDIA PRIVATE LIMITED | INTERN | BENGALURU | Mar 2021 | Apr 2021 | 8.5714285714286 Weeks</t>
  </si>
  <si>
    <t>Impact Lab - Young Leaders Program 2025
PMP Certification</t>
  </si>
  <si>
    <t>P25700314</t>
  </si>
  <si>
    <t>NOOPUR</t>
  </si>
  <si>
    <t>HANDE</t>
  </si>
  <si>
    <t>Noopur Ravindra Hande</t>
  </si>
  <si>
    <t>noopurhande456@gmail.com</t>
  </si>
  <si>
    <t>p25700314@student.nicmar.ac.in</t>
  </si>
  <si>
    <t>22-Sep-2001</t>
  </si>
  <si>
    <t>4803 7634 4993</t>
  </si>
  <si>
    <t>F 1304 Eastern River Residency , Kashid Park ,_x000D_
Pimple Gurav 411061</t>
  </si>
  <si>
    <t>BLOOMINGDALE INTERNATIONAL SCHOOL</t>
  </si>
  <si>
    <t>CUSROW WADIA INSTITUTE OF TECHNOLOGY</t>
  </si>
  <si>
    <t>RMD SINHGAD TECHNICAL INSTITUTE CAMPUS</t>
  </si>
  <si>
    <t>Primark Associates  | Management Trainee | Pune  | May 2026 | Jul 2026 | 8.7142857142857 Weeks | Campus Internship
Vaibhav Gulabrao Benke(government contractor &amp; engineer) | Civil Engineering Trainee | Junnar | May 2019 | Jun 2019 | 4.8571428571429 Weeks</t>
  </si>
  <si>
    <t>Ethics in Engineering Practice
AutoCAD</t>
  </si>
  <si>
    <t>P25700316</t>
  </si>
  <si>
    <t>IFHAM</t>
  </si>
  <si>
    <t>Ifham Khan</t>
  </si>
  <si>
    <t>iamifhamkhan@gmail.com</t>
  </si>
  <si>
    <t>p25700316@student.nicmar.ac.in</t>
  </si>
  <si>
    <t>06-Mar-2000</t>
  </si>
  <si>
    <t>5862 2786 3453</t>
  </si>
  <si>
    <t>MASROOR AHMED KHAN</t>
  </si>
  <si>
    <t>SHAHINA FAIZ</t>
  </si>
  <si>
    <t>4470, Shahtara Street, Ajmeri Gate</t>
  </si>
  <si>
    <t>Central Delhi</t>
  </si>
  <si>
    <t>CAMBRIDGE SCHOOL</t>
  </si>
  <si>
    <t>CENTRAL BOARD OF SECONDARY EDUCATION , NEW DELHI, DELHI</t>
  </si>
  <si>
    <t>CENTRAL BOARD OF SECONDARY EDUCATION, NEW DELHI, DELHI</t>
  </si>
  <si>
    <t>GURU GOBIND SINGH INDRAPRASTHA UNIVERSITY</t>
  </si>
  <si>
    <t>DR. AKHILESH DAS GUPTA INSTITUTE OF TECHNOLOGY &amp; MANAGEMENT</t>
  </si>
  <si>
    <t>AutoCAD,MS Office,MS Project,Primavera,Work Breakdown Structures,Progress Dashboard,Cost/Quantity Data Handling,Documentation Management,Engineering Drawings Interpretation,Quantity Takeoff</t>
  </si>
  <si>
    <t>Prestige Estates Projects Limited | Planning Intern | Ghazibad, Uttar Pradesh  | May 2026 | Jul 2026 | 8.5714285714286 Weeks | Campus Internship
ABR Infrasolutions Pvt. Ltd. | Civil Engineer Trainee | Noida, Uttar Pradesh  | Sep 2022 | Nov 2022 | 8.7142857142857 Weeks</t>
  </si>
  <si>
    <t>Primavera P6
Staad Pro
Revit Structure</t>
  </si>
  <si>
    <t>P25700317</t>
  </si>
  <si>
    <t>MUDEWAR</t>
  </si>
  <si>
    <t>Shruti Mudewar</t>
  </si>
  <si>
    <t>shrutimudewar13@gmail.com</t>
  </si>
  <si>
    <t>P24700249@student.nicmar.ac.in</t>
  </si>
  <si>
    <t>13-Jun-2001</t>
  </si>
  <si>
    <t>English, hindi, marathi</t>
  </si>
  <si>
    <t>6965 3078 3914</t>
  </si>
  <si>
    <t>MAMTA</t>
  </si>
  <si>
    <t>Mamta Niwas, Near Renault Security Office, Haveli Garden, Chandrapur</t>
  </si>
  <si>
    <t>VIDYA NIKETAN HIGH SCHOOL</t>
  </si>
  <si>
    <t>NARAYANA GIRLS COLLEGE</t>
  </si>
  <si>
    <t>DIPLOMA OF INTERIOR DESIGNING</t>
  </si>
  <si>
    <t>HIMALAYAN UNIVERSITY</t>
  </si>
  <si>
    <t>PRIYADARSHINI INSTITUTE OF ARCHITECTURE AND DESIGN STUDIES, NAGPUR</t>
  </si>
  <si>
    <t>AutoCAD,MS Office,MS Project,Primavera,Sketchup,CostX</t>
  </si>
  <si>
    <t>Modi Srivasta and Associates | Trainee Architect | Vadodara, gujrat | Jan 2023 | Sep 2023 | 33.714285714286 Weeks</t>
  </si>
  <si>
    <t>P25700318</t>
  </si>
  <si>
    <t>Jaiswal</t>
  </si>
  <si>
    <t>Chaitanya</t>
  </si>
  <si>
    <t>Shailesh</t>
  </si>
  <si>
    <t>Jaiswal Chaitanya Shailesh</t>
  </si>
  <si>
    <t>chaitanyajaiswal23@gmail.com</t>
  </si>
  <si>
    <t>P2370762@student.nicmar.ac.in</t>
  </si>
  <si>
    <t>23-Sep-2002</t>
  </si>
  <si>
    <t>Cooking,Badminton,Reading Book</t>
  </si>
  <si>
    <t>9190 4431 9274</t>
  </si>
  <si>
    <t>SHAILESH</t>
  </si>
  <si>
    <t>VIDYA</t>
  </si>
  <si>
    <t>HOME ECONOMIST (HOUSE WIFE)</t>
  </si>
  <si>
    <t xml:space="preserve">Mudliyaar Nagar Near Vitthal Rukmini Mandir,Amravati
</t>
  </si>
  <si>
    <t>DESHMUKHWADI SHIVANE SWAMI BALAJI SOCIETY PUNE</t>
  </si>
  <si>
    <t>NARAYANDAS LADDHA HIGH SCHOOL,AMRAVATI</t>
  </si>
  <si>
    <t>DR.PANJABRAO DESHMUKH POLYTECHNIC, AMRAVATI</t>
  </si>
  <si>
    <t>SINHGAD COLLEGE OF ENGINEERING VADGAON, PUNE</t>
  </si>
  <si>
    <t>AutoCAD, Primavera P6, MS Project, Revit, Navisworks, BIM, Microsoft Excel, MS Office, MS Word</t>
  </si>
  <si>
    <t>SAI SHLOK INFRA PVT LTD  | Site Execution Intern | Silvassa - surangi | May 2026 | Jun 2026 | 8.1428571428571 Weeks | Campus Internship
Taha Construction  | Site Engineer | Amravati | Aug 2024 | Dec 2024 | 21.571428571429 Weeks
SIDDHIVINAYAK ENTERPRISES | Intern-Site Management | Pune | Jan 2025 | Mar 2025 | 8.4285714285714 Weeks</t>
  </si>
  <si>
    <t>MS Excel
Autodesk BIM Professional
Autodesk Autocad 2022
RevitÂ® For Architecture</t>
  </si>
  <si>
    <t>P25700320</t>
  </si>
  <si>
    <t>RAVI</t>
  </si>
  <si>
    <t>Rohit Ravi</t>
  </si>
  <si>
    <t>revirohit@gmaill.com</t>
  </si>
  <si>
    <t>p25700320@student.nicmar.ac.in</t>
  </si>
  <si>
    <t>31-May-2000</t>
  </si>
  <si>
    <t>ENGLISH, HINDI, KONKANI, MARATHI, MALAYALAM</t>
  </si>
  <si>
    <t>9072 0926 4469</t>
  </si>
  <si>
    <t>RAVINDRAN KORAPRETH</t>
  </si>
  <si>
    <t>LOUJA NALLAVEETIL</t>
  </si>
  <si>
    <t>VARALAXMI P.G., THIRD FLOOR, ROOM NO. 301, MAHALUNGE, BANER, PUNE-MAHARASHTRA</t>
  </si>
  <si>
    <t>TF-1, Bhanudeep Residency, Near Supermarket Complex, Ponda-Goa</t>
  </si>
  <si>
    <t>North Goa</t>
  </si>
  <si>
    <t>G. V. M'S A. J. DE ALMEIDA HIGH SCHOOL, PONDA-GOA</t>
  </si>
  <si>
    <t>GOA BOAD OF SECONDARY AND HIGHER SECONDARY EDUCATION, ALTO-BETIM, GOA</t>
  </si>
  <si>
    <t>G. V. M'S S. N. J. A. HIGHER SECONDARY SCHOOL, FARMAGUDI, PONDA-GOA</t>
  </si>
  <si>
    <t>GOA  UNIVERSITY</t>
  </si>
  <si>
    <t>DON BOSCO COLLEGE OF ENGINEERING</t>
  </si>
  <si>
    <t>AutoCAD,MS Office,MS Project,REVIT,E-TABS</t>
  </si>
  <si>
    <t>ENCUBE ETHICALS | ENGINEER | MADKAI, PONDA-GOA | Oct 2022 | Dec 2023 | 1Y 2M | 2.5
UR DREAMS | ENGINEER | VASCO | Aug 2024 | Jul 2025 | 0Y 10M | 2.16</t>
  </si>
  <si>
    <t>Sobha Ltd. | Site Execution  | Bengaluru  | May 2026 | Jul 2026 | 9 Weeks | Campus Internship</t>
  </si>
  <si>
    <t>Advance Diploma in 3D Design (Revit and E-TABS )</t>
  </si>
  <si>
    <t>P25700321</t>
  </si>
  <si>
    <t>DEVANSH</t>
  </si>
  <si>
    <t>DWIVEDI</t>
  </si>
  <si>
    <t>Devansh Dwivedi</t>
  </si>
  <si>
    <t>devanshdwivedi1504@gmail.com</t>
  </si>
  <si>
    <t>p25700321@student.nicmar.ac.in</t>
  </si>
  <si>
    <t>15-Apr-2003</t>
  </si>
  <si>
    <t>HINDI ,ENGLISH</t>
  </si>
  <si>
    <t>3265 7168 1710</t>
  </si>
  <si>
    <t>SHACHIN DWIVEDI</t>
  </si>
  <si>
    <t>N/A</t>
  </si>
  <si>
    <t>GEETIKA DWIVEDI</t>
  </si>
  <si>
    <t>POST OFFICE, 25/1, NICMAR UNIVERSITY, GATE NO.2 , N.I.A_x000D_
RAM NAGAR,, BALEWADI RD, BANER, PUNE, MAHARASHTRA 411045</t>
  </si>
  <si>
    <t>10-C Pocket-A Dilshad Garden</t>
  </si>
  <si>
    <t>SHAHEED RAJPAL DAV PUBLIC SCHOOL DAYANAND VIHAR, DELHI -110092</t>
  </si>
  <si>
    <t>CBSE DELHI / EAST DELHI</t>
  </si>
  <si>
    <t>GURU GOBIND SINGH INDRAPRASTHA UNIVERSITY- DELHI</t>
  </si>
  <si>
    <t>DR. AKHILESH DAS GUPTA INSTITUTE OF PROFESSIONAL STUDIES, NEW DELHI-110056</t>
  </si>
  <si>
    <t>GSIDC | Execution | Goa | May 2026 | Jul 2026 | 8.7142857142857 Weeks | Campus Internship
TATA PROJECTS LIMITED | N/A | TCS NOIDA-IT PARK | Jul 2024 | Aug 2024 | 5.7142857142857 Weeks
ADGIPS | Project | Delhi (college) | Aug 2024 | Apr 2025 | 38.857142857143 Weeks
Younity | Business Development Specialist | Work from home | Oct 2024 | Dec 2024 | 7.1428571428571 Weeks</t>
  </si>
  <si>
    <t>Civil Design on Auto CAD, STAAD.Pro, ETABS &amp; Revit Architecture</t>
  </si>
  <si>
    <t>P25700322</t>
  </si>
  <si>
    <t>NIDHIN</t>
  </si>
  <si>
    <t>KAILAS A</t>
  </si>
  <si>
    <t>Nidhin Kailas A</t>
  </si>
  <si>
    <t>nidhinkailasa2@gmail.com</t>
  </si>
  <si>
    <t>p25700322@student.nicmar.ac.in</t>
  </si>
  <si>
    <t>29-Jun-2002</t>
  </si>
  <si>
    <t>English, Hindi, Malayalam, Tamil(only speak and listen)</t>
  </si>
  <si>
    <t>4246 0797 9803</t>
  </si>
  <si>
    <t>K AKHIL</t>
  </si>
  <si>
    <t>GOVT SERVANT</t>
  </si>
  <si>
    <t>K DINI</t>
  </si>
  <si>
    <t>ARA-72, TC 6/2194(7), AITHADI LANE, NEAR PRASANTHNAGAR, ULLOOR TO AKKULAM ROAD, MEDICAL COLLEGE P.O., THIRUVANANTHAPURAM</t>
  </si>
  <si>
    <t>KENDRIYA VIDYALAYA PATTOM</t>
  </si>
  <si>
    <t>CBSE, KERALA</t>
  </si>
  <si>
    <t>COLLEGE OF ENGINEERING TRIVANDRUM , KERALA</t>
  </si>
  <si>
    <t>AutoCAD,MS Office,MS Project,Staad.Pro,VISSIM, Primavera, CostX, Navisworks</t>
  </si>
  <si>
    <t>ULCCS Ltd. | Student intern | Trivandrum, Kerala | May 2026 | Jun 2026 | 7.7142857142857 Weeks | Campus Internship
KERALA STATE ELECTRICITY BOARD LIMITED | STUDENT INTERN | MUNNAR, IDUKKI | Jun 2024 | Jun 2024 | 1.4285714285714 Weeks</t>
  </si>
  <si>
    <t>P25700323</t>
  </si>
  <si>
    <t>PRATHAMESH</t>
  </si>
  <si>
    <t>BHOKARE</t>
  </si>
  <si>
    <t>Prathamesh Bhokare</t>
  </si>
  <si>
    <t>pbhokare27@gmail.com</t>
  </si>
  <si>
    <t>p25700323@student.nicmar.ac.in</t>
  </si>
  <si>
    <t>27-Jul-1999</t>
  </si>
  <si>
    <t>ENGLISH , MARATHI , HINDI</t>
  </si>
  <si>
    <t>3692 2952 6474</t>
  </si>
  <si>
    <t>ANAND VASANTRAO BHOKARE</t>
  </si>
  <si>
    <t>PRIVATE WORKER</t>
  </si>
  <si>
    <t>VARSHA ANAND BHOKARE</t>
  </si>
  <si>
    <t>SHREE RAM NAGAR NEAR AMBAR HOTEL DEEPDARSHAN APT GROUND FLOOR JULE SOLAPUR , SOLAPUR</t>
  </si>
  <si>
    <t>SECONDARY AND HIGHER SECONDARY EDUCATION , PUNE , MAHARASHTRA</t>
  </si>
  <si>
    <t>DESHBHAKT HARINARAYAN BANKATLAL SONI COLLEGE</t>
  </si>
  <si>
    <t>DR.BABASAHEB AMBEDKAR TECHNOLOGICAL UNIVERSITY, LONERE , RAIGAD</t>
  </si>
  <si>
    <t>NAGESH KARAJAGI ORCHID COLLEGE OF ENGINEERING &amp; TECHNOLOGY , SOLAPUR , MAHARASHTRA</t>
  </si>
  <si>
    <t>MINISTRY OF HOUSING &amp; URBAN AFFAIRS , GOVERNMENT OF INDIA , AICTE | INTERN | SOLAPUR | Jul 2022 | Aug 2022 | 5 Weeks
Yash Construction  | Project Co-ordination Intern  | Solapur | May 2026 | Jul 2026 | 9 Weeks</t>
  </si>
  <si>
    <t>P25700324</t>
  </si>
  <si>
    <t>RITIK</t>
  </si>
  <si>
    <t>Ritik Rana</t>
  </si>
  <si>
    <t>ritikranabaldeo@gmail.com</t>
  </si>
  <si>
    <t>p25700324@student.nicmar.ac.in</t>
  </si>
  <si>
    <t>20-May-2004</t>
  </si>
  <si>
    <t>9459 5099 5506</t>
  </si>
  <si>
    <t>HARIHAR RANA</t>
  </si>
  <si>
    <t>RAJESHWARI RANA</t>
  </si>
  <si>
    <t>Village- Angai Post-Baldeo Tehsil-Mahavan District-Mathura Uttar Pradesh</t>
  </si>
  <si>
    <t>HEERA SINGH PUBLIC SCHOOL</t>
  </si>
  <si>
    <t>CBSE - MATHURA</t>
  </si>
  <si>
    <t>GREEN WILLOW PUBLIC SCHOOL</t>
  </si>
  <si>
    <t>DR. A.P.J ABDUL KALAM TECHNICAL UNIVERSITY</t>
  </si>
  <si>
    <t>B.S.A COLLEGE OF ENGINEERING AND TECHNOLOGY, MATHURA</t>
  </si>
  <si>
    <t>Montecarlo Limited  | Management Intern  | Parbhani, Maharashtra  | May 2026 | Jul 2026 | 9.4285714285714 Weeks | Campus Internship
Public Works Department | Intern  | Mathura  | Jul 2023 | Aug 2023 | 6.5714285714286 Weeks</t>
  </si>
  <si>
    <t>P25700326</t>
  </si>
  <si>
    <t>SHAILESHBHAI</t>
  </si>
  <si>
    <t>PATEL</t>
  </si>
  <si>
    <t>Soham Shaileshbhai Patel</t>
  </si>
  <si>
    <t>patelsoham722@gmail.com</t>
  </si>
  <si>
    <t>p25700326@student.nicmar.ac.in</t>
  </si>
  <si>
    <t>07-Feb-2000</t>
  </si>
  <si>
    <t>ENGLISH, HINDI, GUJARATI</t>
  </si>
  <si>
    <t>5297 4048 3458</t>
  </si>
  <si>
    <t>SHAILESH PATEL</t>
  </si>
  <si>
    <t>PRINTING SUPERVISOR</t>
  </si>
  <si>
    <t>JIGNASHA PATEL</t>
  </si>
  <si>
    <t>53,54 Jantanagar Soc. B, B/H Kapadia Health Club, New Civil Road, Bhatar, Surat</t>
  </si>
  <si>
    <t>R.S.M. POONAWALA SARVAJANIK EXPERIMENTAL SCHOOL</t>
  </si>
  <si>
    <t>GUJARAT SECONDARY AND HIGHER SECONDARY EDUCATION BOARD, SURAT</t>
  </si>
  <si>
    <t>SHREE SWAMI ATMANAND SARASWATI INSTITUTE OF TECHNOLOGY, SURAT</t>
  </si>
  <si>
    <t>AutoCAD,MS Office,MS Project,Primavera,Power bi,Excel,Revit</t>
  </si>
  <si>
    <t>Professional Engineering Services | Junior Civil Engineer | Surat, Gujarat | Nov 2021 | Apr 2023 | 1Y 5M | 1.8
AVADH GROUP | Junior Civil Engineer | Surat, Gujarat | May 2023 | Jun 2025 | 2Y 1M | 2.64</t>
  </si>
  <si>
    <t>3 Years 7 Months</t>
  </si>
  <si>
    <t>NBCC (INDIA) LIMITED | Project Intern  | Greater Noida | May 2026 | Jul 2026 | 9.5714285714286 Weeks | Campus Internship</t>
  </si>
  <si>
    <t>Revit
Auto CAD</t>
  </si>
  <si>
    <t>P25700327</t>
  </si>
  <si>
    <t>LEKHANA</t>
  </si>
  <si>
    <t>SHARADA</t>
  </si>
  <si>
    <t>Lekhana Sharada</t>
  </si>
  <si>
    <t>lekhanasharada@gmail.com</t>
  </si>
  <si>
    <t>p25700327@student.nicmar.ac.in</t>
  </si>
  <si>
    <t>26-Feb-2004</t>
  </si>
  <si>
    <t>ENGLISH,HINDI AND KANNADA</t>
  </si>
  <si>
    <t>4959 7573 4556</t>
  </si>
  <si>
    <t>PRAHLADA</t>
  </si>
  <si>
    <t>RAJANI MR</t>
  </si>
  <si>
    <t>No 19, Ganesh Mansion, 1st Cross, Kothanur Dinne Main Road, JP NAGAR 8TH PHASE</t>
  </si>
  <si>
    <t>APS PUBLIC SCHOOL</t>
  </si>
  <si>
    <t>ICSE, NEW DELHI</t>
  </si>
  <si>
    <t>VISVESWARAYA TECHNOLOGICAL UNIVERSITY</t>
  </si>
  <si>
    <t>BMS COLLEGE OF ENGINEERING, BENGALURU</t>
  </si>
  <si>
    <t>AHLUWALIA CONTRACTS INDIA LTD. | Intern  | Bengaluru  | May 2026 | Jul 2026 | 8.7142857142857 Weeks | Campus Internship
SOUTH WESTERN RAILWAY, OFFICE OF THE DEPUTY CHIEF ENGINEER (STATION DEVELOPMENT, CONSTRUCTION ORGANISATION), BENGALURU CANTONMENT | STUDENT TRAINEEâ€“ STATION DEVELOPMENT &amp; CONSTRUCTION | YESHWANTPUR RAILWAY STATION | Jul 2024 | Aug 2024 | 4.2857142857143 Weeks</t>
  </si>
  <si>
    <t>P25700328</t>
  </si>
  <si>
    <t>GIDAYE</t>
  </si>
  <si>
    <t>Gidaye Vedant Ravindra</t>
  </si>
  <si>
    <t>gidayevedant18@gmail.com</t>
  </si>
  <si>
    <t>p25700328@student.nicmar.ac.in</t>
  </si>
  <si>
    <t>05-Nov-2001</t>
  </si>
  <si>
    <t>3459 8345 0142</t>
  </si>
  <si>
    <t>RAVINDRA DHONDU GIDAYE</t>
  </si>
  <si>
    <t>GOVT. TEACHER</t>
  </si>
  <si>
    <t>ROHINI RAVINDRA GIDAYE</t>
  </si>
  <si>
    <t>SHRADDHA GARDEN,BUILDING 12, FLAT 12, GAWADE PARK, CHINCHWAD</t>
  </si>
  <si>
    <t>At/post-Devrukh ,near ASP College ,HP Gas Agency Road.</t>
  </si>
  <si>
    <t>SMT. ARUNDHATI ARUN PADHYE ENGLISH MEDIUM SCHOOL, DEVRUKH</t>
  </si>
  <si>
    <t>PADMASHREE DR. D. Y. PATIL COLLEGE OF ARCHITECTURE, AKURDI, PUNE</t>
  </si>
  <si>
    <t>AutoCAD,MS Office,MS Project,Primavera,Revit, Navisworks,SketchUp,D5 Render,Photoshop</t>
  </si>
  <si>
    <t>Avenue Architect | Architectural Intern - Redevelopment &amp; Building Sanctioning | Chinchwad, Pune | May 2026 | Jul 2026 | 8.7142857142857 Weeks | Campus Internship
Key Project | Architecture Intern | Pune | Jun 2024 | Oct 2024 | 18.571428571429 Weeks</t>
  </si>
  <si>
    <t>IGBC Accredited Professional- Associate</t>
  </si>
  <si>
    <t>P25700329</t>
  </si>
  <si>
    <t>MRUDUL</t>
  </si>
  <si>
    <t>UMAKANT</t>
  </si>
  <si>
    <t>Mrudul Umakant Bhagat</t>
  </si>
  <si>
    <t>mrudulbhagat2@gmail.com</t>
  </si>
  <si>
    <t>p25700329@student.nicmar.ac.in</t>
  </si>
  <si>
    <t>26-Mar-2002</t>
  </si>
  <si>
    <t>6593 2404 2176</t>
  </si>
  <si>
    <t>JANKI NAGAR, NEAR PETROL PUMP, KATOL, NAGPUR</t>
  </si>
  <si>
    <t>BHAGAT MRUDUL UMAKANT</t>
  </si>
  <si>
    <t>SARASWAT JUNIOR COLLEGE SAONER</t>
  </si>
  <si>
    <t>HIGHER SECONDARY CERTIFICATE</t>
  </si>
  <si>
    <t>AutoCAD, MS Office, MS Project, Primavera, SAP2000V21, STAADPRO, Revit, CostX , Naviswork</t>
  </si>
  <si>
    <t>Revespaces | Marketing Analytic and Digital Strategy Intern | Wakad , Pune | May 2026 | Jul 2026 | 8.7142857142857 Weeks | Campus Internship
MANE REALTORS PVT. LTD. | Office Work | Nagpur | Jan 2024 | Apr 2024 | 17.142857142857 Weeks</t>
  </si>
  <si>
    <t>P25700330</t>
  </si>
  <si>
    <t>HARSHDIP</t>
  </si>
  <si>
    <t>Harshdip Vikas Patil</t>
  </si>
  <si>
    <t>harshdipvpatil@rediffmail.com</t>
  </si>
  <si>
    <t>p25700330@student.nicmar.ac.in</t>
  </si>
  <si>
    <t>11-Aug-1999</t>
  </si>
  <si>
    <t>HINDI,ENGLISH &amp; MARATHI</t>
  </si>
  <si>
    <t>9747 7614 9874</t>
  </si>
  <si>
    <t>VIKAS PATIL</t>
  </si>
  <si>
    <t>POLICE</t>
  </si>
  <si>
    <t>BHARTI PATIL</t>
  </si>
  <si>
    <t>32 Jitendra Nagar, Deopur , Dhule</t>
  </si>
  <si>
    <t>JAHIND HIGHSCHOOL DHULE</t>
  </si>
  <si>
    <t>MAHARASTRA STATE BOARD OF SECONDARY AND HIGHER SECONDARY EDUCATION,PUNE</t>
  </si>
  <si>
    <t>G.D SAWANT COLLAGE ,NASHIK</t>
  </si>
  <si>
    <t>NETAJI POLYTECHNIC COLLAGE DHULE</t>
  </si>
  <si>
    <t>NORTH MAHARASHTRA UNIVERSITY JALGOAN</t>
  </si>
  <si>
    <t>SHRI JAYKUMAR RAVAL INSTISTUTE OF TECHNOLOGY DONDAICHA DHULE</t>
  </si>
  <si>
    <t>AutoCAD and construction skill and Quantity surveying</t>
  </si>
  <si>
    <t>P25700331</t>
  </si>
  <si>
    <t>PRACHI</t>
  </si>
  <si>
    <t>BHOINALLU</t>
  </si>
  <si>
    <t>Prachi Bhoinallu</t>
  </si>
  <si>
    <t>prachibhoinallu15@gmail.com</t>
  </si>
  <si>
    <t>p25700331@student.nicmar.ac.in</t>
  </si>
  <si>
    <t>15-Mar-2002</t>
  </si>
  <si>
    <t>6358 9886 5554</t>
  </si>
  <si>
    <t>JOB</t>
  </si>
  <si>
    <t>Sr. No. 13/4/5 Flat No. 25, Wing No. 3, Anandpark, Ektanagari, Anandnagar, Sinhgad Road, Pune 51</t>
  </si>
  <si>
    <t>BHOINALLU PRACHI VIJAY</t>
  </si>
  <si>
    <t>SECONDARY AND HIGHER SECONDARY EDUCATION, PUNE MAHARASHTRA</t>
  </si>
  <si>
    <t>HIGHER SECONDARY EDUCATION, PUNE MAHARASHTRA</t>
  </si>
  <si>
    <t>ZEAL POLYTECHNIC PUNE, MAHARASHTRA</t>
  </si>
  <si>
    <t>R. M. D SINHGAD SCHOOL OF ENGINEERING, PUNE MAHARASHTRA</t>
  </si>
  <si>
    <t>New Consolidated Construction Company ltd  | Planning Intern | Mumbai | May 2026 | Jul 2026 | 8.5714285714286 Weeks | Campus Internship
New Consolidated Construction Company ltd  | Planning Intern | Mumbai | May 2026 | Jul 2026 | 8.5714285714286 Weeks | Campus Internship
Son Waterproofing Co. LLP. | Billing Assistance | Pune | Jul 2024 | Nov 2024 | 20.428571428571 Weeks</t>
  </si>
  <si>
    <t>P25700332</t>
  </si>
  <si>
    <t>OM</t>
  </si>
  <si>
    <t>Om Rahul Jadhav</t>
  </si>
  <si>
    <t>omjadhav9950@gmail.com</t>
  </si>
  <si>
    <t>p25700332@student.nicmar.ac.in</t>
  </si>
  <si>
    <t>16-Mar-2003</t>
  </si>
  <si>
    <t>2769 2739 1544</t>
  </si>
  <si>
    <t>RAHUL BHIKASHETH JADHAV</t>
  </si>
  <si>
    <t>RUPALI RAHUL JADHAV</t>
  </si>
  <si>
    <t>Swpankunj Tilak Road Saraf Bazar Saraf</t>
  </si>
  <si>
    <t>MAHARASHTRA STATE BOARD OF SECONDARY AND HIGHER SECONDARY EDUCATION (MSBSHSE) , NASHIK</t>
  </si>
  <si>
    <t>UPADHYAY COLLEGE OF SCIENCE</t>
  </si>
  <si>
    <t>MIT WORLD PEACE UNIVERSITY, PUNE , MAHARASHTRA</t>
  </si>
  <si>
    <t>2027-Jun</t>
  </si>
  <si>
    <t>Dhanavade Group  | Site Executiion , Control  and Planning  | Pune | May 2026 | Jul 2026 | 8.7142857142857 Weeks | Campus Internship
MIT WORLD PEACE UNIVERSITY, PUNE | Intern | PUNE | Mar 2023 | May 2023 | 12.857142857143 Weeks
INDIAN INSTITUTE OF TECHNOLOGY BOMBAY | RESEARCH INTERN | MUMBAI | Jan 2025 | Jul 2025 | 25.714285714286 Weeks</t>
  </si>
  <si>
    <t>P25700333</t>
  </si>
  <si>
    <t>TRIBHUVAN</t>
  </si>
  <si>
    <t>SALUNKE</t>
  </si>
  <si>
    <t>Tribhuvan Sunil Salunke</t>
  </si>
  <si>
    <t>salunketribhuvan@gmail.com</t>
  </si>
  <si>
    <t>p25700333@student.nicmar.ac.in</t>
  </si>
  <si>
    <t>21-Nov-1998</t>
  </si>
  <si>
    <t>6706 6315 7654</t>
  </si>
  <si>
    <t>UJWALA</t>
  </si>
  <si>
    <t>102 Om Plaza, Laxmi Colony Old Ausa Road_x000D_</t>
  </si>
  <si>
    <t>SHRI SADANAND HIGH SCHOOL LATUR.</t>
  </si>
  <si>
    <t>VISHWESHWARAYYA ABHIYANTRIKI PADVIKA MAHAVIDYALAYA ALMALA</t>
  </si>
  <si>
    <t>K J COLLEGE OF ENGINEERING &amp; MANAGEMENT RESEARCH,PUNE</t>
  </si>
  <si>
    <t>P25700334</t>
  </si>
  <si>
    <t>VINAYAKA</t>
  </si>
  <si>
    <t>PRAKASHAPPA</t>
  </si>
  <si>
    <t>CHAPPARADALLI</t>
  </si>
  <si>
    <t>Vinayaka Prakashappa Chapparadalli</t>
  </si>
  <si>
    <t>vinayakapc83@gmail.com</t>
  </si>
  <si>
    <t>p25700334@student.nicmar.ac.in</t>
  </si>
  <si>
    <t>2391 3504 9052</t>
  </si>
  <si>
    <t>LATE FORMER</t>
  </si>
  <si>
    <t>HOUSE WORK</t>
  </si>
  <si>
    <t>GURUCHARAN PG LAXMAN NAGAR BANER, LAXMAN NAGAR, BANER, PUNE,Â MAHARASHTRA</t>
  </si>
  <si>
    <t>Haveri (Dis),Hirekerur(Tq), Ingalagondi (V) (P).</t>
  </si>
  <si>
    <t>Haveri</t>
  </si>
  <si>
    <t>BGS ENG MED SCHOOL, SHARAVATHI NAGAR SHIVAMOGGA.</t>
  </si>
  <si>
    <t>KARNATAKA SECONDARY EDUCATION EXAMINATION BOARD, KARNATAKA.</t>
  </si>
  <si>
    <t>ADICHUNCHANAGIRI PU COLLEGE, KUVEMPU ROAD SHARAVATHI NAGAR, SHIVAMOGGA.</t>
  </si>
  <si>
    <t>DEPARTMENT OF PRE-UNIVERSITY EDUCATION, KARNATAKA.</t>
  </si>
  <si>
    <t>VISHWESHVARAIH TECHNOLOGICAL UNIVERSITY(VTU)</t>
  </si>
  <si>
    <t>DAYANANDA SAGAR COLLEGE OF ENGINEERING, KUMARSWAMY LAYOUT, BENGALURU, KARNATAKA.</t>
  </si>
  <si>
    <t>AutoCAD, MS Project, Primavera, MS office.</t>
  </si>
  <si>
    <t>Varunkumar Construction | Site Engineer and QA/QC | Bengaluru  | Feb 2024 | Jan 2025 | 0Y 11M | 2.5</t>
  </si>
  <si>
    <t>Oswal Group (Vardhman Amrante Pvt. Ltd.) | QA/QC &amp; Safety Control Intern | Ludhiana, Punjab  | May 2026 | Jul 2026 | 9.5714285714286 Weeks | Campus Internship
DESIGN POINT PROJECT MANAGEMENT AND CONSULTANTS | Site Engineer | Bangalore, Karnataka | Aug 2023 | Sep 2023 | 4.4285714285714 Weeks</t>
  </si>
  <si>
    <t>P25700335</t>
  </si>
  <si>
    <t>Anuj Gautam</t>
  </si>
  <si>
    <t>anuj28gautam@gmail.com</t>
  </si>
  <si>
    <t>p25700335@student.nicmar.ac.in</t>
  </si>
  <si>
    <t>02-Aug-2003</t>
  </si>
  <si>
    <t>7741 9856 0821</t>
  </si>
  <si>
    <t>RAKESH KUMAR GAUTAM</t>
  </si>
  <si>
    <t>MALTI</t>
  </si>
  <si>
    <t>432/95B/35, Momin Nagar, Campbell Road, Lucknow</t>
  </si>
  <si>
    <t>KASIGA SCHOOL</t>
  </si>
  <si>
    <t>CBSE, DEHRADUN</t>
  </si>
  <si>
    <t>VELLORE INSTITUTE OF TECHNOLOGY, CHENNAI</t>
  </si>
  <si>
    <t>CentreTech PMC Pvt. Ltd. | Project Management Intern | Thane | May 2026 | Jul 2026 | 8.7142857142857 Weeks | Campus Internship
Suraj Builder India Pvt. Ltd. | Trainee Engineer | Lucknow | Jul 2024 | Nov 2024 | 17.571428571429 Weeks</t>
  </si>
  <si>
    <t>Finance for Non-Financial Managers
Primavera with PPM Concepts</t>
  </si>
  <si>
    <t>P25700336</t>
  </si>
  <si>
    <t>PRAGATI</t>
  </si>
  <si>
    <t>JEETENDRA</t>
  </si>
  <si>
    <t>JAGTAP</t>
  </si>
  <si>
    <t>Pragati Jeetendra Jagtap</t>
  </si>
  <si>
    <t>jagtapp087@gmail.com</t>
  </si>
  <si>
    <t>p25700336@student.nicmar.ac.in</t>
  </si>
  <si>
    <t>12-Nov-1998</t>
  </si>
  <si>
    <t>2553 8466 7012</t>
  </si>
  <si>
    <t>JEETENDRA JAGTAP</t>
  </si>
  <si>
    <t>SANDHYA JAGTAP</t>
  </si>
  <si>
    <t>B1, 501, WELWORTH CELINA SOCIETY, OFF BANER ROAD, BANER, PUNE</t>
  </si>
  <si>
    <t>House No.18B, Ward No.6 Near Sai Temple,_x000D_
Arni Road, Samta Nagar, Yavatmal</t>
  </si>
  <si>
    <t>MAHILA VIDHYALA, YAVATMAL</t>
  </si>
  <si>
    <t>MAHARASHTRA STATE BOARD OF SECONDARY AND HIGHER SECONDARY EDUCATION (SSC)</t>
  </si>
  <si>
    <t>GOVERNMENT POLYTECHNIC, YAVATMAL, MAHARASHTRA</t>
  </si>
  <si>
    <t>JAGADAMBHA COLLAGE OF ENGINEERING AND TECHNOLOGY, YAVATMAL</t>
  </si>
  <si>
    <t>AutoCAD,MS Office,MS Project,Primavera,3D modeling using Sketchup-pro,Autodesk 3DS Max,Cost-x,Coohom AI Tool</t>
  </si>
  <si>
    <t>K Group of Emperors | Interior Designer | Pune | Jun 2022 | Jan 2024 | 1Y 7M | 4</t>
  </si>
  <si>
    <t>UrbanGaon Properties Pvt. Ltd. | Project Management Intern | Jaipur, Rajasthan | May 2026 | Jul 2026 | 8.7142857142857 Weeks | Campus Internship</t>
  </si>
  <si>
    <t>AutoCAD
3D Modeling, Animation &amp; Rendering using Autodesk 3DS Max
3D Modeling using SketchUp Pro</t>
  </si>
  <si>
    <t>P25700337</t>
  </si>
  <si>
    <t>RESHANYA</t>
  </si>
  <si>
    <t>Reshanya Gautam</t>
  </si>
  <si>
    <t>gautamreshanya@gmail.com</t>
  </si>
  <si>
    <t>p25700337@student.nicmar.ac.in</t>
  </si>
  <si>
    <t>English &amp; Hindi</t>
  </si>
  <si>
    <t>6209 6984 1950</t>
  </si>
  <si>
    <t>VIJAY GAUTAM</t>
  </si>
  <si>
    <t>GAYATRI GAUTAM</t>
  </si>
  <si>
    <t>576-577 Sai Kripa Colony</t>
  </si>
  <si>
    <t>THE SHISHUKUNJ INTERNATIONAL SCHOOL</t>
  </si>
  <si>
    <t>CENTRAL BOARD OF SECONDARY EDUCATION INDORE MADHYA PRADESH</t>
  </si>
  <si>
    <t>COLUMBIA CONVENT SCHOOL</t>
  </si>
  <si>
    <t>CENTRAL BOARD OF SECONDARY EDUCATION  INDORE MADHYA PRADESH</t>
  </si>
  <si>
    <t>SRM INSTITUTE OF SCIENCE AND TECHNOLOGY CHENNAI TAMIL NADU</t>
  </si>
  <si>
    <t>Asian Paints Limited | Sale Engineering Intern  | Indore  | May 2026 | Jul 2026 | 8.7142857142857 Weeks | Campus Internship
Vidhata Associates and Gajanand Corporation Pvt Ltd | Intern | Indore  | Jul 2022 | Aug 2022 | 2.8571428571429 Weeks</t>
  </si>
  <si>
    <t>Safety in Construction
Ethics in Engineering Practice
Construction Equipment Maintenance and Safety 
Data Analysis
Finance for Non-Financial Managers</t>
  </si>
  <si>
    <t>P25700338</t>
  </si>
  <si>
    <t>KANSAL</t>
  </si>
  <si>
    <t>Krishna Kansal</t>
  </si>
  <si>
    <t>kansalkrishna2609@gmail.com</t>
  </si>
  <si>
    <t>p25700338@student.nicmar.ac.in</t>
  </si>
  <si>
    <t>5058 9782 3971</t>
  </si>
  <si>
    <t>YOGESH KANSAL</t>
  </si>
  <si>
    <t>POONAM KANSAL</t>
  </si>
  <si>
    <t>E-1055, SARASWATI VIHAR, PITAMPURA, NEW DELHI-110034</t>
  </si>
  <si>
    <t>North West Delhi</t>
  </si>
  <si>
    <t>SACHDEVA PUBLIC SCHOOL</t>
  </si>
  <si>
    <t>DELHI TECHNOLOGICAL UNIVERSITY</t>
  </si>
  <si>
    <t>DELHI TECHNOLOGICAL UNIVERSITY , DELHI</t>
  </si>
  <si>
    <t>AutoCAD,MS Office,MS Project,Primavera,REVIT,STADDPRO</t>
  </si>
  <si>
    <t>Prestige Estates Project Limited | Intern | Delhi-NCR | May 2026 | Jul 2026 | 8.5714285714286 Weeks | Campus Internship
PUSHPDEEP INFRASTRUCTURE | TRAINEE CIVIL ENGINEER | DELHI | Feb 2025 | Jun 2025 | 21.285714285714 Weeks
CENTRAL PUBLIC WORKS DEPARTMENT | TRAINEE CIVIL ENGINEER | DELHI | May 2024 | Jul 2024 | 8.4285714285714 Weeks
KBG ENGINEERS | TRAINEE CIVIL ENGINEER | JODHPUR, RAJASTHAN | Jun 2023 | Jun 2023 | 4.1428571428571 Weeks</t>
  </si>
  <si>
    <t>P25700339</t>
  </si>
  <si>
    <t>NAVANEET</t>
  </si>
  <si>
    <t>ANANT</t>
  </si>
  <si>
    <t>THORWAT</t>
  </si>
  <si>
    <t>Navaneet Anant Thorwat</t>
  </si>
  <si>
    <t>navaneetthorwat10@gmail.com</t>
  </si>
  <si>
    <t>p25700339@student.nicmar.ac.in</t>
  </si>
  <si>
    <t>ENGLISH, MARATHI, HINDI &amp; KANNADA</t>
  </si>
  <si>
    <t>6026 1052 4796</t>
  </si>
  <si>
    <t>ANJANA</t>
  </si>
  <si>
    <t>SHANKAR NAGAR NIDASOSHI ROAD,NEAR JOTHIBHA TEMPLE, SANKESHWAR</t>
  </si>
  <si>
    <t>Belgaum</t>
  </si>
  <si>
    <t>41321 - S S (K) PATIL ENG MED SCH SANKESHWAR BELGAUM KK</t>
  </si>
  <si>
    <t>SNJPSNMS INDP PU COLLEGE, NIDASOSHI HUKKERI TQ, BELGAUM DT 591236</t>
  </si>
  <si>
    <t>KLE TECHNOLOGICAL UNIVERSITY, HUBBALLI, KARNATAKA, INDIA.</t>
  </si>
  <si>
    <t>HalleysBlue Pvt. Ltd | Graduate Engineer Trainee | Bangalore  | Jun 2024 | Jun 2025 | 1Y 0M | 3.69</t>
  </si>
  <si>
    <t>B.G. SHIRKE CONSTRUCTION TECHNOLOGY PVT. LTD. | Management Trainee | Goregaon West, Mumbai. | May 2026 | Jul 2026 | 8.7142857142857 Weeks | Campus Internship
SHRIYA PROPERTIES | SITE ENGINEER | HUBBALLI | Jan 2024 | Mar 2024 | 8.4285714285714 Weeks</t>
  </si>
  <si>
    <t>P25700340</t>
  </si>
  <si>
    <t>RONAK</t>
  </si>
  <si>
    <t>NITIN</t>
  </si>
  <si>
    <t>Ronak Nitin Rajput</t>
  </si>
  <si>
    <t>p25700340@student.nicmar.ac.in</t>
  </si>
  <si>
    <t>11-Dec-2002</t>
  </si>
  <si>
    <t>ENGLISH ,MARATHI, HINDI</t>
  </si>
  <si>
    <t>5232 5670 9852</t>
  </si>
  <si>
    <t>GANDHI NAGAR ,MALKAPUR</t>
  </si>
  <si>
    <t>DNYANADA ENGLISH SCHOOL</t>
  </si>
  <si>
    <t>CENTRAL BOARD OF SECONDARY EDUCATION, AURANGABAD, MAHARASTRA</t>
  </si>
  <si>
    <t>VIDYA VIKAS JR. COLLEGE OF ART &amp; SCIENCE</t>
  </si>
  <si>
    <t>MAHARASTRA STATE BOARDOF SECONDARY  AND HIGHER SECONDARY EDUCATION,BULDANA, MAHARASTRA</t>
  </si>
  <si>
    <t>D. Y. PATIL COLLEGE OF ENGINEERING, AKURDI</t>
  </si>
  <si>
    <t>MS Office,MS Project,Primavera,MS Excel</t>
  </si>
  <si>
    <t>SAI SHLOK INFRA PVT LTD  | Intern | Surangi, Silvassa  | May 2026 | Jun 2026 | 8.1428571428571 Weeks | Campus Internship
MAHARASHTRA METRO RAIL CORPORATION LTD. | INTERN | PUNE | Dec 2023 | Jan 2024 | 4.4285714285714 Weeks</t>
  </si>
  <si>
    <t>Ethics in Engineering Practice
Project Management Professional (PMP)
Business Analysis &amp; Process Management
Renewable Energy and Green Building Entrepreneurship
Finance for Non- Financial Managers</t>
  </si>
  <si>
    <t>P25700341</t>
  </si>
  <si>
    <t>NINAD</t>
  </si>
  <si>
    <t>Shinde Ninad Nikhil</t>
  </si>
  <si>
    <t>ninadshinde2803@gmail.com</t>
  </si>
  <si>
    <t>p25700341@student.nicmar.ac.in</t>
  </si>
  <si>
    <t>4700 3173 4781</t>
  </si>
  <si>
    <t>SUMEDHA</t>
  </si>
  <si>
    <t>907,KSHIRSAGAR SPHURTI,_x000D_
Khan Bhag,_x000D_
Kshirsagar Galli,_x000D_
VTC: Sangli,_x000D_
PO: Sangli,_x000D_
District: Sangli,_x000D_
State:Â Maharashtra,</t>
  </si>
  <si>
    <t>SOU SUNDARABAI SHANKARLAL MALU ENGLISH MEDIUM SCHOOL, HARIPUR, SANGLI</t>
  </si>
  <si>
    <t>KOLHAPUR DIVISIONAL BOARD/ MAHARASHTRA</t>
  </si>
  <si>
    <t>ARVADE HIGHSCHOOL, SANGLI</t>
  </si>
  <si>
    <t>D.BATU</t>
  </si>
  <si>
    <t>PADMABHOOSHAN VASANTRAODADA PATIL INSTITUTE OF TECHNOLOGY, BUDHGAON, SANGLI</t>
  </si>
  <si>
    <t>P25700342</t>
  </si>
  <si>
    <t>GHANSHYAM</t>
  </si>
  <si>
    <t>RAGHUNATH</t>
  </si>
  <si>
    <t>Ghanshyam Raghunath Patil</t>
  </si>
  <si>
    <t>grpatil512002@gmail.com</t>
  </si>
  <si>
    <t>p25700342@student.nicmar.ac.in</t>
  </si>
  <si>
    <t>05-Jan-2002</t>
  </si>
  <si>
    <t>6624 9853 1776</t>
  </si>
  <si>
    <t>RAGHUNATH PATIL</t>
  </si>
  <si>
    <t>FLAT NO. - 506, SARTHI SKYBAY C- WING, MAHALUNGE BALEWADI DIST. - PUNE</t>
  </si>
  <si>
    <t>A/P Avandhi, Tal. - Jath, Dist. - Sangli</t>
  </si>
  <si>
    <t>SHREE BHAVANI VIDYALAYA ATPADI.</t>
  </si>
  <si>
    <t>SANGLI/ MAHARASHTRA</t>
  </si>
  <si>
    <t>LAXMIDEVI PRIMARY, SECONDARY AND HIGHER EDUCATION</t>
  </si>
  <si>
    <t>SANGOLA/ MARASHTRA</t>
  </si>
  <si>
    <t>DR. BABASAHEB AMBEDKAR TECHNOLOGICAL UNIVERSITY, LONARE</t>
  </si>
  <si>
    <t>PADMABHOOSHAN VASANTRAO DADA PATIL INSTITUTE OF TECHNOLOGY, BUDHGAON</t>
  </si>
  <si>
    <t>Sobha Limited | Site Execution | Thrissur, Kerala | May 2026 | Jul 2026 | 9 Weeks | Campus Internship</t>
  </si>
  <si>
    <t>P25700343</t>
  </si>
  <si>
    <t>PRAJIT</t>
  </si>
  <si>
    <t>Prajit S S</t>
  </si>
  <si>
    <t>prajitss03@gmail.com</t>
  </si>
  <si>
    <t>p25700343@student.nicmar.ac.in</t>
  </si>
  <si>
    <t>05-Sep-2003</t>
  </si>
  <si>
    <t>7227 8445 0768</t>
  </si>
  <si>
    <t>SIVAKUMAR</t>
  </si>
  <si>
    <t>SHANMUGAVADIVU</t>
  </si>
  <si>
    <t>125, Veppankattuthottam, Uppilipalayam, K G Valasu Post, Murungatholuvu</t>
  </si>
  <si>
    <t>Erode</t>
  </si>
  <si>
    <t>THE INDIAN PUBLIC SCHOOL</t>
  </si>
  <si>
    <t>CENTRAL BOARD OF SECONDARY EDUCATION, TAMIL NADU</t>
  </si>
  <si>
    <t>THE SUGUNA PIP SCHOOL</t>
  </si>
  <si>
    <t>AMRITA VISHWA VIDYAPEETHAM</t>
  </si>
  <si>
    <t>J Kumar InfraProjects Ltd | Project Management Intern | Chennai | May 2026 | Jul 2026 | 9.7142857142857 Weeks | Campus Internship
URC CONSTRUCTIONS (P) LTD | INTERN | CHENNAI | Jun 2024 | Jun 2024 | 2.4285714285714 Weeks
SRI MURUGAN CONSTRUCTIONS | PROJECT ASSISTANT INTERN | ERODE | May 2025 | Jun 2025 | 8.5714285714286 Weeks
L&amp;T EDUTECH | INTERN | CHENNAI | Jun 2024 | Jul 2024 | 1.5714285714286 Weeks</t>
  </si>
  <si>
    <t>Sustainable Design Of Buildings
Principles of Construction Management</t>
  </si>
  <si>
    <t>P25700344</t>
  </si>
  <si>
    <t>AMRUT</t>
  </si>
  <si>
    <t>KHALSE</t>
  </si>
  <si>
    <t>Rushikesh Amrut Khalse</t>
  </si>
  <si>
    <t>rakhalse@gmail.com</t>
  </si>
  <si>
    <t>p25700344@student.nicmar.ac.in</t>
  </si>
  <si>
    <t>06-Dec-1999</t>
  </si>
  <si>
    <t>7430 9272 6866</t>
  </si>
  <si>
    <t>VIJAYA</t>
  </si>
  <si>
    <t>BHAVANI GALLI SHENDURNI TAL-JAMNER DIST-JALGAON</t>
  </si>
  <si>
    <t>A.G.R.G.M.VIDYALAYA SHENDURNI</t>
  </si>
  <si>
    <t>SIDDHIVINAYAK TECHNICAL CAMPUS</t>
  </si>
  <si>
    <t>SAVITRIBAI PHULE UNIVERSITY PUNE UNIVERSITY</t>
  </si>
  <si>
    <t>SINHGAD ACADEMY OF ENGINEERING</t>
  </si>
  <si>
    <t>AutoCAD,MS Office,MS Project,Primavera,PHOTOSHOP,GRAPHIC DESIGN</t>
  </si>
  <si>
    <t>Deshpande landmark private limited | Project Engineer | Kothrud,Pune | May 2023 | Oct 2024 | 1Y 5M | 2.04</t>
  </si>
  <si>
    <t>SR VASTU | Management Intern | Pune | May 2026 | Jul 2026 | 8.7142857142857 Weeks | Campus Internship</t>
  </si>
  <si>
    <t>P25700345</t>
  </si>
  <si>
    <t>PRAKSHALE</t>
  </si>
  <si>
    <t>Ayush Dilip Prakshale</t>
  </si>
  <si>
    <t>ayushprakshale@gmail.com</t>
  </si>
  <si>
    <t>p25700345@student.nicmar.ac.in</t>
  </si>
  <si>
    <t>30-Apr-2003</t>
  </si>
  <si>
    <t>4397 2463 5817</t>
  </si>
  <si>
    <t>DILIP SHAMRAO PRAKSHALE</t>
  </si>
  <si>
    <t>GOVERNMENT OFFICER</t>
  </si>
  <si>
    <t>SHAILAJA DILIP PRAKSHALE</t>
  </si>
  <si>
    <t>B 204 PRAKASH DEEP , NEAR NARAYANI DHAM MANDIR , KATRAJ , PUNE 411046</t>
  </si>
  <si>
    <t>PAWAR PUBLIC SCHOOL</t>
  </si>
  <si>
    <t>GOVERNMENT POLYTECHNIC PUNE, MAHARSHTRA</t>
  </si>
  <si>
    <t>DR.VISHWANATH KARAD MIT WORLD PEACE UNIVERSITY , PUNE , MAHARASHTRA</t>
  </si>
  <si>
    <t>Primavera ,Cost X ,Revit ,Microsoft Project , eTabs(Basic Modelling) , AutoCAD ,MS Office ,</t>
  </si>
  <si>
    <t xml:space="preserve"> Savvy Infrastructure Pvt. Ltd. | Quality Assurance &amp; Quality Control Intern | Gift City ,Gujarat | May 2026 | Jul 2026 | 8.7142857142857 Weeks | Campus Internship
SOIL AND WATER CONSERVATION DEPARTMENT ,GOVERNMENT OF MAHARASHTRA | SITE INTERN | KONDI, SOLAPUR | Jan 2025 | Jul 2025 | 25.857142857143 Weeks</t>
  </si>
  <si>
    <t>ISO 9001:2015 QMS Implementation and Auditing Practices
Managing Project Life Cycle with Primavera
Foundations of Project Management
Operations Management
IGBC Green Buildings &amp; Built Environment
Strategic Management
Certificate of Completion Talking to AI Prompt Engineering for Project Managers</t>
  </si>
  <si>
    <t>P25700346</t>
  </si>
  <si>
    <t>KAVYA</t>
  </si>
  <si>
    <t>NARAYANAN</t>
  </si>
  <si>
    <t>Kavya Narayanan</t>
  </si>
  <si>
    <t>kavya.hyd2019@gmail.com</t>
  </si>
  <si>
    <t>p25700346@student.nicmar.ac.in</t>
  </si>
  <si>
    <t>21-Jun-2001</t>
  </si>
  <si>
    <t>English, Hindi, Tamil</t>
  </si>
  <si>
    <t>5882 0135 5743</t>
  </si>
  <si>
    <t>JAI NARAYANAN SRINIVASAN</t>
  </si>
  <si>
    <t>SRIVIDYA NARAYANAN</t>
  </si>
  <si>
    <t>Flat 108, Lilac Tower, L And T Serene County, Telecom Nagar, Near Urdu University, Gachibowli</t>
  </si>
  <si>
    <t>MERIDIAN SCHOOL HYDERABAD RR DISTRICT</t>
  </si>
  <si>
    <t>CENTRAL BOARD OF SECONDARY EDUCATION , HYDERABAD</t>
  </si>
  <si>
    <t>CHIREC PUBLIC SCHOOL KONDAPUR HYDERABAD</t>
  </si>
  <si>
    <t>MANIPAL ACADEMY OF HIGHER EDUCATION</t>
  </si>
  <si>
    <t>MANIPAL SCHOOL OF ARCHITECTURE AND PLANNING , MANIPAL , KARNATAKA</t>
  </si>
  <si>
    <t>MS Project, MS Office, Primavera, Power BI, AutoCAD, Autodesk Revit, Sketchup, Twinmotion</t>
  </si>
  <si>
    <t>KPMG India | Summer Intern in Transformation - MPA team | Hyderabad | May 2026 | Jun 2026 | 7.5714285714286 Weeks | Campus Internship
SPaN Associates | Architectural Intern | Hyderabad | Jan 2023 | Jun 2023 | 25.571428571429 Weeks</t>
  </si>
  <si>
    <t xml:space="preserve">Solar Decathlon India 2021-22: Online Learning Modules on Net Zero Energy and Water Buildings </t>
  </si>
  <si>
    <t>P25700347</t>
  </si>
  <si>
    <t>RAJDEEPSING</t>
  </si>
  <si>
    <t>DINKAR</t>
  </si>
  <si>
    <t>Rajdeepsing Dinkar Patil</t>
  </si>
  <si>
    <t>rajdeep.patil1109@gmail.com</t>
  </si>
  <si>
    <t>p25700347@student.nicmar.ac.in</t>
  </si>
  <si>
    <t>8885 8156 4168</t>
  </si>
  <si>
    <t>DINKAR T PATIL</t>
  </si>
  <si>
    <t>RAJSHREE PATIL</t>
  </si>
  <si>
    <t>Rajdeep Banglow,Plot No 21 To 26A, RD Circle, Karmyogi Nager, Nashik 422008</t>
  </si>
  <si>
    <t>MARATHA HIGHSCHOOL NASHIK</t>
  </si>
  <si>
    <t>KTHM COLLAGE NASHIK</t>
  </si>
  <si>
    <t>MIT ACADEMY OF ENGINEERING,ALANDI,PUNE</t>
  </si>
  <si>
    <t>AutoCAD,MS Office,REVIT,ETABS</t>
  </si>
  <si>
    <t>Singhania Buildcon Pvt. Ltd. | Project Intern – Site Execution control  &amp; Planning | Raipur, Chhattisgarh | May 2026 | Jul 2026 | 8.7142857142857 Weeks | Campus Internship
Winntus Aluminium Formwork | Design Engineer  | Pune  | Jan 2025 | May 2025 | 21.285714285714 Weeks
NIRMITI CONSULTANTS PVT.LTD | SITE ENGINEER | NASHIK | Jun 2024 | Jul 2024 | 4.2857142857143 Weeks</t>
  </si>
  <si>
    <t>Autodesk Revit For Architecture
Autocad Certification Course</t>
  </si>
  <si>
    <t>P25700348</t>
  </si>
  <si>
    <t>MANTHAN</t>
  </si>
  <si>
    <t>DAHIWALE</t>
  </si>
  <si>
    <t>Manthan Dahiwale</t>
  </si>
  <si>
    <t>manthan12@gmail.com</t>
  </si>
  <si>
    <t>p25700348@student.nicmar.ac.in</t>
  </si>
  <si>
    <t>12-Aug-1999</t>
  </si>
  <si>
    <t>8129 4805 0309</t>
  </si>
  <si>
    <t>CHITRA</t>
  </si>
  <si>
    <t>C-302, Kandpile Residency Near Sbi Atm Takka Panvel</t>
  </si>
  <si>
    <t>MPSC COLLEGE</t>
  </si>
  <si>
    <t>STATE BOARD</t>
  </si>
  <si>
    <t>SHANTINIKETAN POLYTECHNIC, MUMBAI</t>
  </si>
  <si>
    <t>MGM COLLEGE OF ENGINEERING</t>
  </si>
  <si>
    <t>Rajshree Construction Consortium | Junior Engineer | Mumbai | Jan 2024 | Sep 2024 | 0Y 8M | 2.52
Visiontech Construction | Project Engineer | Mumbai | Oct 2024 | Jun 2025 | 0Y 8M | 3</t>
  </si>
  <si>
    <t>Kedar Buildcon Builders &amp; Developers | Site Intern | Mumbai | Nov 2022 | Feb 2023 | 13.142857142857 Weeks</t>
  </si>
  <si>
    <t>P25700349</t>
  </si>
  <si>
    <t>ROBIN</t>
  </si>
  <si>
    <t>Robin Singh</t>
  </si>
  <si>
    <t>robinsingh6250@gmail.com</t>
  </si>
  <si>
    <t>p25700349@student.nicmar.ac.in</t>
  </si>
  <si>
    <t>15-Sep-1998</t>
  </si>
  <si>
    <t>4768 5712 8424</t>
  </si>
  <si>
    <t>SAJEEWAN SINGH</t>
  </si>
  <si>
    <t>SUSHEELA SINGH</t>
  </si>
  <si>
    <t>Indira Nagar Nyotani Unnao</t>
  </si>
  <si>
    <t>Unnao</t>
  </si>
  <si>
    <t>K R B SINGH INTER COLLEGE</t>
  </si>
  <si>
    <t>UTTAR PRADESH STATE BOARD OF HIGH SCHOOL AND INTERMEDIATE EDUCATION</t>
  </si>
  <si>
    <t>DR. A.P.J ABDUL KALAM TECHNICAL UNIVERSITY, UP</t>
  </si>
  <si>
    <t>BANSAL INSTITUTE OF ENGINEERING &amp; TECHNOLOGY</t>
  </si>
  <si>
    <t>AutoCAD,MS Office,Microsoft Excel, Primavera P6, Revit, Cost X</t>
  </si>
  <si>
    <t>Neccon Power &amp; Infra Ltd | Civil Engineer | Hajo Assam | Nov 2021 | Feb 2025 | 3Y 2M | 3.6
Quess Corp Limited | Civil Engineer | Velgatoor Telangana | Feb 2025 | Jul 2025 | 0Y 4M | 4.85</t>
  </si>
  <si>
    <t>Kayne Bio Sciences Ltd. | Project Execution Intern | Hyderabad | May 2026 | Jul 2026 | 8.7142857142857 Weeks | Campus Internship
U. P Rajkiya Nirmad Nigam Limited Lucknow Uttar Pradesh. | Summer Trainee | Lucknow | Jul 2018 | Jul 2018 | 4.1428571428571 Weeks
Research Designs and standards organisation Manak Nagar Lucknow Uttar Pradesh | Summer Trainee | Lucknow | Jun 2019 | Jul 2019 | 5.5714285714286 Weeks</t>
  </si>
  <si>
    <t>P25700350</t>
  </si>
  <si>
    <t>YADHUKRISHNAN</t>
  </si>
  <si>
    <t>Yadhukrishnan R</t>
  </si>
  <si>
    <t>yadhukrishnanr4@gmail.com</t>
  </si>
  <si>
    <t>p25700350@student.nicmar.ac.in</t>
  </si>
  <si>
    <t>04-May-1999</t>
  </si>
  <si>
    <t>English,Malayalam,Hindi</t>
  </si>
  <si>
    <t>4990 5447 0974</t>
  </si>
  <si>
    <t>RAGHAVA PANICKER</t>
  </si>
  <si>
    <t>GROCERY SHOP</t>
  </si>
  <si>
    <t>REMADEVI RAGHAVA PANICKER</t>
  </si>
  <si>
    <t>Cheruppillil House, Edayakunnam, South Chittoor P O, Ernakulam</t>
  </si>
  <si>
    <t>AMRITA VIDYALAYAM</t>
  </si>
  <si>
    <t>CENTRAL BOARD OF SECONDARY EDUCATION , ERNAKULAM- KERALA</t>
  </si>
  <si>
    <t>SCMS SCHOOL OF ENGINEERING AND TECHNOLOGY, ERNAKULAM-KERALA</t>
  </si>
  <si>
    <t>AutoCAD,MS Office,Internal QMS Auditor (ISO-9001:2015),Concrete Mix design</t>
  </si>
  <si>
    <t>Larsen and Toubro | Senior Engineer | Meghalaya and Assam | Oct 2022 | Jul 2025 | 2Y 8M | 8.28</t>
  </si>
  <si>
    <t>Sobha Limited | Planning Intern | Bangalore | May 2026 | Jul 2026 | 9 Weeks | Campus Internship
NESTABIDE | Trainee | Ernakulam | Dec 2021 | Jul 2022 | 29.142857142857 Weeks</t>
  </si>
  <si>
    <t>Internal QMS Auditor (ISO-9001-2015)</t>
  </si>
  <si>
    <t>P25700351</t>
  </si>
  <si>
    <t>ZAMBRE</t>
  </si>
  <si>
    <t>SANJIV</t>
  </si>
  <si>
    <t>Zambre Sarthak Sanjiv</t>
  </si>
  <si>
    <t>zambresarthak@gmail.com</t>
  </si>
  <si>
    <t>p25700351@student.nicmar.ac.in</t>
  </si>
  <si>
    <t>23-May-2003</t>
  </si>
  <si>
    <t>2091 0417 0352</t>
  </si>
  <si>
    <t>SANJIV ZAMBRE</t>
  </si>
  <si>
    <t>MANISHA ZAMBRE</t>
  </si>
  <si>
    <t>Vasantdada Sugar Factory Ctype 4/R11 Madhavnagar Road Sangli</t>
  </si>
  <si>
    <t>SANGLI HIGHSCHOOL, SANGLI</t>
  </si>
  <si>
    <t>MAHARASHTRA STATE BOARD OF SECONDARY AND HIGHER SECONDARY EDUCATION, PUNE, MAHARASHTRA.</t>
  </si>
  <si>
    <t>SHIVAJI UNIVERSITY , KOLHAPUR</t>
  </si>
  <si>
    <t>RAJARAMBAPU INSTITUTE OF TECHNOLOGY, RAJARAMNAGAR (SAKHARALE), WALWA, DIST-SANGLI,MAHARASHTRA.</t>
  </si>
  <si>
    <t>AutoCAD,MS Office,MS Project,Primavera,staadpro,Costx</t>
  </si>
  <si>
    <t>GNY Group  | Summer Intern | Chhatrapati Sambhajinagar. | May 2026 | Jul 2026 | 8.7142857142857 Weeks | Campus Internship
MB CONSTRUCTION HOUSE | SITE ENGINEER | SANGLI | Aug 2023 | Aug 2023 | 2.4285714285714 Weeks</t>
  </si>
  <si>
    <t>Ethics in Engineering Practice
Finance for non-Financial Managers
Foundations of Project Management
German-I</t>
  </si>
  <si>
    <t>P25700352</t>
  </si>
  <si>
    <t>SARVESH</t>
  </si>
  <si>
    <t>CHAUDHARI</t>
  </si>
  <si>
    <t>Sarvesh Rajesh Chaudhari</t>
  </si>
  <si>
    <t>sarveshchaudhari194@gmail.com</t>
  </si>
  <si>
    <t>p25700352@student.nicmar.ac.in</t>
  </si>
  <si>
    <t>05-Mar-2000</t>
  </si>
  <si>
    <t>8625 5103 4513</t>
  </si>
  <si>
    <t>RAJESH MADHUKAR CHAUDHARI</t>
  </si>
  <si>
    <t>CENTRAL RAILWAY EMPLOYEE</t>
  </si>
  <si>
    <t>SUREKHA RAJESH CHAUDHARI</t>
  </si>
  <si>
    <t>VTP ATHEREOUS T1, MHALUNGE HI-TECH CITY, MAIN ENTRANCE HINJEWADI PHASE 1 ROAD, MAHALUNGE, MAAN</t>
  </si>
  <si>
    <t>'Shree Smaran', Ganeshpuri, Behind Sonichaawadi, Jamner Road, Bhusawal,</t>
  </si>
  <si>
    <t>GODAVARI FOUNDATION, DR. ULHAS PATIL ENGLISH MEDIUM SCHOOL, BHUSAWAL, MAHARASHTRA, 425201</t>
  </si>
  <si>
    <t>BABASAHEB UTANGALE JUNIOR COLLEGE OF SCIENCE, AKOLA, MAHARASHTRA, 444302.</t>
  </si>
  <si>
    <t>MAHARASHTA BOARD OF SECONDARY &amp; HIGHER SECONDARY EDUCATION, PUNE.</t>
  </si>
  <si>
    <t>DATTA MEGHE COLLEGE OF ENGINEERING, AIROLI, NAVI MUMBAI, 400708.</t>
  </si>
  <si>
    <t>AutoCAD,MS Office,MS Project,MS Power BI</t>
  </si>
  <si>
    <t>Marathon Realty Pvt. Ltd. | Project Planning &amp; Execution | Mulund Head office, Mumbai | Dec 2021 | Jul 2025 | 3Y 6M | 4.6</t>
  </si>
  <si>
    <t>3 Years 6 Months</t>
  </si>
  <si>
    <t>Deloitte Touche Tohmatsu India LLP | Intern | Mumbai | May 2026 | Jul 2026 | 8.5714285714286 Weeks | Campus Internship
CITY AND INDUSTRIAL DEVELOPMENT CORPORATION OF MAHARASHTRA LIMITED | INTERN | PUSHPAK NAGAR, DAPOLI, NAVI MUMBAI | Dec 2019 | Jan 2020 | 4.5714285714286 Weeks</t>
  </si>
  <si>
    <t>Computing &amp; Typing English (30WPM)
Maharashtra State Certificate In Information Technology (MS-CIT)
MS Excel
Autocad 2D &amp; 3D
Power BI</t>
  </si>
  <si>
    <t>P25700353</t>
  </si>
  <si>
    <t>NAKUL</t>
  </si>
  <si>
    <t>RAMKISAN</t>
  </si>
  <si>
    <t>Ingle Nakul Ramkisan</t>
  </si>
  <si>
    <t>nakulingle5@gmail.com</t>
  </si>
  <si>
    <t>p25700353@student.nicmar.ac.in</t>
  </si>
  <si>
    <t>11-Aug-2002</t>
  </si>
  <si>
    <t>3791 6472 1776</t>
  </si>
  <si>
    <t>RAMKISAN PARMESHWAR INGLE</t>
  </si>
  <si>
    <t>MEENA RAMKISAN INGLE</t>
  </si>
  <si>
    <t>FLAT NO B- 702 , KAVERI APARTMENT, MHADA COLONY, NEAR SNBP INTERNATIONAL SCHOOL MORWADI, PIMPRI, PUNE</t>
  </si>
  <si>
    <t>At.Pentakali, Po. Hiwara Aashram, Tq. Mehkar, Dist. Buldhana. Maharashtra. Pin - 443301</t>
  </si>
  <si>
    <t>CHATRAPATI SHAHU MAHARAJ VIDYALAYA, PENTAKALI</t>
  </si>
  <si>
    <t>CUSROW WADIA INSTITUTE OF TECHNOLOGY, PUNE</t>
  </si>
  <si>
    <t>DR. D. Y. PATIL INSTITUTE OF TECHNOLOGY, PIMPRI, PUNE</t>
  </si>
  <si>
    <t>AutoCAD,MS Office,MS Project,Primavera,Autodesk Revit,MS Excel,AutoCAD 3D,BIM,CostX</t>
  </si>
  <si>
    <t>Kolte Patil Developer's limited  | Construction &amp; Operation Department - Intern | Wagholi, Pune | May 2026 | Jul 2026 | 9.7142857142857 Weeks | Campus Internship
INFRAKING CONSULTING ENGINEERS PVT.LTD | Project Management Assistant | Pune, Maharashtra | Feb 2023 | Mar 2023 | 4.1428571428571 Weeks</t>
  </si>
  <si>
    <t>Certificate Course in AutoCAD
Certificate Course In REVIT</t>
  </si>
  <si>
    <t>P25700354</t>
  </si>
  <si>
    <t>BHOOMIKA</t>
  </si>
  <si>
    <t>Bhoomika M S</t>
  </si>
  <si>
    <t>bhoomibhoomika772001@gmail.com</t>
  </si>
  <si>
    <t>p25700354@student.nicmar.ac.in</t>
  </si>
  <si>
    <t>07-Jul-2001</t>
  </si>
  <si>
    <t>English, Hindi, Kannada and Telugu</t>
  </si>
  <si>
    <t>6308 8158 5594</t>
  </si>
  <si>
    <t>SATISH BABU M S</t>
  </si>
  <si>
    <t>V KATHYAYINI</t>
  </si>
  <si>
    <t>#59, 1st Stage 18A Cross, E Block, Mahendra Enclave, Near Kavitha Bakery, JP Nagar</t>
  </si>
  <si>
    <t>CHAITRA HIGH SCHOOL</t>
  </si>
  <si>
    <t>THE NATIONAL INSTITUTE OF ENGINEERING</t>
  </si>
  <si>
    <t>MS Project, Primavera P6, Building Information Modelling (BIM), AutoCAD, MS Office</t>
  </si>
  <si>
    <t>Nina Percept Pvt Ltd (A subsidiary of Pidilite Industries Ltd) | Executive - Project Planning, Monitoring &amp; Controls | Bengaluru/ Mumbai | Aug 2023 | Jan 2025 | 1Y 4M | 3.2
Eleganz Interiors Ltd | Project Coordinator | Bengaluru | Jan 2025 | Jun 2025 | 0Y 5M | 5.4</t>
  </si>
  <si>
    <t>Prestige Estates Projects Limited | Site and Project Planning Intern | Bengaluru | May 2026 | Jul 2026 | 8.5714285714286 Weeks | Campus Internship
PUBLIC WORKS DEPARTMENT OFFICE, MYSURU | INTERNSHIP TRAINEE | MYSURU | Aug 2022 | Sep 2022 | 6.1428571428571 Weeks</t>
  </si>
  <si>
    <t>P25700355</t>
  </si>
  <si>
    <t>GATADE</t>
  </si>
  <si>
    <t>Vivek Sachin Gatade</t>
  </si>
  <si>
    <t>vivekgatade0909@gmail.com</t>
  </si>
  <si>
    <t>p25700355@student.nicmar.ac.in</t>
  </si>
  <si>
    <t>16-Jan-2003</t>
  </si>
  <si>
    <t>English, Hindi,Marathi</t>
  </si>
  <si>
    <t>6348 6670 0954</t>
  </si>
  <si>
    <t>CONSTRUCTION BUSINESS</t>
  </si>
  <si>
    <t>Babasaheb Patil Colony, Plot No. 90, Near Datt Mandir, Manermala, Unchgaon, Kolhapur.</t>
  </si>
  <si>
    <t>ROYAL ENGLISH MEDIUM SCHOOL, UNCHAGAON, KOLHAPUR</t>
  </si>
  <si>
    <t>MAHARASHTRA STATE BOARD OF SECONDARY AND  HIGHER SECONDARY EDUCATION ,PUNE</t>
  </si>
  <si>
    <t>D Y PATIL COLLEGE OF ENGINEERING AND TECHNOLOGY, KOLHAPUR</t>
  </si>
  <si>
    <t>AutoCAD,MS Office,MS Project,Revit (Arch.)</t>
  </si>
  <si>
    <t>Kolte-Patil Developers LTD. | Construction and Operation Department | Pune  | May 2026 | Jul 2026 | 9.7142857142857 Weeks | Campus Internship
DIKSHA CONSTRUCTION | SITE EXECUTION | KOLHAPUR | Jun 2024 | Jul 2024 | 4.2857142857143 Weeks</t>
  </si>
  <si>
    <t>MS-CIT
Rivet
AutoCAD
Finance For Non-Financial Managers</t>
  </si>
  <si>
    <t>P25700356</t>
  </si>
  <si>
    <t>Rushikesh Atul Jagtap</t>
  </si>
  <si>
    <t>rushiatul@gmail.com</t>
  </si>
  <si>
    <t>p25700356@student.nicmar.ac.in</t>
  </si>
  <si>
    <t>8442 2391 5724</t>
  </si>
  <si>
    <t>ATUL JAGTAP</t>
  </si>
  <si>
    <t>SELF-EMPLOYED</t>
  </si>
  <si>
    <t>SUMATI JAGTAP</t>
  </si>
  <si>
    <t>B/104, Jijau CHS, Sec- 17, Kamothe, Panvel.</t>
  </si>
  <si>
    <t>MNR SCHOOL OF EXCELLENCE</t>
  </si>
  <si>
    <t>GOVERNMENT POLYTECHNIC THANE, MUMBAI</t>
  </si>
  <si>
    <t>SARASWATI COLLEGE OF ENGINEERING, KHARGHAR, MAHARASHTRA</t>
  </si>
  <si>
    <t>AutoCAD,MS Office,MS Project,Revit,qgis</t>
  </si>
  <si>
    <t>Girish Enterprises Pvt. Ltd. | Trainee | Dronagiri, JNPT, Navi Mumbai | Jan 2022 | Mar 2022 | 6.1428571428571 Weeks
BG Shirke Construction Technology Pvt. Ltd. | Trainee | Taloja, Navi Mumbai | Feb 2021 | Feb 2021 | 2.1428571428571 Weeks</t>
  </si>
  <si>
    <t>Autodesk Revit
NPTEL Design of Steel Structures</t>
  </si>
  <si>
    <t>P25700357</t>
  </si>
  <si>
    <t>PAL</t>
  </si>
  <si>
    <t>MITUL</t>
  </si>
  <si>
    <t>DESAI</t>
  </si>
  <si>
    <t>Pal Mitul Desai</t>
  </si>
  <si>
    <t>paldesai321@gmail.com</t>
  </si>
  <si>
    <t>p25700357@student.nicmar.ac.in</t>
  </si>
  <si>
    <t>31-Aug-2003</t>
  </si>
  <si>
    <t>English, Hindi, Gujarati</t>
  </si>
  <si>
    <t>5466 7704 5579</t>
  </si>
  <si>
    <t>MITUL DESAI</t>
  </si>
  <si>
    <t>MINTU DESAI</t>
  </si>
  <si>
    <t>Niraant, Opposite Diamond Factory, At And Post Parnera Pardi, Valsad</t>
  </si>
  <si>
    <t>ATUL VIDYALAYA, ATUL</t>
  </si>
  <si>
    <t>INDIAN SCHOOL CERTIFICATE (ISC) EXAMINATION, NEW DELHI</t>
  </si>
  <si>
    <t>SARVAJANIK UNIVERSITY</t>
  </si>
  <si>
    <t>SARVAJANIK COLLEGE OF ENGINEERING AND TECHNOLOGY, SURAT</t>
  </si>
  <si>
    <t>MS Office,MS Project,Primavera,CostX,Revit</t>
  </si>
  <si>
    <t>PSP PROJECTS LIMITED | INTERN | SURAT | Jan 2025 | Mar 2025 | 11.857142857143 Weeks</t>
  </si>
  <si>
    <t>P25700358</t>
  </si>
  <si>
    <t>NEHA</t>
  </si>
  <si>
    <t>Neha Raj Asha</t>
  </si>
  <si>
    <t>neharajasha@gmail.com</t>
  </si>
  <si>
    <t>p25700358@student.nicmar.ac.in</t>
  </si>
  <si>
    <t>ENGLISH, MALAYALAM, HINDI, ARABIC, FRENCH</t>
  </si>
  <si>
    <t>8542 3595 8994</t>
  </si>
  <si>
    <t>RAJKUMAR NARAYANAN NAIR</t>
  </si>
  <si>
    <t>ASHA RAJKUMAR</t>
  </si>
  <si>
    <t>TLRA 23 ANISHA, Thoppil Lane, Kumarapuram</t>
  </si>
  <si>
    <t>SHARJAH INDIAN SCHOOL</t>
  </si>
  <si>
    <t>COCHIN UNIVERSITY OF SCIENCE AND TECHNOLOGY</t>
  </si>
  <si>
    <t>MARIAN COLLEGE OF ARCHITECTURE AND PLANNING, THIRUVANANTHAPURAM</t>
  </si>
  <si>
    <t>AutoCAD,MS Office,MS Project,Sketchup,Adobe Indesign,Adobe Photoshop,Lumion,V-Ray,Enscape,Procreate,Primevera,Naviskworks,Autodesk Revit, RIB CostX,Smart PLS</t>
  </si>
  <si>
    <t>Top Concept Engineering Consultants | Architect | Dubai, U.A.E | Jun 2024 | Aug 2025 | 1Y 2M | 12.9
Next Engineering Consultants | Architectural Engineer | Dubai, U.A.E | Jun 2023 | Feb 2024 | 0Y 8M | 10.04</t>
  </si>
  <si>
    <t>Savvy Infrastructure Pvt. Ltd. | Contracts Intern | Gandhinagar, Gujarat | May 2026 | Jul 2026 | 8.7142857142857 Weeks | Campus Internship
Varghese Panicker Architects | Architectural Intern | Trivandrum, Kerala | Aug 2021 | Dec 2021 | 18.428571428571 Weeks</t>
  </si>
  <si>
    <t>Sustainability in Architecture: An Interdisciplinary Introduction from Universitat PolitÃ¨cnica de ValÃ¨ncia
Fundamentals of Project Planning and Management from University of Virginia</t>
  </si>
  <si>
    <t>P25700359</t>
  </si>
  <si>
    <t>BARRE</t>
  </si>
  <si>
    <t>Ajay Barre</t>
  </si>
  <si>
    <t>ajaybarre72@gmail.com</t>
  </si>
  <si>
    <t>p25700359@student.nicmar.ac.in</t>
  </si>
  <si>
    <t>12-Feb-2004</t>
  </si>
  <si>
    <t>English,Hindi,telugu</t>
  </si>
  <si>
    <t>3090 2977 7335</t>
  </si>
  <si>
    <t>BARRE YONA</t>
  </si>
  <si>
    <t>DAILY WAGER</t>
  </si>
  <si>
    <t>BARRE SUNEETHA</t>
  </si>
  <si>
    <t>7-63,thurpu Digavalli,nuzvid</t>
  </si>
  <si>
    <t>ZP HIGH SCHOOL</t>
  </si>
  <si>
    <t>A.A.N.MURTHY&amp;V.V.R.SESHADRI RAO POLYTECHNIC</t>
  </si>
  <si>
    <t>AFFILIATED TO JNTUK</t>
  </si>
  <si>
    <t>VISHNU INSTITUTE OF TECHNOLOGY,BHIMAVARAM</t>
  </si>
  <si>
    <t>AutoCAD,MS Office,MS Project,Primavera,ETABS,REVIT,CostX,STAAD Pro</t>
  </si>
  <si>
    <t>ROADS AND BUILDINGS DEPARTMENT | OPERATIONS&amp; SITE INTERN | BHIMAVARAM | Nov 2023 | Jan 2024 | 8.5714285714286 Weeks
NATIONAL INSTITUTE OF CONSTRUCTION MANAGEMNET AND RESEARCH | PROJECT MANAGEMENT INTERN | HYDERABAD | Jun 2024 | Jun 2024 | 2.4285714285714 Weeks</t>
  </si>
  <si>
    <t>P25700360</t>
  </si>
  <si>
    <t>RENUKA</t>
  </si>
  <si>
    <t>BANTE</t>
  </si>
  <si>
    <t>Renuka Sudhir Bante</t>
  </si>
  <si>
    <t>renukabante.23@gmail.com</t>
  </si>
  <si>
    <t>p25700360@student.nicmar.ac.in</t>
  </si>
  <si>
    <t>23-Sep-1999</t>
  </si>
  <si>
    <t>8489 5299 6633</t>
  </si>
  <si>
    <t>SANJANA</t>
  </si>
  <si>
    <t>3,Sainath Nagar, Near Nagpur Naka, Takiya Ward, Bhandara</t>
  </si>
  <si>
    <t>Bhandara</t>
  </si>
  <si>
    <t>JAYCEES CONVENT</t>
  </si>
  <si>
    <t>SRI CHAITANYA JUNIOR KALASHALSA</t>
  </si>
  <si>
    <t>TELENGANA STATE BOARD OF INTERMEDIATE EDUCATION</t>
  </si>
  <si>
    <t>DEPARTMENT OF TECHNOLOGY, SHIVAJI UNIVERSITY, KOLHAPUR</t>
  </si>
  <si>
    <t>AutoCAD,MS Office,MS Project,Primavera,Revit,CostX</t>
  </si>
  <si>
    <t>Urbangaon  | Project Management Intern | Jaipur  | May 2026 | Jul 2026 | 8.7142857142857 Weeks | Campus Internship
Datta Construction | Site Engineer Trainee | LAKHANI | Jun 2023 | Jul 2023 | 4.7142857142857 Weeks
M/S.V.Y. NIKHAR &amp;ASSOCIATES | SITE ENGINEER TRAINEE | BHANDARA | May 2019 | Jun 2019 | 3 Weeks</t>
  </si>
  <si>
    <t>Six Sigma Green Belt
Project Management in Construction
Highway Planning, Pavement Design and Construction
Data Analysis
Project Management Principles and Practices Specialization
Infrastructure for Transportation Systems
Sustainable Design Practices in Building Design
	Mechanization in Construction Specialization
	Construction Management Fundamentals</t>
  </si>
  <si>
    <t>P25700361</t>
  </si>
  <si>
    <t>CHINNAMSETTI</t>
  </si>
  <si>
    <t>HEMANTH SAI KRISHNA</t>
  </si>
  <si>
    <t>Chinnamsetti Hemanth Sai Krishna</t>
  </si>
  <si>
    <t>hemanthsaikrishna604@gmail.com</t>
  </si>
  <si>
    <t>p25700361@student.nicmar.ac.in</t>
  </si>
  <si>
    <t>07-Jan-2002</t>
  </si>
  <si>
    <t>English, Hindi,Telugu</t>
  </si>
  <si>
    <t>9545 9346 5546</t>
  </si>
  <si>
    <t>CHINNAMSETTI SURYA RAO</t>
  </si>
  <si>
    <t>CHINNAMSETTI PADMA TULASI</t>
  </si>
  <si>
    <t>D.No:2-7, Ramalayam Street, Itempudi, Iragavaram Mandal</t>
  </si>
  <si>
    <t>GEETANJALI HIGH SCHOOL</t>
  </si>
  <si>
    <t>BOARD OF SECONDARY EDUCATION, ANDHRAPRADESH</t>
  </si>
  <si>
    <t>CIVIL</t>
  </si>
  <si>
    <t>S.M.V.M POLYTECHNIC COLLEGE,TANUKU</t>
  </si>
  <si>
    <t>JNTUK</t>
  </si>
  <si>
    <t>S.R.K.R ENGINEERING COLLEGE , BHIMAVARAM</t>
  </si>
  <si>
    <t>AutoCAD,MS Office,MS Project,Primavera,RIB CostX,Canva</t>
  </si>
  <si>
    <t>Megha Engineering And Infrastructure Limited | Site Engineer  | Basti,UttarPradesh | Jul 2023 | May 2025 | 1Y 9M | 3.25</t>
  </si>
  <si>
    <t>Bhajan Infratech Pvt limited | Project Co-ordinator  | Surat | May 2026 | Jun 2026 | 7.7142857142857 Weeks | Campus Internship</t>
  </si>
  <si>
    <t>Cost Estimating &amp; Cost Control
Advanced Communication Strategies
Finance for Non-Financial Managers</t>
  </si>
  <si>
    <t>P25700362</t>
  </si>
  <si>
    <t>PRAVEEN</t>
  </si>
  <si>
    <t>Praveen P</t>
  </si>
  <si>
    <t>praveeensvg@gmail.com</t>
  </si>
  <si>
    <t>p25700362@student.nicmar.ac.in</t>
  </si>
  <si>
    <t>17-Sep-2003</t>
  </si>
  <si>
    <t>6099 9964 4445</t>
  </si>
  <si>
    <t>PARAMASIVAM A P</t>
  </si>
  <si>
    <t>RETIRED STATE GOVERNMENT EMPLOYEE</t>
  </si>
  <si>
    <t>SANGARAPARAMESWARI R</t>
  </si>
  <si>
    <t>2/409, Yuvaraja Illam, T.Pudur, Krishna Nagar, 4th Street, Sivaganga</t>
  </si>
  <si>
    <t>Sivaganga</t>
  </si>
  <si>
    <t>MAHARISHI INTERNATIONAL RESIDENTIAL SCHOOL</t>
  </si>
  <si>
    <t>CENTRAL BOARD OF SECONDARY EDUCATION , CHENNAI</t>
  </si>
  <si>
    <t>CENTRAL BOARD OF SECONDARY EDUCATION, CHENNAI</t>
  </si>
  <si>
    <t>SASTRA DEEMED TO BE UNIVERSITY</t>
  </si>
  <si>
    <t>SASTRA DEEMED TO BE UNIVERSITY, THANJAVUR</t>
  </si>
  <si>
    <t>MS Project,Primavera,AutoCAD,MS Office,Cost X.</t>
  </si>
  <si>
    <t>AKG Building Consultants Pvt. Ltd. | Site execution Control | Bangalore | May 2026 | Jul 2026 | 8.7142857142857 Weeks | Campus Internship
UNIQCORE CONSTRUCTIONS INDIA PVT LTD | Site Engineering Intern | SASTRA Deemed to be University,Thanjavur | Jun 2024 | Jul 2024 | 4 Weeks</t>
  </si>
  <si>
    <t>P25700363</t>
  </si>
  <si>
    <t>PUSHPENDRA</t>
  </si>
  <si>
    <t>Pushpendra Yadav</t>
  </si>
  <si>
    <t>pushpendra.yadav2809@gmail.com</t>
  </si>
  <si>
    <t>p25700363@student.nicmar.ac.in</t>
  </si>
  <si>
    <t>28-Sep-2000</t>
  </si>
  <si>
    <t>2905 8063 1443</t>
  </si>
  <si>
    <t>RAMNARESH</t>
  </si>
  <si>
    <t>MAYA</t>
  </si>
  <si>
    <t>Bk 1658, Yogesh Nagar, Section-26_x000D_
Near Nutan Marathi School, Ulhasnagar 4</t>
  </si>
  <si>
    <t>NEW ENGLISH HIGH SCHOOL</t>
  </si>
  <si>
    <t>MAHARSHTRA STATE BOARD OF SECONDARY AND HIGHER SECONDARY EXAMINATION, MUMBAI, MAHARASHTRA</t>
  </si>
  <si>
    <t>S.H. JONDHALE POLYTECHNIC, DOMBIVLI, MAHARASHTRA</t>
  </si>
  <si>
    <t>B.R. HARNE COLLEGE OF ENGINEERING AND TECHNOLOGY, VANGANI, MAHARASHTRA</t>
  </si>
  <si>
    <t>AutoCAD,MS Office,MS Project,Primavera,Revit,Canva,Costx</t>
  </si>
  <si>
    <t>J.F. Constructions | Site Engineer | Ambarnath | Jul 2022 | Jun 2025 | 2Y 11M | 3.2</t>
  </si>
  <si>
    <t>Masin Projects Private Limited | Intern - Delay Department | Gurugram | May 2026 | Jul 2026 | 8.7142857142857 Weeks | Campus Internship
SUMITRA BUILDCONS PVT. LTD. | SITE CIVIL ENGINEER | MURBAD | Dec 2019 | Jan 2020 | 4.4285714285714 Weeks</t>
  </si>
  <si>
    <t>Finance for Non-Financial Managers
Google Project Management
Managing Social and Human Capital
Introduction to Artificial Intelligence (AI) by IBM
Microsoft Public Relations and Communications Associate
Microeconomics Principles
Construction Project Management
Construction Finance
Construction Industry: The Way Forward
AI For Everyone by DeepLearning.AI</t>
  </si>
  <si>
    <t>P25700364</t>
  </si>
  <si>
    <t>INGALE</t>
  </si>
  <si>
    <t>Prathamesh Mahesh Ingale</t>
  </si>
  <si>
    <t>pmingale109@gmail.com</t>
  </si>
  <si>
    <t>p25700364@student.nicmar.ac.in</t>
  </si>
  <si>
    <t>24-Mar-2002</t>
  </si>
  <si>
    <t>7901 6542 4979</t>
  </si>
  <si>
    <t>G1 Arihant Apartment, Ingale Colony, Shivane, NDA Road, Pune-411023</t>
  </si>
  <si>
    <t>SAHYADRI NATIONAL SCHOOL</t>
  </si>
  <si>
    <t>BALSHIKSHAN MANDIR CAMPUS</t>
  </si>
  <si>
    <t>ZEAL COLLEGE OF ENGINEERING &amp; RESEARCH, PUNE, MAHARASHTRA</t>
  </si>
  <si>
    <t>GNY Group | Junior Project Engineer Intern | Chhatrapati Sambhajinagar | May 2026 | Jul 2026 | 8.7142857142857 Weeks | Campus Internship
VASTU INFRA | Site Engineer Intern | Kekarav, Bavdhan Hills, Pune | Jun 2024 | Jun 2024 | 4.1428571428571 Weeks</t>
  </si>
  <si>
    <t>P25700366</t>
  </si>
  <si>
    <t>Tejas Sunil Pawar</t>
  </si>
  <si>
    <t>tejas.tp9797@gmail.com</t>
  </si>
  <si>
    <t>p25700366@student.nicmar.ac.in</t>
  </si>
  <si>
    <t>3203 0141 4259</t>
  </si>
  <si>
    <t>SUNIL BABURAO PAWAR</t>
  </si>
  <si>
    <t>VANDANA SUNIL PAWAR</t>
  </si>
  <si>
    <t>51,Shivaji Housing Society Karad.</t>
  </si>
  <si>
    <t>HOLY FAMILY CONVENT HIGH SCHOOL</t>
  </si>
  <si>
    <t>MAHARASHTRA STATE BOARD OF SECONDARY AND HIGHER SECONDARY EDUCATION , PUNE DIVISION KOLHAPUR</t>
  </si>
  <si>
    <t>2008-Jun</t>
  </si>
  <si>
    <t>SHRI HANUMANTRAO CHATE JR.COLLEGE OF SCIENCE,SATARA</t>
  </si>
  <si>
    <t>MAHARASHTRA STATE BOARD OF SECONDARY AND HIGHER SECONDARY EDUCATION, PUNE DIVISION KOLHAPUR</t>
  </si>
  <si>
    <t>SHIVAJI UNIVERSITY,KOLHAPUR</t>
  </si>
  <si>
    <t>RAJARAMBAPU INSTITUTE OF TECHNOLOGY, SAKHARALE TAL WALWA DIST SANGLI.</t>
  </si>
  <si>
    <t>AutoCAD,MS Office,MS Project,Primavera,Cost X</t>
  </si>
  <si>
    <t>Mantra Properties | Management-Intern | Pune  | May 2026 | Jul 2026 | 8.5714285714286 Weeks | Campus Internship
M/S. KRISHNA ASSOCIATES | JR. CIVIL ENGINEER | KARAD  | Jan 2024 | Jul 2024 | 27.142857142857 Weeks</t>
  </si>
  <si>
    <t>P25700368</t>
  </si>
  <si>
    <t>MENDHE</t>
  </si>
  <si>
    <t>Vikas Prakash Mendhe</t>
  </si>
  <si>
    <t>vikasmendhe5260@gmail.com</t>
  </si>
  <si>
    <t>p25700368@student.nicmar.ac.in</t>
  </si>
  <si>
    <t>21-Aug-2001</t>
  </si>
  <si>
    <t>2883 3370 5033</t>
  </si>
  <si>
    <t>PRAKASH MENDHE</t>
  </si>
  <si>
    <t>DEFENCE (CRPF)</t>
  </si>
  <si>
    <t>SANGITA MENDHE</t>
  </si>
  <si>
    <t>FLAT NO 202 KRISHNA KUNJ APARTMENT SUSGAON PUNE</t>
  </si>
  <si>
    <t>Ward No 3 Siddhi Vinayak Colony Tarwekar Layout Nagbhid</t>
  </si>
  <si>
    <t>ST. XAVIERS HIGH SCHOOL MIDC ,NAGPUR</t>
  </si>
  <si>
    <t>CENTRAL BOARD OF SECONDARY EDUCATION , MAHARASHTRA</t>
  </si>
  <si>
    <t>MAJOR HEMANT JAKATE HIGH SCHOOL ,NAGPUR</t>
  </si>
  <si>
    <t>MAHARASHTRA STATE BOARD OF SECONDARY AND HIGHER SECONDARY EDUCATION PUNE, MAHARASHTRA</t>
  </si>
  <si>
    <t>RASHTRASANT TUKADOJI MAHRARAJ NAGPUR UNIVERSITY</t>
  </si>
  <si>
    <t>KAVIKULGURU INSTITUTE OF TECHNOLOGY AND SCIENCE RAMTEK MAHARASHTRA</t>
  </si>
  <si>
    <t>Suntronic renewables | junior civil engineer  | nagpur | Mar 2024 | May 2025 | 65.142857142857 Weeks</t>
  </si>
  <si>
    <t>P25700369</t>
  </si>
  <si>
    <t>Prasad Ramesh Mane</t>
  </si>
  <si>
    <t>prasadm3440@gmail.com</t>
  </si>
  <si>
    <t>p25700369@student.nicmar.ac.in</t>
  </si>
  <si>
    <t>3051 2276 0670</t>
  </si>
  <si>
    <t>GREENLIFE SOCIETY, LAXMI CHOWK, HINJEWADI PHASE-1, PIMPRI-CHINCHWAD</t>
  </si>
  <si>
    <t>Mahapur, Tq. Latur, Dist. Latur</t>
  </si>
  <si>
    <t>SHRI DESHIKENDRA VIDYALAYA, LATUR, MAHARASHTRA.</t>
  </si>
  <si>
    <t>MAHARASHTRA STATE BOARD OF SECONDARY AND HIGHER SECONDARY EDUCATION, PUNE.</t>
  </si>
  <si>
    <t>SWAMI VIVEKANAND INSTITUTE OF POLYTECHNIC, LATUR.</t>
  </si>
  <si>
    <t>AutoCAD,MS Office,MS Project,Primavera,Revit,RIB CostX,</t>
  </si>
  <si>
    <t>New Consolidated Construction Compony Ltd. (NCCCL) | Planning Intern | Ghansoli, Navi Mumbai | May 2026 | Jul 2026 | 8.5714285714286 Weeks | Campus Internship
Saishraddha Cement Products | Operations &amp; Production Management Intern | Latur, Maharashtra | Apr 2024 | Aug 2024 | 21.714285714286 Weeks
Sakshi Constructions | Project Controls &amp; Execution Intern | Pune | Aug 2023 | Feb 2024 | 30.285714285714 Weeks</t>
  </si>
  <si>
    <t>Finance for Non-Financial Managers
Data Analysis
Project Admin (Scholar), DGQC</t>
  </si>
  <si>
    <t>P25700370</t>
  </si>
  <si>
    <t>SOLANKI</t>
  </si>
  <si>
    <t>Rahul Mahesh Solanki</t>
  </si>
  <si>
    <t>rahulmaheshsolanki018@gmail.com</t>
  </si>
  <si>
    <t>p25700370@student.nicmar.ac.in</t>
  </si>
  <si>
    <t>18-Jan-2001</t>
  </si>
  <si>
    <t>ENGLISH, GUJARATI, HINDI, MARATHI</t>
  </si>
  <si>
    <t>6240 7944 9401</t>
  </si>
  <si>
    <t>BMC SERVANT</t>
  </si>
  <si>
    <t>ALKA</t>
  </si>
  <si>
    <t>382 RAJMALA ROOM NO 13 CHARKOP SEC 3 OPP DOMINOS PIZZA KANDIVALI WEST</t>
  </si>
  <si>
    <t>B-3/21 Shravan Nagar Near Ekta Nagar At New Link Road Kandivali West</t>
  </si>
  <si>
    <t>P J PANCHOLIA HIGH SCHOOL</t>
  </si>
  <si>
    <t>SARDAR VALLABHBHAI PATEL POLYTECHNIC</t>
  </si>
  <si>
    <t>2024-Jan</t>
  </si>
  <si>
    <t>THE GREEN VENTUREZ DEVELOPERS | Site Engineer | Kandivali West | Dec 2023 | Jun 2025 | 1Y 6M | 2.4</t>
  </si>
  <si>
    <t>J Kumar  | Execution plus control  | Mumbai  | May 2026 | Jul 2026 | 10 Weeks | Campus Internship</t>
  </si>
  <si>
    <t>P25700371</t>
  </si>
  <si>
    <t>Disha J</t>
  </si>
  <si>
    <t>dishajagdeesh@gmail.com</t>
  </si>
  <si>
    <t>p25700371@student.nicmar.ac.in</t>
  </si>
  <si>
    <t>23-Jan-1999</t>
  </si>
  <si>
    <t>3190 5576 9693</t>
  </si>
  <si>
    <t>JAGADEESH K</t>
  </si>
  <si>
    <t>EX-  BLOCK EDUCATION OFFICER</t>
  </si>
  <si>
    <t>SAVITHA S R</t>
  </si>
  <si>
    <t>Door Number 99, Third Cross, South, Anikethana Road, Kuvempunagar, Mysore, Karnataka</t>
  </si>
  <si>
    <t>GNANAGANGA VIDYAPEETA</t>
  </si>
  <si>
    <t>KARNATAKA SECONDARY EDUCATION EXAMINATION BOARD, GOVERNMENT OF KARNATAKA</t>
  </si>
  <si>
    <t>VIJAYAVITTALA PU COLLEGE</t>
  </si>
  <si>
    <t>DEPARTMENT OF PRE- UNIVERSITY EDUCATION, GOVERNMENT OF KARNATAKA</t>
  </si>
  <si>
    <t>VIDYA VARDHAKA COLLEGE OF ENGINEERING, MYSORE, KARNATAKA</t>
  </si>
  <si>
    <t>The National Institute of Engineering,Mysore</t>
  </si>
  <si>
    <t>AutoCAD,MS Office,MS Project,Primavera, Power BI,Staad pro,Etabs,3dsmax,Idea Statica,Cohoom,Revit</t>
  </si>
  <si>
    <t>RR CONSTRUCTIONS | Structural Design Engineer | Mysore, Karnataka | Nov 2022 | Jul 2024 | 1Y 8M | 1.2</t>
  </si>
  <si>
    <t>BECHTEL INDIA PRIVATE LIMITED | Supply chain management - Intern | Gurugram, India | May 2026 | Jul 2026 | 7.5714285714286 Weeks | Campus Internship
MYSORE CITY CORPORATION- VANI VILAS WATER SUPPLY DIVISION | Engineer - Intern | MYSORE | Jul 2019 | Aug 2019 | 4 Weeks
R.K. ASSOCIATES, PROJECT MANAGEMENT AND STRUCTURAL CONSULTANTS | Structural Designer/ Engineer | MYSORE | Oct 2021 | Nov 2021 | 8.5714285714286 Weeks</t>
  </si>
  <si>
    <t>Diploma in Interior Design</t>
  </si>
  <si>
    <t>P25700372</t>
  </si>
  <si>
    <t>YAJUR</t>
  </si>
  <si>
    <t>JAGMOHAN</t>
  </si>
  <si>
    <t>Yajur Jagmohan</t>
  </si>
  <si>
    <t>gargyajur@gmail.com</t>
  </si>
  <si>
    <t>p25700372@student.nicmar.ac.in</t>
  </si>
  <si>
    <t>15-Aug-2000</t>
  </si>
  <si>
    <t>6429 2706 6509</t>
  </si>
  <si>
    <t>RAJAT GARG</t>
  </si>
  <si>
    <t>SHIVA GARG</t>
  </si>
  <si>
    <t>366, PATEL NAGAR, NEW MANDI, MUZAFFARNAGAR</t>
  </si>
  <si>
    <t>Muzaffarnagar</t>
  </si>
  <si>
    <t>BIRLA VIDYA MANDIR, NAINITAL</t>
  </si>
  <si>
    <t>CBSE, UTTARAKHAND</t>
  </si>
  <si>
    <t>BHARAT MATA SARASWATI BALMANDIR NARELA DELHI</t>
  </si>
  <si>
    <t>SYMBIOSIS INTERNATIONAL UNIVERSITY</t>
  </si>
  <si>
    <t>Primavera P6, MSP, AutoCAD,MS Office,Bluebeam Revu, CostX</t>
  </si>
  <si>
    <t>Turner International | Assistant Quantity Surveyor | Bengaluru | Jul 2022 | Nov 2022 | 0Y 4M | 3
Ceigall India Limited | Engineer - Contracts Administration | Gurugram | Mar 2024 | Jun 2025 | 1Y 3M | 7.5</t>
  </si>
  <si>
    <t>KPMG Assurance and Consulting Services LLP  | Intern - Transformation (MPA) | Gurugram | May 2026 | Jun 2026 | 7.5714285714286 Weeks | Campus Internship
Turner Project Management India Pvt Ltd (Turner International) | Quantity Surveying Trainee | Bengaluru | Feb 2022 | Jun 2022 | 21.285714285714 Weeks</t>
  </si>
  <si>
    <t>P25700373</t>
  </si>
  <si>
    <t>RAJDEEP</t>
  </si>
  <si>
    <t>MULE</t>
  </si>
  <si>
    <t>Rajdeep Rajesh Mule</t>
  </si>
  <si>
    <t>rajdeepmule@gmail.com</t>
  </si>
  <si>
    <t>p25700373@student.nicmar.ac.in</t>
  </si>
  <si>
    <t>03-Mar-2002</t>
  </si>
  <si>
    <t>5152 8355 6580</t>
  </si>
  <si>
    <t>RAJESH MULE</t>
  </si>
  <si>
    <t>DR DIPALI MULE</t>
  </si>
  <si>
    <t>G-46 Patang Plaza Tower, Opp PICT College, Bharti Vidyapeeth, Katraj, Pune - 411046</t>
  </si>
  <si>
    <t>THE BISHOP'S CO-ED SCHOOL, UNDRI, PUNE</t>
  </si>
  <si>
    <t>HIGHER SECONDARY CERTIFICATE EXAMINATION, MAHARASHTRA</t>
  </si>
  <si>
    <t>AutoCAD,MS Office,MS Project,Primavera,Sketchup,Enscape,Photoshop,Canva,InDesign,RIB CostX,Revit,Lumion</t>
  </si>
  <si>
    <t>Adani Realty's Navbharat Mega Developers Pvt. Ltd.  | Project Planning &amp; Control Intern | BKC Inspire, Mumbai | May 2026 | Jul 2026 | 7.7142857142857 Weeks | Campus Internship
Prashant Deshmukh &amp; Associates | Trainee Architect | Pune | Jun 2024 | Oct 2024 | 17.714285714286 Weeks</t>
  </si>
  <si>
    <t>Ethics in Engineering Practice - authorized by Indian Institute of Technology Kharagpur
Generative AI for Everyone - authorized by DeepLearning.AI
Finance for Non-Financial Managers - authorized by Emory University</t>
  </si>
  <si>
    <t>P25700374</t>
  </si>
  <si>
    <t>NAINA</t>
  </si>
  <si>
    <t>BHAT</t>
  </si>
  <si>
    <t>Naina Bhat</t>
  </si>
  <si>
    <t>nainabhat24@gmail.com</t>
  </si>
  <si>
    <t>p25700374@student.nicmar.ac.in</t>
  </si>
  <si>
    <t>English, Hindi, Kashmiri</t>
  </si>
  <si>
    <t>4088 9189 2185</t>
  </si>
  <si>
    <t>RAMESH KUMAR BHAT</t>
  </si>
  <si>
    <t>LOVELY BHAT</t>
  </si>
  <si>
    <t>Hno 435 Near Sector 9 Basai Village Gurgaon Haryana</t>
  </si>
  <si>
    <t>DEENBANDHU CHHOTU RAM UNIVERSITY OF SCIENCE AND TECHNOLOGY</t>
  </si>
  <si>
    <t>DEENBANDHU CHHOTU RAM UNIVERSITY OF SCIENCE AND TECHNOLOGY MURTHAL HARYANA</t>
  </si>
  <si>
    <t>AutoCAD,MS Office,MS Project,Primavera,Revit,MS excel</t>
  </si>
  <si>
    <t>Prestige Estates Private Limited | Inrtern | Ghaziabad | May 2026 | Jul 2026 | 8.5714285714286 Weeks | Campus Internship
Shivam Construction | Intern | Gurugram | Sep 2023 | Feb 2024 | 22.571428571429 Weeks
PWD B&amp;R PANCHKULA | Intern | Panchkula chandigarh | Aug 2022 | Dec 2022 | 19.428571428571 Weeks</t>
  </si>
  <si>
    <t>AUTOCAD
One million leaders Asia fellowship program
Finance for Non-Financial Managers</t>
  </si>
  <si>
    <t>P25700375</t>
  </si>
  <si>
    <t>RAJKUMAR</t>
  </si>
  <si>
    <t>NAGULWAR</t>
  </si>
  <si>
    <t>Rahul Rajkumar Nagulwar</t>
  </si>
  <si>
    <t>rahulrajkumarnagulwar1@gmail.com</t>
  </si>
  <si>
    <t>p25700375@student.nicmar.ac.in</t>
  </si>
  <si>
    <t>19-Dec-2003</t>
  </si>
  <si>
    <t>English , Hindi , Marathi</t>
  </si>
  <si>
    <t>8594 6963 2228</t>
  </si>
  <si>
    <t>RAJKUMAR B. NAGULWAR</t>
  </si>
  <si>
    <t>VARSHA R. NAGULWAR</t>
  </si>
  <si>
    <t>F-101 NAGULWAR COMPLEX , ABOVE INDIAN BANK , MAHALAXMI NAGAR , MANEWADA ROAD , NAGPUR , 440024</t>
  </si>
  <si>
    <t>MONTFORT SCHOOL ASHOKWAN NAGPUR/MAHARASHTRA</t>
  </si>
  <si>
    <t>CENTRAL BOARD OF SECONDARY EDUCATION NAGPUR/MAHARASHTRA</t>
  </si>
  <si>
    <t>GOVERNMENT POLYTECHNIC, NAGPUR/MAHARASHTRA</t>
  </si>
  <si>
    <t>SHRI RAMDEOBABA COLLEGE OF ENGINEERING AND MANAGEMENT , NAGPUR/MAHARASHTRA</t>
  </si>
  <si>
    <t>AutoCAD,MS Office,MS Project,Beam AI,Automeasure</t>
  </si>
  <si>
    <t>ATTENTIVE  OS PRIVATE LIMITED | TRAINEE ESTIMATOR | NEW DELHI | Apr 2025 | Jul 2025 | 0Y 2M | 3.34</t>
  </si>
  <si>
    <t>SRIBAL CONSTRUCTION COMPANY | PROJECT COORDINATION | BHOGAPURAM, VIZAG | May 2026 | Jul 2026 | 8.7142857142857 Weeks | Campus Internship
B.R.SHARMA &amp; ASSOCIATE ARCHITECTS &amp; CONSULTING | INTERN SITE ENGINEER | NAGPUR/ MAHARASHTRA | May 2024 | Jul 2024 | 5.8571428571429 Weeks
ATTENTIVE  OS PRIVATE LIMITED | INTERN ESTIMATOR  | NEW DELHI | Jan 2025 | Apr 2025 | 12.571428571429 Weeks</t>
  </si>
  <si>
    <t>P25700376</t>
  </si>
  <si>
    <t>PRATIKSHA</t>
  </si>
  <si>
    <t>Patil Pratiksha Ramesh</t>
  </si>
  <si>
    <t>pratiksharpatil2002@gmail.com</t>
  </si>
  <si>
    <t>p25700376@student.nicmar.ac.in</t>
  </si>
  <si>
    <t>22-May-2002</t>
  </si>
  <si>
    <t>3543 9646 7820</t>
  </si>
  <si>
    <t>RAMESH JANARDHAN PATIL</t>
  </si>
  <si>
    <t>SUREKHA RAMESH PATIL</t>
  </si>
  <si>
    <t>Plot 27/w, S No. 563/5, Anurag State Bank Colony, Mahabal, Jalgaon 425001_x000D_</t>
  </si>
  <si>
    <t>LATE B. G. SHANBHAG SCHOOL, JALGAON</t>
  </si>
  <si>
    <t>GOVERNMENT POLYTECHNIC JALGAON</t>
  </si>
  <si>
    <t>AutoCAD, MS Office, Revit, Primavera, MSP</t>
  </si>
  <si>
    <t>Tirumala Enterprises Engineers and Contractors | Construction Management trainee | Pune | May 2026 | Jul 2026 | 8.7142857142857 Weeks | Campus Internship
ADVETKUNAL ENTERPRISES PVT.LTD | Site Engineer trainee | Pune | Dec 2022 | Jan 2023 | 4.1428571428571 Weeks</t>
  </si>
  <si>
    <t>P25700378</t>
  </si>
  <si>
    <t>SHELAWADAKAR</t>
  </si>
  <si>
    <t>Shubham Dinkar Shelawadakar</t>
  </si>
  <si>
    <t>shelawadakarshubham@gmail.com</t>
  </si>
  <si>
    <t>p25700378@student.nicmar.ac.in</t>
  </si>
  <si>
    <t>11-Jul-2003</t>
  </si>
  <si>
    <t>5697 7226 1454</t>
  </si>
  <si>
    <t>MALVADI, A/P. MINCHE KHURD, BHUDARGAD, KOLHAPUR</t>
  </si>
  <si>
    <t>Main Road, Pandivare, Tikkewadi, Kolhapur</t>
  </si>
  <si>
    <t>R.V. DESAI SCHOOL, MINCHE KHURD</t>
  </si>
  <si>
    <t>CIVIL &amp; RURAL ENGINEERING</t>
  </si>
  <si>
    <t>INSTITUTE OF CIVIL &amp; RURAL ENGINEERING, GARGOTI</t>
  </si>
  <si>
    <t>AutoCAD,MS Office,MS Project,Primavera,CostX,REVIT,NavisWorks</t>
  </si>
  <si>
    <t>ANAROCK Property Consultants Pvt. Ltd. | Intern-PMES | Goa | May 2026 | Jul 2026 | 8.7142857142857 Weeks | Campus Internship</t>
  </si>
  <si>
    <t>Industrial / Inplant Training
TECHNOTSAV 2k24 (National Level Technical Event)
ChatGPT &amp; AI Tools Workshop
Project Management Assessment
Data Analysis
Cybersecurity for Everyone</t>
  </si>
  <si>
    <t>P25700379</t>
  </si>
  <si>
    <t>DHANANJAY</t>
  </si>
  <si>
    <t>DALAVI</t>
  </si>
  <si>
    <t>Kalpesh Dhananjay Dalavi</t>
  </si>
  <si>
    <t>kalpeshdalavi2777@gmail.com</t>
  </si>
  <si>
    <t>p25700379@student.nicmar.ac.in</t>
  </si>
  <si>
    <t>22-Nov-1999</t>
  </si>
  <si>
    <t>7027 0263 1823</t>
  </si>
  <si>
    <t>A/P SASURE TAL BARSHI DIS SOLAPUR</t>
  </si>
  <si>
    <t>VIDAY MANDAR HIGHSCHOOL ,VAIRAG</t>
  </si>
  <si>
    <t>DR. CHANDARBHANU SONAWANE MAHAVIDAYLA ,LATUR</t>
  </si>
  <si>
    <t>SVERI'S COLLEGE OF ENGINEERING (POLY)</t>
  </si>
  <si>
    <t>JSPM'S RAJARSHI SHAHU COLLEGE OF ENGINEERING</t>
  </si>
  <si>
    <t>AutoCAD,MS Office,MS Project,Primavera,E-TAB,STAAD PRO</t>
  </si>
  <si>
    <t>Bhate &amp; Raje Construction Co. Pvt. Ltd. | Project Planning | Punawale, Pune | May 2026 | Jul 2026 | 8.7142857142857 Weeks | Campus Internship
Kalpesh Construction | Site Engineer | Vairag | Apr 2023 | Mar 2024 | 52.142857142857 Weeks
Pune Metro | Intern | Shivajinagar | Feb 2022 | Apr 2022 | 8.4285714285714 Weeks</t>
  </si>
  <si>
    <t>P25700380</t>
  </si>
  <si>
    <t>ANNA</t>
  </si>
  <si>
    <t>SAJU</t>
  </si>
  <si>
    <t>Anna Saju</t>
  </si>
  <si>
    <t>annasaju20@gmail.com</t>
  </si>
  <si>
    <t>p25700380@student.nicmar.ac.in</t>
  </si>
  <si>
    <t>20-May-2002</t>
  </si>
  <si>
    <t>3829 4665 5094</t>
  </si>
  <si>
    <t>SAJU THOMAS</t>
  </si>
  <si>
    <t>SHEENA SAJU</t>
  </si>
  <si>
    <t>Pellissery House Ammadam P.O. Thrissur Kerala 680563</t>
  </si>
  <si>
    <t>SACRED HEART C.G.H.S.S. THRISSUR</t>
  </si>
  <si>
    <t>BOARD OF PUBLIC EXAMINATIONS KERALA</t>
  </si>
  <si>
    <t>CHRIST COLLEGE OF ENGINEERING IRINJALAKUDA</t>
  </si>
  <si>
    <t>AutoCAD,MS Office,MS Project,Primavera,ETABS,Quantity Survey and Estimation,Lumion,Google SketchUp</t>
  </si>
  <si>
    <t>IIT GUWAHATI | Research Fellowship  | Guwahati  | Aug 2024 | Jun 2025 | 0Y 10M | 3</t>
  </si>
  <si>
    <t>Godrej properties limited  | Operations Intern | Bangalore  | May 2026 | Jul 2026 | 8.7142857142857 Weeks | Campus Internship
LOCAL SELF GOVERNMENT DEPARTMENT | INTERN | PALAKKAD | May 2023 | May 2023 | 1.1428571428571 Weeks</t>
  </si>
  <si>
    <t>Advancement and Applications of Analytical Instruments
3D Visualisation
Non-Destructive Testing
Quantity Survey and Estimation
ETABS
Introduction to Machining and Machining Fluids
Theory Of Production Processes
Expansive Soil
Rock Engineering
Urban Transportation Systems Planning</t>
  </si>
  <si>
    <t>P25700381</t>
  </si>
  <si>
    <t>DARPAN</t>
  </si>
  <si>
    <t>NARENDRA</t>
  </si>
  <si>
    <t>TATIYA</t>
  </si>
  <si>
    <t>Darpan Narendra Tatiya</t>
  </si>
  <si>
    <t>darpan11tatiya@gmail.com</t>
  </si>
  <si>
    <t>p25700381@student.nicmar.ac.in</t>
  </si>
  <si>
    <t>04-Nov-2003</t>
  </si>
  <si>
    <t>English,Hindi,Marwari,Marathi</t>
  </si>
  <si>
    <t>8377 4975 6242</t>
  </si>
  <si>
    <t>Plot No 8, Adarsh Nagar,Sakri,Dhule</t>
  </si>
  <si>
    <t>HON. SHARAD PAWAR PUBLIC SCHOOL</t>
  </si>
  <si>
    <t>CENTRAL BOARD OF SECONDARY EDUCATION, NASHIK/MAHARASHTRA</t>
  </si>
  <si>
    <t>NAMO RIMS JUNIOR COLLEGE</t>
  </si>
  <si>
    <t>MAHARASHTRA STATE BOARD OF SECONDARY AND HIGHER SECONDARY EDUCATION, PUNE/MAHARASHTRA</t>
  </si>
  <si>
    <t>DR. VISHWANATH KARAD MIT WORLD PEACE UNIVERSITY</t>
  </si>
  <si>
    <t>DR. VISHWANATH KARAD MIT WORLD PEACE UNIVERSITY, PUNE/MAHARASHTRA</t>
  </si>
  <si>
    <t>AutoCAD,MS Office,MS Project,Primavera, Basic BIM</t>
  </si>
  <si>
    <t>Dhanavade Group | Site Execution, Control and Planning | Pune | May 2026 | Jul 2026 | 8.7142857142857 Weeks | Campus Internship
NM Sonawane Govt. Contractor | Junior Site Supervisor | Dhongsagali | Dec 2024 | Jun 2025 | 25.857142857143 Weeks</t>
  </si>
  <si>
    <t>P25700382</t>
  </si>
  <si>
    <t>TETALI</t>
  </si>
  <si>
    <t>BHANU KRISHNA</t>
  </si>
  <si>
    <t>Tetali Bhanu Krishna Reddy</t>
  </si>
  <si>
    <t>krishnareddy2686@gmail.com</t>
  </si>
  <si>
    <t>p25700382@student.nicmar.ac.in</t>
  </si>
  <si>
    <t>16-Jun-2002</t>
  </si>
  <si>
    <t>7110 4671 7984</t>
  </si>
  <si>
    <t>SATYANARAYANA REDDY</t>
  </si>
  <si>
    <t>SANTHA KUMARI</t>
  </si>
  <si>
    <t>D.no- 9-61/2, Flat No. 508, Block- C, Vasanth Vihar, Kommadi, Madhurawada, Visakhapatnam, 530048, Andhra Pradesh.</t>
  </si>
  <si>
    <t>DR KKRS GOWTHAM</t>
  </si>
  <si>
    <t>LAWSONS BAY COLONY, VISAKHAPATNAM, ANDHRA PRADESH.</t>
  </si>
  <si>
    <t>SAI GANAPATHI, VISAKHAPATNAM, ANDHRA PRADESH.</t>
  </si>
  <si>
    <t>GITAM (DEEMED UNIVERSITY)</t>
  </si>
  <si>
    <t>GANDHI INSTITUTE OF TECHNOLOGY AND MANAGEMENT, VISAKHAPATNAM, ANDHRA PRADESH.</t>
  </si>
  <si>
    <t>MS Project, AutoCAD, MS Office, Excel, Primavera</t>
  </si>
  <si>
    <t>Vaisakhi Developers | Project Management Intern | Visakhapatnam | May 2026 | Jul 2026 | 9 Weeks | Campus Internship
Chennai Metro Rail Limited | Site Intern | Chennai | May 2024 | Jun 2024 | 4 Weeks
ROADS &amp; BUILDINGS | Site Intern | Visakhapatnam | May 2019 | Nov 2019 | 26.285714285714 Weeks</t>
  </si>
  <si>
    <t>P25700383</t>
  </si>
  <si>
    <t>POORNESH</t>
  </si>
  <si>
    <t>J Poornesh</t>
  </si>
  <si>
    <t>poorneshchowdary167@gmail.com</t>
  </si>
  <si>
    <t>p25700383@student.nicmar.ac.in</t>
  </si>
  <si>
    <t>16-Jul-2002</t>
  </si>
  <si>
    <t>English,Telugu ,Kannada&amp;Hindi</t>
  </si>
  <si>
    <t>7301 8550 5545</t>
  </si>
  <si>
    <t>J RAMESH</t>
  </si>
  <si>
    <t>FARMER &amp; BUSINESS</t>
  </si>
  <si>
    <t>J UMADEVI</t>
  </si>
  <si>
    <t>19-12-551 BAIRAGIPETTADA TIRUPATI SRI BALAJI DISTRICT</t>
  </si>
  <si>
    <t>000,Ramesh Naidu Building ,sindhurajapuram , AM Puram(p) ,SR Puram (m) Chittor Dist</t>
  </si>
  <si>
    <t>BHARATIYA VIDHYA BHAVANS</t>
  </si>
  <si>
    <t>CENTRAL BOARD OF SECONDARY EDUCATION,NEW DELHI</t>
  </si>
  <si>
    <t>SRI CHAITHANYA ACADEMY JUNIOR COLLEGE</t>
  </si>
  <si>
    <t>REVA UNIVERSITY</t>
  </si>
  <si>
    <t>REVA UNIVERSITY ,BANGALORE , KARNATAKA</t>
  </si>
  <si>
    <t>AutoCAD,MS Project,Google sketchup &amp; enscape,Costx</t>
  </si>
  <si>
    <t>E Construct  | Project Management Intern | Bangalore  | May 2026 | Jul 2026 | 8.7142857142857 Weeks | Campus Internship
Swathi civil consultancy |  Designer  | Banglore | Feb 2024 | May 2024 | 11.428571428571 Weeks
Swathi civil consultancy | Site execution | Banglore | Feb 2024 | Jan 2025 | 49.285714285714 Weeks</t>
  </si>
  <si>
    <t>P25700384</t>
  </si>
  <si>
    <t>VEDANGI</t>
  </si>
  <si>
    <t>PALHADE</t>
  </si>
  <si>
    <t>Vedangi Sanjay Palhade</t>
  </si>
  <si>
    <t>vedangipalhade2002@gmail.com</t>
  </si>
  <si>
    <t>p25700384@student.nicmar.ac.in</t>
  </si>
  <si>
    <t>28-Aug-2002</t>
  </si>
  <si>
    <t>9608 9863 1882</t>
  </si>
  <si>
    <t>KAVITA</t>
  </si>
  <si>
    <t>Raut Wadi Nilesh Bhawan Akola</t>
  </si>
  <si>
    <t>SHRI DAWALE JR. COLLEGE MOTHI UMARI AKOLA</t>
  </si>
  <si>
    <t>COLLEGE OF ENGINEERING &amp; TECHNOLOGY, AKOLA</t>
  </si>
  <si>
    <t>AutoCAD,MS Office,MS Project,Primavera,3DS MAX V-Ray,Sketchup,Project Planning &amp; Scheduling</t>
  </si>
  <si>
    <t>Kothari Construction Company | Site Engineer | Akola, Maharashtra  | May 2026 | Jul 2026 | 7.7142857142857 Weeks | Campus Internship</t>
  </si>
  <si>
    <t>Autocad Civil &amp; 3D Max Advance</t>
  </si>
  <si>
    <t>P25700385</t>
  </si>
  <si>
    <t>HONNAGUDI</t>
  </si>
  <si>
    <t>Sanjay Honnagudi</t>
  </si>
  <si>
    <t>sanjayhonnagudi@gmail.com</t>
  </si>
  <si>
    <t>p25700385@student.nicmar.ac.in</t>
  </si>
  <si>
    <t>9369 5440 3448</t>
  </si>
  <si>
    <t>VEERESH HONNAGUDI</t>
  </si>
  <si>
    <t>RETIRED CO-OPERATIVE BANK EMPLOYEE</t>
  </si>
  <si>
    <t>HEMAVATHI</t>
  </si>
  <si>
    <t>Veeresh Honnagudi,_x000D_
House No: 8-5-117/38 Ganga Nilaya, Vasundara Nagara Central Public School Road Karatagi - 583229</t>
  </si>
  <si>
    <t>SRI SHARANA BASAVESHWARA ENGLISH MEDIUM HIGH SCHOOL KARATAGI</t>
  </si>
  <si>
    <t>SRI VIDYANIKETAN PU COLLEGE GANAGAVTHI</t>
  </si>
  <si>
    <t>BAPUJI INSTITUTE OF ENGINEERING AND TECHNOLOGY, DAVANGERE</t>
  </si>
  <si>
    <t>AutoCAD,MS Office,MS Project, Primavera, CostX, Revit Architecture, Sketchup, Vray Essential</t>
  </si>
  <si>
    <t>BENAKA DEVELOPERS AND PROJECT PVT LTD | Site Engineer | Bengaluru | Jul 2024 | Jun 2025 | 0Y 11M | 2.34</t>
  </si>
  <si>
    <t>Prestige Estates Projects Limited | Site Execution and Control | Bangalore | May 2026 | Jul 2026 | 7.5714285714286 Weeks | Campus Internship
FORUM OF PRACTICING ARCHITECTS AND CONSULTING CIVIL ENGINEERS | SITE INTERN | DAVANAGERE | Aug 2023 | Sep 2023 | 3.7142857142857 Weeks</t>
  </si>
  <si>
    <t>Master in CIVIL CAD</t>
  </si>
  <si>
    <t>P25700386</t>
  </si>
  <si>
    <t>RISHU</t>
  </si>
  <si>
    <t>Rishu Kumar</t>
  </si>
  <si>
    <t>singhrishu067@gmail.com</t>
  </si>
  <si>
    <t>p25700386@student.nicmar.ac.in</t>
  </si>
  <si>
    <t>24-Mar-1999</t>
  </si>
  <si>
    <t>3776 2016 8063</t>
  </si>
  <si>
    <t>JITENDRA</t>
  </si>
  <si>
    <t>Mini Bigha , Jaidev Nagar Aurangabad , Bihar (824101)</t>
  </si>
  <si>
    <t>LORD BUDDHA PUBLIC SCHOOL ,AURANGABAD , BIHAR</t>
  </si>
  <si>
    <t>C.B.S.E BOARD DELHI</t>
  </si>
  <si>
    <t>R.S.Y COLLEGE DEVKUND, AAURNGABAD , BIHAR (824101)</t>
  </si>
  <si>
    <t>B.S.E.B PATNA BIHAR</t>
  </si>
  <si>
    <t>D.I.T UNIVERSITY DEHRADUN UTTARAKHAND</t>
  </si>
  <si>
    <t>DEHRADUN INSTITUTE OF TECHNOLOGY, DEHRADUN, UTTARAKHAND</t>
  </si>
  <si>
    <t>Pasa Resources pvt. ltd | Site Engineer | Ranchi, Jharkhand | Jan 2023 | Apr 2024 | 1Y 3M | 2.53
TEXAM Projects LLP | Site Engineer | Sangil  Mahasthara  | May 2024 | Jul 2025 | 1Y 1M | 3.36</t>
  </si>
  <si>
    <t>2 Years 5 Months</t>
  </si>
  <si>
    <t>Cemindia Project Limited  | Summer Intern | Karwar , Karnataka | May 2026 | Jun 2026 | 8.1428571428571 Weeks | Campus Internship
PWD Dehradun | Intern | Mussoorie | Apr 2018 | Jul 2018 | 10.285714285714 Weeks
BRBCL | Intern | Aurangabad Bihar | Jun 2019 | Jul 2019 | 5.1428571428571 Weeks</t>
  </si>
  <si>
    <t>P25700387</t>
  </si>
  <si>
    <t>DHAS</t>
  </si>
  <si>
    <t>Sakshi Sanjay Dhas</t>
  </si>
  <si>
    <t>dhassakshi1102@gmail.com</t>
  </si>
  <si>
    <t>p25700387@student.nicmar.ac.in</t>
  </si>
  <si>
    <t>11-Jan-2002</t>
  </si>
  <si>
    <t>6593 1422 4900</t>
  </si>
  <si>
    <t>SANJAY B. DHAS</t>
  </si>
  <si>
    <t>VANITA SANJAY DHAS</t>
  </si>
  <si>
    <t>A/P Masur, Plot No.10, Near Shivaji High School, Kiwal Road ._x000D_
Tal - Karad Dist - Satara</t>
  </si>
  <si>
    <t>LAHOTI KANYA PRASHALA, KARAD</t>
  </si>
  <si>
    <t>MAHARASHTRA STATE BOARD KOLHAPUR/ MAHARASHTRA</t>
  </si>
  <si>
    <t>LIGADE PATIL JR.COLLEGE OF SCIENCE KARAD</t>
  </si>
  <si>
    <t>MAHARASHTRA STATE BOARD KOLHAPUR/MAHARASHTRA</t>
  </si>
  <si>
    <t>D. Y. PATIL COLLEGE OF ENGINEERING AKURDI, PUNE/ MAHARASHTRA</t>
  </si>
  <si>
    <t>AutoCAD,MS Office,MS Project,Revit Architecture,ARC GIS,MS EXCEL</t>
  </si>
  <si>
    <t>K. P. INFRA | JR. Billing Engineer | Karad | Jul 2023 | Jun 2025 | 1Y 11M | 2.4</t>
  </si>
  <si>
    <t>Sobha Ltd | PMO Planning intern | Bangalore | May 2026 | Jul 2026 | 9 Weeks | Campus Internship
AJWANI INFRASTRUCTURE PVT.LTD. | INTERN | PUNE | Jan 2022 | Feb 2022 | 4.7142857142857 Weeks</t>
  </si>
  <si>
    <t>P25700388</t>
  </si>
  <si>
    <t>ABHINAV</t>
  </si>
  <si>
    <t>Abhinav V</t>
  </si>
  <si>
    <t>abhinavvnath10@gmail.com</t>
  </si>
  <si>
    <t>p25700388@student.nicmar.ac.in</t>
  </si>
  <si>
    <t>29-Aug-2002</t>
  </si>
  <si>
    <t>English, Hindi, Malayalam, Tamil</t>
  </si>
  <si>
    <t>5052 3757 4368</t>
  </si>
  <si>
    <t>VISWANATHAN A</t>
  </si>
  <si>
    <t>RTD</t>
  </si>
  <si>
    <t>BHAGIASREE K C</t>
  </si>
  <si>
    <t>Vaiga Malur_x000D_
Sivapuram</t>
  </si>
  <si>
    <t>BHAVANS VIDYA MANDIR CHITHALI</t>
  </si>
  <si>
    <t>JAWAHARLAL COLLEGE OF ENGINEERING AND TECHNOLOGY</t>
  </si>
  <si>
    <t>AutoCAD,MS Office,MS Project,Primavera,Revit,Sketchup</t>
  </si>
  <si>
    <t>Uralungal Labour Contract Co-operative Society Ltd (ULCCS Ltd) | Site execution | Kannur, Kerala | May 2026 | Jul 2026 | 7.7142857142857 Weeks | Campus Internship
MADECKAL CONSTRUCTIONS | INTERNSHIP TRAINEE | MUVATTUPUZHA | Jan 2022 | Jan 2022 | 0.85714285714286 Weeks
SKYLINE BUILDERS | INTERNSHIP TRAINEE | KOCHI | May 2023 | May 2023 | 1.4285714285714 Weeks</t>
  </si>
  <si>
    <t>BIM
Revit Architecture
AutoCAD 2D &amp; 3D
German - 1</t>
  </si>
  <si>
    <t>P25700389</t>
  </si>
  <si>
    <t>SURESHRAO</t>
  </si>
  <si>
    <t>RASEKAR</t>
  </si>
  <si>
    <t>Aditya Sureshrao Rasekar</t>
  </si>
  <si>
    <t>rasekar19@gmail.com</t>
  </si>
  <si>
    <t>p25700389@student.nicmar.ac.in</t>
  </si>
  <si>
    <t>19-Sep-1997</t>
  </si>
  <si>
    <t>6379 4583 0504</t>
  </si>
  <si>
    <t>SHIWAJI WARD DESAIGANJ (WADSA), GADCHIROLI MH</t>
  </si>
  <si>
    <t>Gadchiroli</t>
  </si>
  <si>
    <t>KUTHE PATIL HIGH SCHOOL</t>
  </si>
  <si>
    <t>PRABHAT POLYTECHNIC BRAMHAPURI MAHARASHTRA</t>
  </si>
  <si>
    <t>SAVITRIBAI PHULE PUNE UNIVERSITY,  PUNE MAHARASHTRA</t>
  </si>
  <si>
    <t>G H RAISONI COLLEGE OF ENGINEERING AND MANAGEMENT, PUNE MAHARASHTRA</t>
  </si>
  <si>
    <t>AutoCAD,MS Office,MS Project,Primavera,MS EXCEL</t>
  </si>
  <si>
    <t>SHRAVANI HITECH PRIVATE LIMITED | JR ENGINEER | CHANDRAPUR | Feb 2021 | Jun 2025 | 4Y 4M | 4.36</t>
  </si>
  <si>
    <t>4 Years 4 Months</t>
  </si>
  <si>
    <t>SOBHA LIMITED INDIA | PROJECT PLANNING | BANGLORE | May 2026 | Jul 2026 | 9 Weeks | Campus Internship
ADVANCED BRICKSTONE CONSTRUCTIONS PVT LTD | TRAINEE ENGINEER | PUNE | Aug 2019 | Mar 2020 | 32.571428571429 Weeks</t>
  </si>
  <si>
    <t>Microsoft Project Professional &amp; Primavera P6</t>
  </si>
  <si>
    <t>P25700390</t>
  </si>
  <si>
    <t>CHAITANYA</t>
  </si>
  <si>
    <t>TELTUMBDE</t>
  </si>
  <si>
    <t>Chaitanya Anand Teltumbde</t>
  </si>
  <si>
    <t>chaitanyateltembade4@gmail.com</t>
  </si>
  <si>
    <t>p25700390@student.nicmar.ac.in</t>
  </si>
  <si>
    <t>14-Sep-2003</t>
  </si>
  <si>
    <t>4481 7418 0997</t>
  </si>
  <si>
    <t>ANAND TELTUMBADE</t>
  </si>
  <si>
    <t>BUSINESSMEN</t>
  </si>
  <si>
    <t>NILIMA TELTUMBDE</t>
  </si>
  <si>
    <t>GOODSLAND PG, OPPO DMART, BANER</t>
  </si>
  <si>
    <t>Behind Amit Motors, Sant Tukdoji Ward, Hinganghat</t>
  </si>
  <si>
    <t>ST.JOHN'S HIGHSCHOOL (CBSE)</t>
  </si>
  <si>
    <t>HINGANGHAT, MAHARASHTRA</t>
  </si>
  <si>
    <t>DR. B. R. AMBEDKAR JUNIOR COLLEGE</t>
  </si>
  <si>
    <t>BRACTS VISHWAKARMA INSTITUTE OF INFORMATION TECHNOLOGY</t>
  </si>
  <si>
    <t>ECAS | Business Development Intern | Pune | May 2026 | Jun 2026 | 8.1428571428571 Weeks | Campus Internship
PRUDENT ENGINEERING AND VALUATION SERVICES | VALUATION INTERN  | PUNE | Jan 2025 | May 2025 | 17.142857142857 Weeks</t>
  </si>
  <si>
    <t>P25700391</t>
  </si>
  <si>
    <t>ANVAY</t>
  </si>
  <si>
    <t>GHARAT</t>
  </si>
  <si>
    <t>Anvay R Gharat</t>
  </si>
  <si>
    <t>anvay.gharat01@gmail.com</t>
  </si>
  <si>
    <t>p25700391@student.nicmar.ac.in</t>
  </si>
  <si>
    <t>HINDI, MARATHI, ENGLISH</t>
  </si>
  <si>
    <t>3804 7030 9386</t>
  </si>
  <si>
    <t>RAVINDRA GOVIND GHARAT</t>
  </si>
  <si>
    <t>SAMPADA GOVIND GHARAT</t>
  </si>
  <si>
    <t>Nandadeep CHS, Plot No 70, Sector 9, New Panvel</t>
  </si>
  <si>
    <t>ST.JOSEPH'S HIGH SCHOOL ( RYAN INTERNAL SCHOOL) NAVI MUMBAI</t>
  </si>
  <si>
    <t>C.B.S.E ( PANVEL, MAHARASHTRA)</t>
  </si>
  <si>
    <t>DAV PUBLIC SCHOOL NEW PANVEL NAVI MUMBAI</t>
  </si>
  <si>
    <t>VISHWANIKETAN'S INSTITUTE OF MANAGEMENT ENTREPRENEURSHIP AND ENGINEERING TECHNOLOGY ( KHALAPUR, MAHARASHTRA)</t>
  </si>
  <si>
    <t>2025-Jan</t>
  </si>
  <si>
    <t>AutoCAD,MS Office,MS Project,Primavera P6,CANVA,Revit, Cost X, Naviswork</t>
  </si>
  <si>
    <t>Desai Construction Pvt. Ltd | Planning &amp; Contract Intern | Vapi | May 2026 | Jul 2026 | 8.5714285714286 Weeks | Campus Internship
Akurai PEB LLP | Asst Sales Engineer | Malad | Oct 2023 | Feb 2025 | 72.142857142857 Weeks
J.M. MHATRE INFRA PVT. LTD. | SITE EXECUTION TRAINEE | PANVEL-KARJAT RAILWAY CORRIDOR | Jan 2023 | Apr 2023 | 12.714285714286 Weeks</t>
  </si>
  <si>
    <t>P25700392</t>
  </si>
  <si>
    <t>SHREYARAM</t>
  </si>
  <si>
    <t>Shreyaram Shreyaram</t>
  </si>
  <si>
    <t>shreyaram2404@gmail.com</t>
  </si>
  <si>
    <t>p25700392@student.nicmar.ac.in</t>
  </si>
  <si>
    <t>ENGLISH, KANNADA, HINDI</t>
  </si>
  <si>
    <t>7576 3118 0305</t>
  </si>
  <si>
    <t>N SHANTHARAM</t>
  </si>
  <si>
    <t>CONSULTING CIVIL ENGINEERING</t>
  </si>
  <si>
    <t>JYOTHI S G</t>
  </si>
  <si>
    <t>#FF-03, A-Block, 1st Floor, Ajantha Vihar Apartment, Industrial Town, 4th Phase, Yelahanka New Town, Bengaluru - 560064</t>
  </si>
  <si>
    <t>PRESIDENCY PRE-UNIVERSITY COLLEGE</t>
  </si>
  <si>
    <t>BMS SCHOOL OF ARCHITECTURE</t>
  </si>
  <si>
    <t>AutoCAD, MS Project, MS Word, MS Excel, MS PowerPoint, SketchUp, BIM (Revit), Adobe Photoshop, TwinMotion, D5 Render, Enscape, CostX, Primavera</t>
  </si>
  <si>
    <t>PRESTIGE ESTATES PROJECTS LIMITED | PROJECT MANAGEMENT INTERN | BANGALORE  | May 2026 | Jul 2026 | 8.5714285714286 Weeks | Campus Internship
AJAN DESIGN ATRIUM | ARCHITECTURAL INTERN | BANGALORE  | Jan 2025 | Apr 2025 | 15.428571428571 Weeks</t>
  </si>
  <si>
    <t>Ethics in Engineering
German - I
Indian Town Planning and Architecture
Data Analysis
Finance for Non-Financial Managers
digiQC</t>
  </si>
  <si>
    <t>P25700393</t>
  </si>
  <si>
    <t>RAKESH</t>
  </si>
  <si>
    <t>D</t>
  </si>
  <si>
    <t>Rakesh D</t>
  </si>
  <si>
    <t>diliprakesh29@gmail.com</t>
  </si>
  <si>
    <t>p25700393@student.nicmar.ac.in</t>
  </si>
  <si>
    <t>29-Sep-2000</t>
  </si>
  <si>
    <t>English, Hindi, Telugu, Tamil, Kannada</t>
  </si>
  <si>
    <t>3049 8473 7850</t>
  </si>
  <si>
    <t>S DILIP KUMAR</t>
  </si>
  <si>
    <t>PARTNER</t>
  </si>
  <si>
    <t>D LATHA</t>
  </si>
  <si>
    <t>No. 9905, Dishitha,60ft Road, Vijayanagar 4th Stage 2nd Phase, Near Indian Bank, Mysore_x000D_</t>
  </si>
  <si>
    <t>06429-KENDRIYA VIDYALAYA TUNGABHADRA DAM HOSPET KK</t>
  </si>
  <si>
    <t>CIVIL ENGINEERING (GENERAL)</t>
  </si>
  <si>
    <t>SANDUR POLYTECHNIC, KARNATAKA</t>
  </si>
  <si>
    <t>PES UNIVERSITY</t>
  </si>
  <si>
    <t>PES UNIVERSITY, BENGALURU</t>
  </si>
  <si>
    <t>AutoCAD,MS Office,MS Project,Primavera,Design and Build,Cost &amp; Time Management,Strategic Planning,Conflict Resolution,Rapid Prototyping,Team Building,Stakeholder Management</t>
  </si>
  <si>
    <t>DL Engineering Works | Construction Project Coordinator (Turnkey Projects) | Mysore | Apr 2023 | Jun 2025 | 2Y 2M | 4.14</t>
  </si>
  <si>
    <t>Ahluwalia Contracts (India) Limited | Planning &amp; Commercial | Bengaluru | May 2026 | Jul 2026 | 8.5714285714286 Weeks | Campus Internship
TAHAL Group | Intern | Bangalore  | Nov 2019 | Dec 2019 | 1 Weeks
Nexus India INC | BIM Trainee | Mysore | Jan 2023 | Apr 2023 | 12.857142857143 Weeks</t>
  </si>
  <si>
    <t>P25700394</t>
  </si>
  <si>
    <t>Himanshu Himanshu</t>
  </si>
  <si>
    <t>hsharma2128@gmail.com</t>
  </si>
  <si>
    <t>p25700394@student.nicmar.ac.in</t>
  </si>
  <si>
    <t>17-May-2002</t>
  </si>
  <si>
    <t>English, Hindi, Punjabi, Haryanvi</t>
  </si>
  <si>
    <t>2280 9787 1726</t>
  </si>
  <si>
    <t>SATYAWAN</t>
  </si>
  <si>
    <t>NEELAM</t>
  </si>
  <si>
    <t>393/18 Kaithal, Haryana</t>
  </si>
  <si>
    <t>Kaithal</t>
  </si>
  <si>
    <t>D A V CENTENARY PUBLIC SCHOOL, JIND</t>
  </si>
  <si>
    <t>NAV DURGA SR SEC SCHOOL, JIND</t>
  </si>
  <si>
    <t>BOARD OF SCHOOL EDUCATION HARYANA, HARYANA</t>
  </si>
  <si>
    <t>THAPAR INSTITUTE OF ENGINEERING AND TECHNOLOGY, PATIALA</t>
  </si>
  <si>
    <t>AutoCAD,MS Office,MS Project,Primavera,Autodesk Revit,Staad pro</t>
  </si>
  <si>
    <t>Geoquest India | Operations Intern | Delhi, India | May 2026 | Jun 2026 | 8 Weeks | Campus Internship
A &amp; S CONTRACTING L.L.C | INTERN | DUBAI | Jul 2023 | Dec 2023 | 20.571428571429 Weeks</t>
  </si>
  <si>
    <t>P25700395</t>
  </si>
  <si>
    <t>ASHISH</t>
  </si>
  <si>
    <t>Ashish Mahendra Dubey</t>
  </si>
  <si>
    <t>ashisshhhhh@gmail.com</t>
  </si>
  <si>
    <t>p25700395@student.nicmar.ac.in</t>
  </si>
  <si>
    <t>25-May-2000</t>
  </si>
  <si>
    <t>5589 7871 3881</t>
  </si>
  <si>
    <t>MAHENDRA DUBEY</t>
  </si>
  <si>
    <t>ANITA DUBEY</t>
  </si>
  <si>
    <t>B/406 Rajdeep Apartment Opp Sheetal Cinema Kurla West</t>
  </si>
  <si>
    <t>HOLY CROSS HIGH SCHOOL</t>
  </si>
  <si>
    <t>MAHARASHTRA STATE BOARD OF SECONDARY AND HIGHER SECONDARY EDUCATION MUMBAI/MAHARASHTRA</t>
  </si>
  <si>
    <t>THAKUR COLLEGE OF ENGINEERING AND TECHNOLOGY MUMBAI/MAHARASHTRA</t>
  </si>
  <si>
    <t>Runwal Group | Junior Engineer - Projects  | Mumbai  | Sep 2023 | Jul 2025 | 1Y 10M | 3.5</t>
  </si>
  <si>
    <t>RUNWAL ENTERPRISES | Contracts Intern | Mumbai | May 2026 | Jul 2026 | 8.1428571428571 Weeks | Campus Internship</t>
  </si>
  <si>
    <t>P25700396</t>
  </si>
  <si>
    <t>SIDDHARTH</t>
  </si>
  <si>
    <t>JAIN</t>
  </si>
  <si>
    <t>Siddharth Rajesh Jain</t>
  </si>
  <si>
    <t>siddharth99.srj@gmail.com</t>
  </si>
  <si>
    <t>p25700396@student.nicmar.ac.in</t>
  </si>
  <si>
    <t>26-Apr-2003</t>
  </si>
  <si>
    <t>English , hindi, marathi , marwadi</t>
  </si>
  <si>
    <t>3977 9796 4304</t>
  </si>
  <si>
    <t>RAJESH JAIN</t>
  </si>
  <si>
    <t>BUSSINESSMAN</t>
  </si>
  <si>
    <t>JYOSTNA JAIN</t>
  </si>
  <si>
    <t>72, Appasaheb Nagar, Dondaicha</t>
  </si>
  <si>
    <t>AHINSA INTERNATIONAL SCHOOL</t>
  </si>
  <si>
    <t>MET BHUJBAL KNOWLWDGE CITY, NASHIK</t>
  </si>
  <si>
    <t>WORLD PEACE UNIVERSITY</t>
  </si>
  <si>
    <t>MIT WPU , KOTHRUD PUNE</t>
  </si>
  <si>
    <t>Madhuri Engineers | Planning and coordination  | Pune | May 2026 | Jul 2026 | 8.7142857142857 Weeks | Campus Internship
Dhanavade group | Site engineer  | Pune | Apr 2025 | Jul 2025 | 12.857142857143 Weeks
Bharucha  construction and co. | Quality engineer  | Pune | Jan 2025 | Apr 2025 | 12.857142857143 Weeks</t>
  </si>
  <si>
    <t>Skilling engineers  for professional success</t>
  </si>
  <si>
    <t>P25700397</t>
  </si>
  <si>
    <t>KONDHARE</t>
  </si>
  <si>
    <t>Aniket Santosh Kondhare</t>
  </si>
  <si>
    <t>aniketkondhare05@gmail.com</t>
  </si>
  <si>
    <t>p25700397@student.nicmar.ac.in</t>
  </si>
  <si>
    <t>05-Jun-2001</t>
  </si>
  <si>
    <t>Marathi, English &amp; Hindi</t>
  </si>
  <si>
    <t>9311 1247 9482</t>
  </si>
  <si>
    <t>SANTOSH KONDHARE</t>
  </si>
  <si>
    <t>PRIVATE SECTOR EMPLOYEE</t>
  </si>
  <si>
    <t>ANITA KONDHARE</t>
  </si>
  <si>
    <t>FLAT NO. 1003, FLOOR 10TH, YES RESIDENCY, HADAPSAR GAON, HADAPSAR, PUNE.</t>
  </si>
  <si>
    <t>Subhash Nagar, Post- Jagdish Nagar, Tal- Khalapur, Dist.- Raigad.</t>
  </si>
  <si>
    <t>J.C MAHINDRA MEMORIAL SCHOOL</t>
  </si>
  <si>
    <t>KHOPOLI/MAHARASHTRA</t>
  </si>
  <si>
    <t>SOU. VENUTAI CHAVAN POLYTECHNIC COLLEGE/MAHARASHTRA</t>
  </si>
  <si>
    <t>SINHGAD INSTITUTE OF TECHNOLOGY AND SCIENCE/MAHARASHTRA</t>
  </si>
  <si>
    <t>Microsoft Project (MSP), Primavera, AutoCAD, Revit</t>
  </si>
  <si>
    <t>Progressia Valuers and Consultants LLP | Valuation Engineer | Tilak Road, Pune | Aug 2024 | Jun 2025 | 0Y 10M | 1.8
Millennium Engineers and Contractors Limited. | Trainee. Engineer | Wagholi, Pune | Aug 2023 | Jul 2024 | 0Y 11M | 1.68</t>
  </si>
  <si>
    <t>Convenient Construction Consultancy Pvt Ltd | Planning Intern | Bengaluru, Karnataka, India | May 2026 | Jul 2026 | 9.7142857142857 Weeks | Campus Internship
SUVIDHA CONSTRO | INTERN | MAYUR COLONY, KOTHRUD, PUNE | May 2019 | Jun 2019 | 6 Weeks</t>
  </si>
  <si>
    <t>Diploma in BIM Professional (DBIM)
Asian Paints Smart Idea Challenge 2025</t>
  </si>
  <si>
    <t>P25700398</t>
  </si>
  <si>
    <t>NALAMWAR</t>
  </si>
  <si>
    <t>Nalamwar Priya Santosh</t>
  </si>
  <si>
    <t>priyasantoshnalamwar@gmail.com</t>
  </si>
  <si>
    <t>p25700398@student.nicmar.ac.in</t>
  </si>
  <si>
    <t>06-Oct-2003</t>
  </si>
  <si>
    <t>5833 1483 8857</t>
  </si>
  <si>
    <t>SAPANA</t>
  </si>
  <si>
    <t>501, NEEV CLASSIC, MADHUBAN SOCIETY RD, BALEWADI</t>
  </si>
  <si>
    <t>44/45, Balaji Niwas, Green Park, Arni</t>
  </si>
  <si>
    <t>SUNRISE NURSERY &amp; CONVENT, ARNI</t>
  </si>
  <si>
    <t>GOVERNMENT POLYTECHNIC PUNE</t>
  </si>
  <si>
    <t>SLB Onesubsea | Planner | Hinjewadi, Pune | May 2026 | Jul 2026 | 8.5714285714286 Weeks | Campus Internship
Legacy Lifespaces | Site Engineer | Ravet, Pune | Dec 2023 | Jan 2024 | 5.2857142857143 Weeks</t>
  </si>
  <si>
    <t>P25700399</t>
  </si>
  <si>
    <t>GOWDA</t>
  </si>
  <si>
    <t>R C</t>
  </si>
  <si>
    <t>Manoj Gowda R C</t>
  </si>
  <si>
    <t>manojgowdarc@gmail.com</t>
  </si>
  <si>
    <t>p25700399@student.nicmar.ac.in</t>
  </si>
  <si>
    <t>16-Jan-2004</t>
  </si>
  <si>
    <t>ENGLISH,KANNADA,TELUGU,HINDI</t>
  </si>
  <si>
    <t>5070 3908 5218</t>
  </si>
  <si>
    <t>R.A CHANDRAPPA</t>
  </si>
  <si>
    <t>FARMAR</t>
  </si>
  <si>
    <t>BHAGYAMMA</t>
  </si>
  <si>
    <t>REDDIHALLI (V) , DAVANAHALLI (T),BANGALORE RURAL (D), 562129</t>
  </si>
  <si>
    <t>NANDINI VIDYANIKETHANA H S</t>
  </si>
  <si>
    <t>JSS POLYTECHNIC / BGS POLYTECHNIC , KARNATAKA</t>
  </si>
  <si>
    <t>NEW HORIZON COLLEGE OF ENGINEERING , BENGALURU</t>
  </si>
  <si>
    <t>AutoCAD, MS Office, MS Project, P6 primavera,CostX,AutoCAD Civil 3D, MS Excel, BIM</t>
  </si>
  <si>
    <t>Rodic Consultants Pvt Ltd | Business Development | Delhi | May 2026 | Jul 2026 | 8.7142857142857 Weeks | Campus Internship
Cendrol Contruction Contracts Pvt Ltd | Construction Project Engineer Intern | Bengaluru  | Jan 2025 | Mar 2025 | 6.7142857142857 Weeks</t>
  </si>
  <si>
    <t>Ethics in Engineering Practice
Finance for Non-Financial Managers
Google Project Management</t>
  </si>
  <si>
    <t>P25700400</t>
  </si>
  <si>
    <t>GURAV</t>
  </si>
  <si>
    <t>SUDESH</t>
  </si>
  <si>
    <t>Gurav Sudesh Suresh</t>
  </si>
  <si>
    <t>sudeshgurav2003@gmail.com</t>
  </si>
  <si>
    <t>p25700400@student.nicmar.ac.in</t>
  </si>
  <si>
    <t>22-Jan-2003</t>
  </si>
  <si>
    <t>5246 2028 5205</t>
  </si>
  <si>
    <t>Maharatna Nivas, Navin Vasahat, _x000D_
A/p Harali BK, Gadhinglaj</t>
  </si>
  <si>
    <t>CREATIVE HIGH SCHOOL, GADHINGLAJ</t>
  </si>
  <si>
    <t>K. J. SOMAIYA POLYTECHNIC VIDYAVIHAR, MUMBAI</t>
  </si>
  <si>
    <t>SAVATRIBAI PHULE PUNE UNIVERSITY</t>
  </si>
  <si>
    <t>DR. D. Y.PATIL INSTITUTE OF TECHNOLOGY PIMPRI,PUNE</t>
  </si>
  <si>
    <t>New Consolidated Construction Company Limited | Site Execution | Juinagar , Navi Mumbai | May 2026 | Jul 2026 | 8.5714285714286 Weeks | Campus Internship
Legacy Lifespace | Site Engineer | Ravet ,Pune | Dec 2023 | Jan 2024 | 3.8571428571429 Weeks</t>
  </si>
  <si>
    <t>P25700401</t>
  </si>
  <si>
    <t>HIMESH</t>
  </si>
  <si>
    <t>Himesh Pravin Patil</t>
  </si>
  <si>
    <t>himeshpatil1705@gmail.com</t>
  </si>
  <si>
    <t>p25700401@student.nicmar.ac.in</t>
  </si>
  <si>
    <t>24-Sep-2000</t>
  </si>
  <si>
    <t>English, Hindi, Marathi, Gujrati</t>
  </si>
  <si>
    <t>3293 2920 4387</t>
  </si>
  <si>
    <t>ASSISTANT TEACHER</t>
  </si>
  <si>
    <t>PRADNYA</t>
  </si>
  <si>
    <t>13/B, AASHIRWAD, SHIV SUNDARAM NAGAR, DONGARGAON ROAD</t>
  </si>
  <si>
    <t>Nandurbar</t>
  </si>
  <si>
    <t>AT- ALKHED, POST- PADALDA, TALUKA- SHAHADA, DISTRICT- NANDURBAR.</t>
  </si>
  <si>
    <t>SHETH V.K.SHAH VIDYAMANDIR SHAHADA</t>
  </si>
  <si>
    <t>KAI.SAU.G.F.PATIL JUNIOR COLLEGE OF ARTS, SCIENCE AND COMMERCE.</t>
  </si>
  <si>
    <t>JSPM'S RAJARSHI SHAHU COLLEGE OF ENGINEERING, PUNE.</t>
  </si>
  <si>
    <t>AutoCAD,MS Office,MS Project,Primavera,CostX</t>
  </si>
  <si>
    <t>PASS DEVELOPERS | Civil Trainee | MOSHI, PUNE | Jun 2022 | Jun 2022 | -0.14285714285714 Weeks
NISHANK CONSTRUCTIONS | Civil Engineering Intern | Palghar | Sep 2024 | Jun 2025 | 43.142857142857 Weeks</t>
  </si>
  <si>
    <t>Applications OF Microsoft Project</t>
  </si>
  <si>
    <t>P25700402</t>
  </si>
  <si>
    <t>Hardik Singh</t>
  </si>
  <si>
    <t>hardiksingh635@gmail.com</t>
  </si>
  <si>
    <t>p25700402@student.nicmar.ac.in</t>
  </si>
  <si>
    <t>28-Oct-2003</t>
  </si>
  <si>
    <t>3766 2191 5691</t>
  </si>
  <si>
    <t>BASHESHWAR SINGH</t>
  </si>
  <si>
    <t>REKHA</t>
  </si>
  <si>
    <t>C-19 BEL COLONY KOTDWAR BALBHADRAPUR</t>
  </si>
  <si>
    <t>Pauri</t>
  </si>
  <si>
    <t>Uttarakhand</t>
  </si>
  <si>
    <t>BALUNI PUBLIC SCHOOL</t>
  </si>
  <si>
    <t>CBSE (UTTAR PRADESH)</t>
  </si>
  <si>
    <t>UTTARAKHAND TECHNICAL UNIVERSITY</t>
  </si>
  <si>
    <t>GOVIND BALLABH PANT INSTITUTE OF ENGINEERING &amp; TECHNOLOGY (UTTARAKHAND</t>
  </si>
  <si>
    <t>AutoCAD,MS Office,MS Project,Primavera,CIVIL 3D,Adobe Premiere pro,Filmora</t>
  </si>
  <si>
    <t>CLANCY GLOBAL CONSULTANCY | SITE EXECUTION | DELHI NCR | May 2026 | Jul 2026 | 8.7142857142857 Weeks | Campus Internship
Public Works Department | SITE INTERN (PWD) | ROORKEE | Jun 2023 | Jul 2023 | 4.1428571428571 Weeks
Bharat Electronics Limited (BEL) | INTERN | KOTDWARA | Jul 2022 | Aug 2022 | 4.2857142857143 Weeks</t>
  </si>
  <si>
    <t xml:space="preserve">Finance for Non-Financial Managers
Construction Equipment Maintenance &amp; Safety
Data Analysis
NPTEL (Ethics in Engineering Practice, German)
digiQC </t>
  </si>
  <si>
    <t>P25700403</t>
  </si>
  <si>
    <t>MALVIYA</t>
  </si>
  <si>
    <t>Pushpendra Malviya</t>
  </si>
  <si>
    <t>pushpm1234@gmail.com</t>
  </si>
  <si>
    <t>p25700403@student.nicmar.ac.in</t>
  </si>
  <si>
    <t>27-Dec-2002</t>
  </si>
  <si>
    <t>Hindi and English</t>
  </si>
  <si>
    <t>3552 5778 3476</t>
  </si>
  <si>
    <t>SUNIL MALVIYA</t>
  </si>
  <si>
    <t>SUNITA MALVIYA</t>
  </si>
  <si>
    <t>JR.MIG, 6/1, ANKUR COMPLEX PHASE-3, NEAR PARUL HOSPITAL, SHIVAJI NAGAR</t>
  </si>
  <si>
    <t>MAHARISHI VIDYA MANDIR, RATANPUR</t>
  </si>
  <si>
    <t>CBSE, BHOPAL, MADHYA PRADESH</t>
  </si>
  <si>
    <t>MAULANA AZAD NATIONAL INSTITUTE OF TECHNOLOGY</t>
  </si>
  <si>
    <t>MANIT BHOPAL, MADHYA PRADESH</t>
  </si>
  <si>
    <t>AutoCAD,MS Office,MS Project,Primavera,QGIS,Sketchup,Autodesk Flow,ArcGIS,Google Earth,Data Analysis,Revit,Navisworks,CostX</t>
  </si>
  <si>
    <t>Dilip Buildcon Ltd. | Contracts Intern | Bhopal | May 2026 | Jul 2026 | 8.7142857142857 Weeks | Campus Internship
Town and Country Planning, Madhya Pradesh | Data Analyst  | Bhopal | May 2024 | Jun 2024 | 6.4285714285714 Weeks</t>
  </si>
  <si>
    <t>Six Sigma Green Belt
Project Management in Construction
Highway Planning, Pavement Design and Construction
Data Analysis
Project Management Principles and Practices Specialization
Infrastructure for Transportation Systems
Construction Equipment Maintenance &amp; Safety
Sustainable Design Practices in Building Design
Mechanization in Construction Specialization
Construction Project Management
Construction Management Fundamentals
Finance for Non-Financial Managers</t>
  </si>
  <si>
    <t>P25700404</t>
  </si>
  <si>
    <t>SUNNY</t>
  </si>
  <si>
    <t>BARWAL</t>
  </si>
  <si>
    <t>Sunny Sanjay Barwal</t>
  </si>
  <si>
    <t>sunnybarwal46@gmail.com</t>
  </si>
  <si>
    <t>p25700404@student.nicmar.ac.in</t>
  </si>
  <si>
    <t>07-Mar-2002</t>
  </si>
  <si>
    <t>8971 7099 3403</t>
  </si>
  <si>
    <t>SANJAY BARWAL</t>
  </si>
  <si>
    <t>SANGITA BARWAL</t>
  </si>
  <si>
    <t>B-5, Suyog Colony, Padampura, Aurangabad, Maharashtra</t>
  </si>
  <si>
    <t>THE COUNCIL FOR THE INDIAN SCHOOL CERTIFICATE EXAMINATIONS, NEW DELHI</t>
  </si>
  <si>
    <t>DEOGIRI COLLEGE</t>
  </si>
  <si>
    <t>DEOGIRI INSTITUTE OF ENGINEERING AND MANAGEMENT STUDIES, AURANGABAD, MAHARASHTRA</t>
  </si>
  <si>
    <t>ANAROCK Property Consultants Pvt. Ltd | Intern-PMES | Bangalore  | May 2026 | Jul 2026 | 8.7142857142857 Weeks | Campus Internship
Ideal Infratech | Site Supervisor  | Golwadi Bypass, Aurangabad, Maharashtra | Feb 2024 | May 2024 | 12.857142857143 Weeks</t>
  </si>
  <si>
    <t>P25700405</t>
  </si>
  <si>
    <t>GLYDA</t>
  </si>
  <si>
    <t>PAIVA</t>
  </si>
  <si>
    <t>Glyda Paiva</t>
  </si>
  <si>
    <t>glydapaiva@gmail.com</t>
  </si>
  <si>
    <t>p25700405@student.nicmar.ac.in</t>
  </si>
  <si>
    <t>24-Jun-2003</t>
  </si>
  <si>
    <t>6299 7635 1012</t>
  </si>
  <si>
    <t>JUFRIN PAIVA</t>
  </si>
  <si>
    <t>RETIRED ASSISTANT ENGINEER, KSEB</t>
  </si>
  <si>
    <t>SERINA REBELLO</t>
  </si>
  <si>
    <t>BETHEL, Colony Road, Manjummel</t>
  </si>
  <si>
    <t>AL-AMEEN PUBLIC SCHOOL, EDAPPALLY, KOCHI</t>
  </si>
  <si>
    <t>CENTRAL BOARD OF SECONDARY EDUCATION, KOCHI</t>
  </si>
  <si>
    <t>SACRED HEART HIGHER SECONDARY SCHOOL, KERALA</t>
  </si>
  <si>
    <t>KMEA ENGINEERING COLLEGE, KERALA</t>
  </si>
  <si>
    <t>AutoCAD,MS Office,MS Project,Primavera,Geostudio(Slope/W)</t>
  </si>
  <si>
    <t>Uralungal Labour Contract Co-operative Society(ULCCS) | Intern | Varkala, Kerala | May 2026 | Jul 2026 | 8 Weeks | Campus Internship
A &amp; E PROJECTS | INTERN | ERNAKULAM | May 2023 | May 2023 | 0.85714285714286 Weeks</t>
  </si>
  <si>
    <t>P25700406</t>
  </si>
  <si>
    <t>AKHILESH</t>
  </si>
  <si>
    <t>CHOUDHARY</t>
  </si>
  <si>
    <t>Akhilesh Choudhary</t>
  </si>
  <si>
    <t>cakhilesh218@gmail.com</t>
  </si>
  <si>
    <t>p25700406@student.nicmar.ac.in</t>
  </si>
  <si>
    <t>24-Oct-1999</t>
  </si>
  <si>
    <t>7127 1912 3748</t>
  </si>
  <si>
    <t>VASANT CHOUDHARY</t>
  </si>
  <si>
    <t>USHA CHOUDHARY</t>
  </si>
  <si>
    <t>WARD NO 10 KADU COLONY SAUSAR</t>
  </si>
  <si>
    <t>Chhindwara</t>
  </si>
  <si>
    <t>Pipla Narayanwar Ward No 06</t>
  </si>
  <si>
    <t>OM SAI CENTRAL PUBLIC SCHOOL SAUSAR</t>
  </si>
  <si>
    <t>CBSE SAUSAR/MADHYA PRADESH</t>
  </si>
  <si>
    <t>SHRI CHAITANYA KALASHYALA</t>
  </si>
  <si>
    <t>TSBIE HYDERABAD/ TELANGANA</t>
  </si>
  <si>
    <t>YESHWANTRAO CHAVAN COLLEGE OF ENGINEERING NAGPUR/MAHARASHTRA</t>
  </si>
  <si>
    <t>AutoCAD,MS Office,MS Project,Primavera,Sql,Excel</t>
  </si>
  <si>
    <t>S.K. Associate | Project Engineer | Nagpur (Maharashtra) | Oct 2021 | Oct 2022 | 1Y 0M | 2.25
Narayana Infra Construction | Site Engineer | Sausar (Madhya Pradesh) | Nov 2022 | Jun 2023 | 0Y 7M | 2.82
Quess Corp Limited (ADANI GREEN ENERGY LTD) | Engineer  | khavda (Gujarat) | Jul 2023 | Dec 2024 | 1Y 5M | 5.37</t>
  </si>
  <si>
    <t>3 Years 2 Months</t>
  </si>
  <si>
    <t>Masin Projects Private Limited  | Summer Intern - Delay / Quantum Department | Gurgaon | May 2026 | Jul 2026 | 8.7142857142857 Weeks | Campus Internship</t>
  </si>
  <si>
    <t>Zero Energy Building
Finance for Non-Financial Manager
Adani Agel Spot  Recognition
Autocad</t>
  </si>
  <si>
    <t>P25700408</t>
  </si>
  <si>
    <t>ALAGAR</t>
  </si>
  <si>
    <t>SANTHOSH</t>
  </si>
  <si>
    <t>Alagar Santhosh S</t>
  </si>
  <si>
    <t>alagarsam2003@gmail.com</t>
  </si>
  <si>
    <t>p25700408@student.nicmar.ac.in</t>
  </si>
  <si>
    <t>11-Jan-2003</t>
  </si>
  <si>
    <t>English,Tamil</t>
  </si>
  <si>
    <t>6007 4240 7323</t>
  </si>
  <si>
    <t>SAMPATH A</t>
  </si>
  <si>
    <t>HR MANAGER</t>
  </si>
  <si>
    <t>DHANALAKSHMI K</t>
  </si>
  <si>
    <t>1/1270,Vivekananthar Street,_x000D_
Pandian Nagar,_x000D_
Virudhunagar</t>
  </si>
  <si>
    <t>KSHATRIYA VIDHYA SALA ENGLISH MEDIUM SCHOOL</t>
  </si>
  <si>
    <t>VIRUDHUNAGAR</t>
  </si>
  <si>
    <t>PSG INSTITUTE OF TECHNOLOGY AND APPLIED RESEARCH</t>
  </si>
  <si>
    <t>COIMBATORE</t>
  </si>
  <si>
    <t>AutoCAD,MS Office,MS Project,Primavera,CostX,BIM</t>
  </si>
  <si>
    <t>Sobha Limited | Planning | Bengaluru | May 2026 | Jul 2026 | 9 Weeks | Campus Internship
Larsen and Toubro | Internship Chennai metro | Chennai | Jul 2023 | Aug 2023 | 4.4285714285714 Weeks
S &amp; P Foundation | Intern â€“ Billing &amp; Quantity Surveying (Residential project) | Chennai | Sep 2024 | Feb 2025 | 24.571428571429 Weeks</t>
  </si>
  <si>
    <t>Drone Surveying and Mapping by Bentley Institute.</t>
  </si>
  <si>
    <t>P25700409</t>
  </si>
  <si>
    <t>PARAS</t>
  </si>
  <si>
    <t>NAGESH</t>
  </si>
  <si>
    <t>Paras Nagesh Patil</t>
  </si>
  <si>
    <t>patilparas22@gmail.com</t>
  </si>
  <si>
    <t>p25700409@student.nicmar.ac.in</t>
  </si>
  <si>
    <t>4637 9048 3777</t>
  </si>
  <si>
    <t>NAGESH CHALU PATIL</t>
  </si>
  <si>
    <t>ASHWINI NAGESH PATIL</t>
  </si>
  <si>
    <t>C-1,203 , Sanghavi Valley_x000D_
Parsik Nagar , Old Mumbai Pune Road</t>
  </si>
  <si>
    <t>SAHAKAR VIDHYA PRASARAK MANDAL SECONARY SCHOOL</t>
  </si>
  <si>
    <t>MAHARASTRA STATE BOARD OF SECONDARY AND HIGHER EECONDARY EDUCATION, PUNE</t>
  </si>
  <si>
    <t>GOVERNMENT POLYTECHNIC, MUMBAI,BANDRA</t>
  </si>
  <si>
    <t>DATTA MEGHE COLLEGE OF ENGINEERING,AIROLI</t>
  </si>
  <si>
    <t>AutoCAD,MS Office,MS Project,ETABS,QGIS</t>
  </si>
  <si>
    <t>Embassy Developments Ltd. | Construction- Intern | Thane  | May 2026 | Jul 2026 | 8.4285714285714 Weeks | Campus Internship
B.G.SHIRKE CONSTRUCTION TECHNOLOGY PVT. LTD. | INTERN  | SHIRDHON, DOMBIVLI | Jun 2024 | Jul 2024 | 4.2857142857143 Weeks
JAIN ENGINEERS PVT. LTD. | INTERN  | PALAVA, KHONI, DOMBIVLI (EAST) | Feb 2022 | Sep 2022 | 30.142857142857 Weeks</t>
  </si>
  <si>
    <t>P25700410</t>
  </si>
  <si>
    <t>ABHIJITH</t>
  </si>
  <si>
    <t>K M</t>
  </si>
  <si>
    <t>Abhijith K M</t>
  </si>
  <si>
    <t>abhijithmanoj666@gmail.com</t>
  </si>
  <si>
    <t>p25700410@student.nicmar.ac.in</t>
  </si>
  <si>
    <t>9206 1992 5411</t>
  </si>
  <si>
    <t>MANOJ KUMAR K T</t>
  </si>
  <si>
    <t>SIJIMOL P M</t>
  </si>
  <si>
    <t>KAROTH HOUSE, WEST KADUNGALLOOR.P.O, ALUVA, ERNAKULAM,KERALA</t>
  </si>
  <si>
    <t>RAJASHREE S M MEMORIAL SCHOOL ALUVA</t>
  </si>
  <si>
    <t>CENTRAL  BOARD OF SECONDARY EDUCATION, KERALA</t>
  </si>
  <si>
    <t>SNDP HSS ALUVA</t>
  </si>
  <si>
    <t>GOVERNMENT OF KERALA BOARD OF HIGHER SECONDARY EXAMINATIONS KERALA</t>
  </si>
  <si>
    <t>COCHIN INTERNATIONAL AIRPORT LIMITED | SITE SUPERVISION | COCHIN INTERNATIONAL AIRPORT | Jan 2024 | Dec 2024 | 0Y 11M | 1.62</t>
  </si>
  <si>
    <t>Sobha Limited | Project Management &amp; Planning Intern | Marina One, Kochi | May 2026 | Jul 2026 | 9 Weeks | Campus Internship</t>
  </si>
  <si>
    <t>P25700411</t>
  </si>
  <si>
    <t>MARICHERLA</t>
  </si>
  <si>
    <t>Navya Maricherla</t>
  </si>
  <si>
    <t>navyamaricherla0506@gmail.com</t>
  </si>
  <si>
    <t>p25700411@student.nicmar.ac.in</t>
  </si>
  <si>
    <t>05-Sep-2000</t>
  </si>
  <si>
    <t>English, Hindi, Telugu, Marathi</t>
  </si>
  <si>
    <t>7913 1808 0294</t>
  </si>
  <si>
    <t>JAGADISH MARICHERLA</t>
  </si>
  <si>
    <t>DEPUTY CHIEF ENGINEER</t>
  </si>
  <si>
    <t>SUNEETA MARICHERLA</t>
  </si>
  <si>
    <t>Green Zone Society, D Building, Flat No. 501, Opp To Mohan Nagar Society, Baner-Sus Link Road, Baner</t>
  </si>
  <si>
    <t>KENDRIYA VIDYALAYA O F BHUSAWAL JALGAON MR</t>
  </si>
  <si>
    <t>MACRO VISION ACADEMY BURHANPUR DT KHANDWA MP</t>
  </si>
  <si>
    <t>VISHWAKARMA INSTITUTE OF INFORMATION TECHNOLOGY</t>
  </si>
  <si>
    <t>AutoCAD,MS Office,MS Project,Primavera,BIM,Cost X</t>
  </si>
  <si>
    <t>MAHINDRA LIFESPACE DEVELOPERS LIMITED | SR. EXECUTIVE PLANNING | PUNE | Jul 2022 | Jul 2025 | 2Y 11M | 7.68</t>
  </si>
  <si>
    <t>KPMG India | Transformation- Major Projects Advisory  | Mumbai | May 2026 | Jun 2026 | 7.5714285714286 Weeks | Campus Internship
CENTRAL RAILWAYS | ENGINEER TRAINEE | PUNE | Jun 2020 | Nov 2020 | 21.857142857143 Weeks</t>
  </si>
  <si>
    <t>Communicate to Connect
Cost and Resource Loading in Microsoft Project
Successful Presentation
Excel Skills for Business Essentials
Project Management: The Basics for Success
Finance for Non-Financial Managers</t>
  </si>
  <si>
    <t>P25700412</t>
  </si>
  <si>
    <t>S M</t>
  </si>
  <si>
    <t>Abhishek S M</t>
  </si>
  <si>
    <t>abhya72@gmail.com</t>
  </si>
  <si>
    <t>p25700412@student.nicmar.ac.in</t>
  </si>
  <si>
    <t>21-Jan-1999</t>
  </si>
  <si>
    <t>English, Kannada, Hindi, Telugu</t>
  </si>
  <si>
    <t>3924 4400 6847</t>
  </si>
  <si>
    <t>NAGARAJ S M</t>
  </si>
  <si>
    <t>LAKSHMI S M</t>
  </si>
  <si>
    <t>Ward 6, Near Vinayaka Nagar, 2nd Cross Road, Kampli - 583132</t>
  </si>
  <si>
    <t>SAPTHAGIRI PUBLIC SCHOOL, GANGAVATHI</t>
  </si>
  <si>
    <t>INDIAN CERTIFICATE OF SECONDARY EDUCATION (ICSE), GANGAVATHI, KARNATAKA</t>
  </si>
  <si>
    <t>SMT. PUSHPA SHAMANUR MAHALINGAPPA PU COLLEGE, DAVANGERE</t>
  </si>
  <si>
    <t>DEPARTMENT OF PRE-UNIVERSITY EDUCATION, DAVANAGERE, KARNATAKA</t>
  </si>
  <si>
    <t>THE NATIONAL INSTITUTE OF ENGINEERING, MYSURU, KARNATAKA</t>
  </si>
  <si>
    <t>AutoCAD,MS Office,MS Project,Primavera,Civil 3D,SketchUp,Lumion,revit</t>
  </si>
  <si>
    <t>M R Constructions &amp; Consultancy | Junior Civil Engineer | Gangavathi, Karnataka | Nov 2023 | Oct 2024 | 0Y 11M | 1.44
Atkins | Graduate Engineer | Bengaluru | Aug 2022 | Aug 2023 | 1Y 0M | 4.24</t>
  </si>
  <si>
    <t>Prestige Estates Projects Ltd | Site Execution + Control | Bengaluru | May 2026 | Jul 2026 | 8.5714285714286 Weeks | Campus Internship</t>
  </si>
  <si>
    <t>P25700413</t>
  </si>
  <si>
    <t>VACHAN</t>
  </si>
  <si>
    <t>GAIKWAD</t>
  </si>
  <si>
    <t>Vivek Vachan Gaikwad</t>
  </si>
  <si>
    <t>vivekgaikwad910@gmail.com</t>
  </si>
  <si>
    <t>p25700413@student.nicmar.ac.in</t>
  </si>
  <si>
    <t>10-Aug-2004</t>
  </si>
  <si>
    <t>8502 3448 4866</t>
  </si>
  <si>
    <t>VACHAN GAIKWAD</t>
  </si>
  <si>
    <t>PINKI GAIKWAD</t>
  </si>
  <si>
    <t>Baliram Niwas, Tisgoan, Kalyan, East, 421306</t>
  </si>
  <si>
    <t>SAMRAT ASHOK HIGHSCHOOL</t>
  </si>
  <si>
    <t>AutoCAD,MS Office,MS Project,Primavera,Revit,Navisworks,CostX</t>
  </si>
  <si>
    <t>PSP Projects Limited  | Civil-Intern | Dharavi, Mumbai | May 2026 | Jul 2026 | 8.7142857142857 Weeks | Campus Internship
B.G.SHIRKE CONSTRUCTION TECHNOLOGY PVT.LTD. | INTERN  | DOMBIVLI | Jun 2024 | Jul 2024 | 4.2857142857143 Weeks</t>
  </si>
  <si>
    <t>P25700414</t>
  </si>
  <si>
    <t>HARSHAVARDHAN</t>
  </si>
  <si>
    <t>Harshavardhan B</t>
  </si>
  <si>
    <t>hvb10082212@gmail.com</t>
  </si>
  <si>
    <t>p25700414@student.nicmar.ac.in</t>
  </si>
  <si>
    <t>22-Sep-2000</t>
  </si>
  <si>
    <t>English, Kannada, Hindi, Telugu, Tamil</t>
  </si>
  <si>
    <t>6234 2752 1509</t>
  </si>
  <si>
    <t>BALAJI BHASKAR</t>
  </si>
  <si>
    <t>CHANDRAKALA</t>
  </si>
  <si>
    <t>789, 6th Cross Road, BHCS Layout, Lakkegowdanagar, Uttarahalli, Bangalore 560061</t>
  </si>
  <si>
    <t>CARMEL ENGLISH HIGH SCHOOL, BANGALORE</t>
  </si>
  <si>
    <t>RASHTREEYA VIDYALAYA PRE UNIVERSITY COLLEGE (RVPU), BANGALORE</t>
  </si>
  <si>
    <t>DEPARTMENT OF PRE UNIVERSITY EDUCATION, KARNATAKA</t>
  </si>
  <si>
    <t>VISVESVARAYA TECHNOLOGICAL UNIVERSITY, BELAGAVI, KARNATAKA</t>
  </si>
  <si>
    <t>B.M.S COLLEGE OF ARCHITECTURE, BANGALORE</t>
  </si>
  <si>
    <t>Autodesk ACC - AutoCAD, Revit, Navisworks ; Bexel Manager, Sketchup, MS Office, MS Project, Primavera, CostX, Adobe Photoshop, Enscape, V-ray, Twinmotion, Lumion</t>
  </si>
  <si>
    <t>Int-Hab Architecture + Design Studio | Junior Architect | J P nagar, Bengaluru | Jul 2024 | Jul 2025 | 1Y 0M | 2.64</t>
  </si>
  <si>
    <t>ASBL  | Design Coordination + Research Intern | Hyderabad | May 2026 | Jul 2026 | 8.7142857142857 Weeks | Campus Internship
369 OCHRE STUDIO | DESIGN AND DOCUMENTATION CONSULTANT | BENGALURU | Jun 2023 | Jun 2024 | 52.285714285714 Weeks
Urban Frame PVT.LTD | Architecture Intern | Bengaluru | Aug 2022 | Dec 2022 | 17.428571428571 Weeks</t>
  </si>
  <si>
    <t>NPTEL - Ethics in Engineering Practice
Coursera - Finance for Non-Financial Managers
Coursera - TBMs, Pile Rigs, Cranes &amp; Hauling Vehicles
Indian Town Planning and Architecture in Indian Knowlwdge system (IKS)
Coursera - Construction Equipment Maintainence and Safety
Coursera - Data Analysis</t>
  </si>
  <si>
    <t>P25700415</t>
  </si>
  <si>
    <t>SURESHCHANDRA</t>
  </si>
  <si>
    <t>GOSAVI</t>
  </si>
  <si>
    <t>Sai Sureshchandra Gosavi</t>
  </si>
  <si>
    <t>gosavisaisureshchandra24@gmail.com</t>
  </si>
  <si>
    <t>p25700415@student.nicmar.ac.in</t>
  </si>
  <si>
    <t>24-Sep-2002</t>
  </si>
  <si>
    <t>2326 0232 5110</t>
  </si>
  <si>
    <t>PROFESSOR HOD, POLYTECHNIC COLLEGE</t>
  </si>
  <si>
    <t>A/103, Ruhsbah Tower, Suncity, Vasai West, Mumbai, Pin-401202</t>
  </si>
  <si>
    <t>CARMELITE CONVENT ENGLISH HIGH SCHOOL</t>
  </si>
  <si>
    <t>M.G.M ACADEMY HIGH SCHOOL &amp; JUNIOR COLLEGE OF ARTS, COMMERCE &amp; SCIENCE</t>
  </si>
  <si>
    <t>VIDYAVARDHINI'S BHAUSAHEB VARTAK POLYTECHNIC</t>
  </si>
  <si>
    <t>VIDYAVARDHINI'S COLLEGE OF ENGINEERING AND TECHNOLOGY, MUMBAI, MAHARASHTRA</t>
  </si>
  <si>
    <t>AutoCAD, MS Office, MS Project, Primavera, Revit, Navisworks, CostX</t>
  </si>
  <si>
    <t>EN CON PROJECT CONSULTANTS FOR ARCHITECTURAL &amp; STRUCTURAL WORKS | TRAINEE ENGINEER | MUMBAI, VASAI | Jun 2023 | Jul 2023 | 2.7142857142857 Weeks
Gleeds Consultancy | Intern Cost Management | Mumbai, Andheri- Marol | May 2026 | Jul 2026 | 8.7142857142857 Weeks</t>
  </si>
  <si>
    <t>Certificate of Excellence
VNPS-25
OSCILLATIONS'25
VNPS-24
OSCILLATIONS'24
OSCILLATIONS'23</t>
  </si>
  <si>
    <t>P25700416</t>
  </si>
  <si>
    <t>MANAV</t>
  </si>
  <si>
    <t>MUKESH</t>
  </si>
  <si>
    <t>Manav Mukesh Parmar</t>
  </si>
  <si>
    <t>manav.p.3622@gmail.com</t>
  </si>
  <si>
    <t>p25700416@student.nicmar.ac.in</t>
  </si>
  <si>
    <t>22-Oct-2003</t>
  </si>
  <si>
    <t>6812 9344 3411</t>
  </si>
  <si>
    <t>MUKESH A. PARMAR</t>
  </si>
  <si>
    <t>BHAVNA M. PARMAR</t>
  </si>
  <si>
    <t>A/201-SF, Shivalik Avenue, Near Nirma Vidhyavihar, Bodakdev, Ahmedabad, Gujrat-380054</t>
  </si>
  <si>
    <t>Ahmedabad</t>
  </si>
  <si>
    <t>SADHANA VIDHYALAYA</t>
  </si>
  <si>
    <t>GUJRAT SECONDARY &amp; HIGHER SECONDARY EDUCATION BOARD, GANDHINAGAR</t>
  </si>
  <si>
    <t>NIRMA UNIVERSITY</t>
  </si>
  <si>
    <t>NIRMA UNIVERSITY / AHMEDDABAD / GUJRAT</t>
  </si>
  <si>
    <t>AutoCAD,MS Office,MS Project,Primavera,Revit,Staad pro,Navisworks,Power BI</t>
  </si>
  <si>
    <t>PSP PROJECTS LIMITED  | Civil intern | Mahim railway Scrapyard, Mumbai  | May 2026 | Jul 2026 | 8.5714285714286 Weeks | Campus Internship
Aashir Engineering Pvt.Ltd | Intern (BIM Planning &amp; Estimation) | Ahmedabad, Gujrat | Dec 2024 | Apr 2025 | 16.571428571429 Weeks
Rigid Construction Corporation | Trainee Engineer | Ahmedabad, Gujrat | Jun 2024 | Jul 2024 | 5.5714285714286 Weeks</t>
  </si>
  <si>
    <t>Nirma Volunteer
BIM Work shop
Best Out of Waste</t>
  </si>
  <si>
    <t>P25700417</t>
  </si>
  <si>
    <t>MEENA</t>
  </si>
  <si>
    <t>Rishabh Meena</t>
  </si>
  <si>
    <t>rishabh.meena5@gmail.com</t>
  </si>
  <si>
    <t>p25700417@student.nicmar.ac.in</t>
  </si>
  <si>
    <t>01-May-1997</t>
  </si>
  <si>
    <t>7660 6692 3118</t>
  </si>
  <si>
    <t>SHIV DAYAL MEENA</t>
  </si>
  <si>
    <t>KAMLESH MEENA</t>
  </si>
  <si>
    <t>B-61, MANGALAM ANANTARA THE VILLA'S, OPPOSITE PINK PEARL WATER PARK, AJMER ROAD, GRAND CITY EXT PRIME</t>
  </si>
  <si>
    <t>MAHESHWARI PUBLIC SCHOOL</t>
  </si>
  <si>
    <t>CENTRAL BOARD OF SECONDARY EDUCATION RAJASTHAN</t>
  </si>
  <si>
    <t>JAIPUR ENGINEERING COLLEGE AND RESEARCH CENTRE UNIVERSITY</t>
  </si>
  <si>
    <t>JAIPUR ENGINEERING COLLEGE AND RESEARCH CENTRE UNIVERSITY JAIPUR/RAJASTHAN</t>
  </si>
  <si>
    <t>NATIONAL INSTITUTE OF TECHNOLOGY HAMIRPUR</t>
  </si>
  <si>
    <t>MS Office, MS Project, MS Excel, Primavera P6, BIM</t>
  </si>
  <si>
    <t>Goa State Infrastructure Development Corporation (GSIDC) | Summer Intern – Site Execution | Sanquelim, Goa | May 2026 | Jul 2026 | 8.7142857142857 Weeks | Campus Internship</t>
  </si>
  <si>
    <t>P25700418</t>
  </si>
  <si>
    <t>VIBUDH</t>
  </si>
  <si>
    <t>TIWARI</t>
  </si>
  <si>
    <t>Vibudh Tiwari</t>
  </si>
  <si>
    <t>vibstark3000@gmail.com</t>
  </si>
  <si>
    <t>p25700418@student.nicmar.ac.in</t>
  </si>
  <si>
    <t>29-Oct-1998</t>
  </si>
  <si>
    <t>9237 7117 7675</t>
  </si>
  <si>
    <t>RAJESH KUMAR TIWARI</t>
  </si>
  <si>
    <t>NIDHI TIWARI</t>
  </si>
  <si>
    <t>91, Coral Cottage, Misrod,Huzur, Bhopal</t>
  </si>
  <si>
    <t>GWALIOR GLORY HIGH SCH NEEMCHANDOHA GWALIOR MP</t>
  </si>
  <si>
    <t>CENTRAL BOARD OF SECONDARY EDUCATION GWALIOR MADHYA PRADESH</t>
  </si>
  <si>
    <t>AHMEDABAD PUB SCH INT BHAAT GANDHINAGAR GUJ</t>
  </si>
  <si>
    <t>CENTRAL BOARD OF SECONDARY EDUCATION GANDHINAGAR GUJARAT</t>
  </si>
  <si>
    <t>VIT UNIVERSITY VELLORE TAMILNADU</t>
  </si>
  <si>
    <t>Primavera P6, MS Office, MS Project</t>
  </si>
  <si>
    <t>Shalini Assosciates | Site Engineer | MAHSR C4 (Section-5) Project  Karjan, Gujarat-39124 | Sep 2022 | May 2024 | 1Y 7M | 2.97
Ultratech Cement Limited RMC Division | Chemist Junior Officer |  Chainage 154 (Upalat, Palghar,  Dahanu) | Mar 2025 | Jun 2025 | 0Y 3M | 5</t>
  </si>
  <si>
    <t>Hilti India | Summer Sale Intern | Mumbai | May 2026 | Jul 2026 | 8.5714285714286 Weeks | Campus Internship
Oil and Natural Gas Corporation Limited | Summer Intern | Ahmedabad | May 2019 | Jun 2019 | 6.5714285714286 Weeks</t>
  </si>
  <si>
    <t>Lean Six Sigma Green Belt  KPMG India</t>
  </si>
  <si>
    <t>P25700419</t>
  </si>
  <si>
    <t>Bhushan Arun Pawar</t>
  </si>
  <si>
    <t>bhushan210056@gmail.com</t>
  </si>
  <si>
    <t>p25700419@student.nicmar.ac.in</t>
  </si>
  <si>
    <t>11-Aug-2000</t>
  </si>
  <si>
    <t>2440 3515 3312</t>
  </si>
  <si>
    <t>ARUN PANDINATH PAWAR</t>
  </si>
  <si>
    <t>PUBLIC SERVANT</t>
  </si>
  <si>
    <t>MANISHA ARUN PAWAR</t>
  </si>
  <si>
    <t>Plot No.37, Sharda Nagar, Near Wageshwari Mandir, Nandurbar</t>
  </si>
  <si>
    <t>SHROFF HIGH SCHOOL</t>
  </si>
  <si>
    <t>SECONDARY AND HIGHER SECONDARY EDUCATION PUNE, MAHARASHTRA</t>
  </si>
  <si>
    <t>GT PATIL JUNIOR COLLEGE</t>
  </si>
  <si>
    <t>KAVAYITRI BAHINABAI CHAUDHARI NORTH MAHARASHTRA UNIVERSITY JALGAON</t>
  </si>
  <si>
    <t>SHRAM SADHNA BOMBAY TRUST BAMBHORI, JALGAON</t>
  </si>
  <si>
    <t>AutoCAD,MS Office,MS Project,Primavera,Tekla,SDS2,Blue Beam,BIM,Cost_X,Naviswork</t>
  </si>
  <si>
    <t>Tech flow Engineers India PVT. LTD. | Jr. QC Engineer | Jalgaon | Jul 2022 | Jul 2025 | 2Y 11M | 4.18</t>
  </si>
  <si>
    <t>Masin projects private limited | Trainee – Summer Intern | Navi Mumbai  | May 2026 | Jul 2026 | 8.7142857142857 Weeks | Campus Internship
Tech flow Engineers Pvt. Ltd. | Trainee Engineer â€“ Summer Intern | Jalgaon | Jan 2022 | Feb 2022 | 4.5714285714286 Weeks</t>
  </si>
  <si>
    <t>Project Admin (Scholar) course from digiQC Academy.
MKCL Certified AutoCAD</t>
  </si>
  <si>
    <t>P25700420</t>
  </si>
  <si>
    <t>MYTHILI</t>
  </si>
  <si>
    <t>Mythili R</t>
  </si>
  <si>
    <t>mythiliramachandra2000@gmail.com</t>
  </si>
  <si>
    <t>p25700420@student.nicmar.ac.in</t>
  </si>
  <si>
    <t>17-Sep-1998</t>
  </si>
  <si>
    <t>English,Tamil,Kannada and Telugu</t>
  </si>
  <si>
    <t>7121 2623 3499</t>
  </si>
  <si>
    <t>RAMACHANDRA R</t>
  </si>
  <si>
    <t>GOVINDAMMA</t>
  </si>
  <si>
    <t># 34,6th Cross Balaji Layout Kodigehalli Bangalore 560094</t>
  </si>
  <si>
    <t>CLUNY CONVENT HIGH SCHOOL</t>
  </si>
  <si>
    <t>INDIAN CERTIFICATE OF SECONDARY EDUCATION EXAMINATION, BANGALORE/KARNATAKA</t>
  </si>
  <si>
    <t>MES KISHORKENDRA PU COLLEGE</t>
  </si>
  <si>
    <t>GOVERNMENT OF KARNATAKA DEPARTMENT OF PRE UNIVERSITY EDUCATION, BANGALORE/KARNATAKA</t>
  </si>
  <si>
    <t>BMS SCHOOL OF ARCHITECTURE, BANGALORE/KARNATAKA</t>
  </si>
  <si>
    <t>AutoCAD,Sketchup,Revit,Lumion,Rhino</t>
  </si>
  <si>
    <t>Earthricks Architecture,Planning and Sustainability | Junior Architect | Yelahanka satellite town,Bangalore,Karnataka | Jul 2024 | Jul 2025 | 1Y 0M | 3.9</t>
  </si>
  <si>
    <t>Co-Ordinates Architecture + Interior Design | Intern | #9,vivyd,4th cross, central excise layout, Vijayanagar, Bangalore- 560040 | Sep 2022 | Dec 2022 | 15.714285714286 Weeks</t>
  </si>
  <si>
    <t>P25700421</t>
  </si>
  <si>
    <t>Rahul R Shetty</t>
  </si>
  <si>
    <t>rahulshetty2501@gmail.com</t>
  </si>
  <si>
    <t>p25700421@student.nicmar.ac.in</t>
  </si>
  <si>
    <t>25-Feb-2001</t>
  </si>
  <si>
    <t>English, Hindi, Kannada, Marathi</t>
  </si>
  <si>
    <t>6042 2302 7283</t>
  </si>
  <si>
    <t>RAJESH J SHETTY</t>
  </si>
  <si>
    <t>RAVEENA R SHETTY</t>
  </si>
  <si>
    <t>Penta Orchid, Flat No. 104, First Floor, Opp To Railway Health Unit, Indrali, Udupi Taluk, Udupi Karnataka</t>
  </si>
  <si>
    <t>Udupi</t>
  </si>
  <si>
    <t>T A PAI ENGLISH MEDIUM HIGH SCHOOL</t>
  </si>
  <si>
    <t>POORNAPRAJNA PRE UNIVERSITY COLLEGE</t>
  </si>
  <si>
    <t>MANIPAL UNIVERSITY</t>
  </si>
  <si>
    <t>MANIPAL INSTITUTE OF TECHNOLOGY, MANIPAL</t>
  </si>
  <si>
    <t>AutoCAD,MS Office,MS Project,Primavera,Staad Pro,Etabs</t>
  </si>
  <si>
    <t>KPMG India | Analyst | Mumbai | Jul 2023 | May 2025 | 1Y 9M | 6.54</t>
  </si>
  <si>
    <t>Masin Projects | Quantum Intern | Gurugram, Haryana, India | May 2026 | Jul 2026 | 8.7142857142857 Weeks | Campus Internship
KPMG INDIA | TRAINEE | MUMBAI | Jan 2023 | Jul 2023 | 25.571428571429 Weeks</t>
  </si>
  <si>
    <t>P25700422</t>
  </si>
  <si>
    <t>MAYANK</t>
  </si>
  <si>
    <t>Mayank Sharma</t>
  </si>
  <si>
    <t>mayanksharma221b@gmail.com</t>
  </si>
  <si>
    <t>p25700422@student.nicmar.ac.in</t>
  </si>
  <si>
    <t>03-Aug-2002</t>
  </si>
  <si>
    <t>English, Hindi.</t>
  </si>
  <si>
    <t>9460 2627 7862</t>
  </si>
  <si>
    <t>VED PRAKASH SHARMA</t>
  </si>
  <si>
    <t>LATE SANGEETA SHARMA</t>
  </si>
  <si>
    <t>Gautam Nagar_x000D_
House No. 336</t>
  </si>
  <si>
    <t>CAMPION SCHOOL</t>
  </si>
  <si>
    <t>RAJEEV GANDHI HIGHER SEC. SCHOOL</t>
  </si>
  <si>
    <t>MANIPAL UNIVERSITY JAIPUR, JAIPUR, RAJASTHAN.</t>
  </si>
  <si>
    <t>AutoCAD,MS Office,MS Project,Primavera,Sketch up,revit</t>
  </si>
  <si>
    <t>Ahluwalia Contracts (India) Limited | Project management Intern | Gurugram, Haryana, India | May 2026 | Jul 2026 | 7.7142857142857 Weeks | Campus Internship
Acotech Consultants Pvt. Ltd. | Intern | Badlapur, Thane, Maharastra | May 2023 | Jul 2023 | 6.4285714285714 Weeks
Ghanaram Infra Engineer Pvt. Ltd. | Site intern | Jhalawar, Rajashthan | Jan 2024 | Apr 2024 | 17.142857142857 Weeks</t>
  </si>
  <si>
    <t>P25700424</t>
  </si>
  <si>
    <t>Shubham Singh</t>
  </si>
  <si>
    <t>shubham9891@yahoo.com</t>
  </si>
  <si>
    <t>p25700424@student.nicmar.ac.in</t>
  </si>
  <si>
    <t>19-Feb-2001</t>
  </si>
  <si>
    <t>2912 1564 0477</t>
  </si>
  <si>
    <t>SATISH KUMAR</t>
  </si>
  <si>
    <t>DHARAMSHEELA</t>
  </si>
  <si>
    <t>C206, MUNDESHWARI ORBIT MALL, DANAPUR KHAGAUL ROAD, PATNA</t>
  </si>
  <si>
    <t>Narayan Niwas, Surya Vihar Colony, Opposite CMRI Gate, Dhaiya, Dhanbad</t>
  </si>
  <si>
    <t>Dhanbad</t>
  </si>
  <si>
    <t>BIRLA PUBLIC SCHOOL, VIDYA NIKETAN</t>
  </si>
  <si>
    <t>CENTRAL BOARD OF SECONDARY EDUCATION (CBSE), PILANI, RAJASTHAN</t>
  </si>
  <si>
    <t>CENTRAL BOARD OF SECONDARY EDUCATION(CBSE), PILANI, RAJASTHAN</t>
  </si>
  <si>
    <t>AutoCAD,MS Office,MS Project,CostX</t>
  </si>
  <si>
    <t>NATIONAL BUILDING CONSTRUCTION COPORATION LTD. | INTERN | PATNA | May 2023 | Jul 2023 | 8.7142857142857 Weeks</t>
  </si>
  <si>
    <t>P25700425</t>
  </si>
  <si>
    <t>Vaibhav Sanjay Kadam</t>
  </si>
  <si>
    <t>vaibhavskadam25@gmail.com</t>
  </si>
  <si>
    <t>p25700425@student.nicmar.ac.in</t>
  </si>
  <si>
    <t>19-Nov-2001</t>
  </si>
  <si>
    <t>4883 4589 7440</t>
  </si>
  <si>
    <t>SANJAY KADAM</t>
  </si>
  <si>
    <t>SANGEETA KADAM</t>
  </si>
  <si>
    <t>HOSEWIFE</t>
  </si>
  <si>
    <t>B/S4 WAGHMODE COMPLEX NEAR VANTMURE CORNER, MIRAJ</t>
  </si>
  <si>
    <t>Above Patil Kidney Care, Near HDFC Bank, Osmanabad</t>
  </si>
  <si>
    <t>CAMBRIDGE SCHOOL, MIRAJ</t>
  </si>
  <si>
    <t>SHIKSHANMAHARSHI DR. BAPUJI SALUNKHE COLLEGE, MIRAJ</t>
  </si>
  <si>
    <t>DR. BABASAHEB AMBEDKAR TECHNOLOGICAL UNIVERSITY, LONERE</t>
  </si>
  <si>
    <t>PADMABHOOSHAN VASANTRAODADA PATIL INSTITUTE OF TECHNOLOGY, BUDHGAON</t>
  </si>
  <si>
    <t>AutoCAD,MS Office,MS Project,STAADPRO,EXCEL</t>
  </si>
  <si>
    <t>Sobha Limited | Planning Intern | Bangalore | May 2026 | Jul 2026 | 9 Weeks | Campus Internship</t>
  </si>
  <si>
    <t>P25700426</t>
  </si>
  <si>
    <t>JUILEE</t>
  </si>
  <si>
    <t>DESHPANDE</t>
  </si>
  <si>
    <t>Juilee Kiran Deshpande</t>
  </si>
  <si>
    <t>juileedeshpande427@gmail.com</t>
  </si>
  <si>
    <t>p25700426@student.nicmar.ac.in</t>
  </si>
  <si>
    <t>16-Jul-2003</t>
  </si>
  <si>
    <t>8847 9843 9432</t>
  </si>
  <si>
    <t>BANK MANAGER</t>
  </si>
  <si>
    <t>Vijayshree Nivas, Keshvshrusti, Devrukh, Sangmeshwar</t>
  </si>
  <si>
    <t>R B SHIRKE HIGHSCHOOL, RATNAGIRI</t>
  </si>
  <si>
    <t>TATYASAHEB MUSALE VIDYALAYA AND JUNIOR COLLEGE ICHALKARANJI, MAHARASHTRA</t>
  </si>
  <si>
    <t>AutoCAD,MS Office,MS Excel</t>
  </si>
  <si>
    <t>godrej properties limited | operations intern | Vashi,Navi Mumbai | May 2026 | Jul 2026 | 8.7142857142857 Weeks | Campus Internship
PUNE IT CITY METRO RAIL LIMITED | INTERN | SHIVAJI NAGAR, PUNE | May 2025 | Jun 2025 | 4.4285714285714 Weeks
DRDO High Energy Materials Research Laboratory (HEMRL) | intern | Sutarwadi, Pune | Sep 2023 | Oct 2023 | 4.2857142857143 Weeks</t>
  </si>
  <si>
    <t>P25700427</t>
  </si>
  <si>
    <t>SRIPATHI</t>
  </si>
  <si>
    <t>MANI</t>
  </si>
  <si>
    <t>TEJA</t>
  </si>
  <si>
    <t>Sripathi Mani Teja</t>
  </si>
  <si>
    <t>nanimt8999@gmail.com</t>
  </si>
  <si>
    <t>p25700427@student.nicmar.ac.in</t>
  </si>
  <si>
    <t>16-Apr-2002</t>
  </si>
  <si>
    <t>ENGLISH,TELUGU,HINDI</t>
  </si>
  <si>
    <t>9912 4401 7140</t>
  </si>
  <si>
    <t>SRIPATHI SADAIAH</t>
  </si>
  <si>
    <t>SRIPATHI SANGEETHA</t>
  </si>
  <si>
    <t>1-1-92/5/F/1,ITI COLONY,SHANTHI NAGAR,PEDDAPALLI</t>
  </si>
  <si>
    <t>Peddapalli</t>
  </si>
  <si>
    <t>SRI CHAITANYA HIGH SCHOOL</t>
  </si>
  <si>
    <t>TELANGANA STATE SECONDARY SCHOOL CERTIFICATE (SSC) EXAMINATION,HYDERABAD,TELANGANA</t>
  </si>
  <si>
    <t>TELANGANA STATE BOARD OF INTERMEDIATE EDUCATION,HYDERABAD,TELANGANA</t>
  </si>
  <si>
    <t>GURU NANAK INSTITUTIONS TECHNICAL CAMPUS,IBRAHIMPATNAM,TELANGANA</t>
  </si>
  <si>
    <t>AutoCAD,MS Project, Primavera P6, Revit, Cost X</t>
  </si>
  <si>
    <t>SINGHANIA BUILDCON GROUP | Site Execution &amp; Control Intern | Raipur | May 2026 | Jul 2026 | 8.7142857142857 Weeks | Campus Internship</t>
  </si>
  <si>
    <t>P25700428</t>
  </si>
  <si>
    <t>AMEY</t>
  </si>
  <si>
    <t>CHOUDHARI</t>
  </si>
  <si>
    <t>Amey Diliprao Choudhari</t>
  </si>
  <si>
    <t>ameychoudhari311@gmail.com</t>
  </si>
  <si>
    <t>p25700428@student.nicmar.ac.in</t>
  </si>
  <si>
    <t>09-Oct-2002</t>
  </si>
  <si>
    <t>4172 3236 3989</t>
  </si>
  <si>
    <t>DILIP CHOUDHARI</t>
  </si>
  <si>
    <t>VAISHALI CHOUDHARI</t>
  </si>
  <si>
    <t>Ward No. 2, Main Road, Juni Gujri Chowk, Mandhal</t>
  </si>
  <si>
    <t>MISSION INDIA VIDYA NIKETAN ENGLISH MEDIUM SCHOOL, KUHI</t>
  </si>
  <si>
    <t>MAHARASHTRA STATE BOARD OF SECONDARY AND HIGHER SECONDARY EDUCATION, NAGPUR</t>
  </si>
  <si>
    <t>UJJWAL JUNIOR COLLEGE, NAGPUR</t>
  </si>
  <si>
    <t>YESHWANTRAO CHAVAN COLLEGE OF ENGINEERING , NAGPUR</t>
  </si>
  <si>
    <t>AutoCAD,MS Office,MS Project,Primavera,Advance Excel</t>
  </si>
  <si>
    <t>RAK Projects (P) Ltd | Graduate Trainee Engineer | Nagpur | Jun 2024 | Jun 2025 | 1Y 0M | 1.5</t>
  </si>
  <si>
    <t>DP Jain &amp; Co. Infrastructure Pvt. Ltd. | Contracts and Claims Intern | Nagpur | May 2026 | Jul 2026 | 7.7142857142857 Weeks | Campus Internship
Shree Sai Developers and Construction Co. | Site Engineer | katol | Jan 2024 | Apr 2024 | 13 Weeks</t>
  </si>
  <si>
    <t>Procurement, Negotiation, and Contract Execution
Introduction to Lean Construction (NPTEL)
Building Your First AI Agent with OpenAI
Data Analysis
Budgeting and Scheduling Projects
Corporate Training Course, Civil Guruji</t>
  </si>
  <si>
    <t>P25700429</t>
  </si>
  <si>
    <t>TANMAY</t>
  </si>
  <si>
    <t>MANISHRAO</t>
  </si>
  <si>
    <t>GIRHE</t>
  </si>
  <si>
    <t>Tanmay Manishrao Girhe</t>
  </si>
  <si>
    <t>tanmaygirhe1@gmail.com</t>
  </si>
  <si>
    <t>p25700429@student.nicmar.ac.in</t>
  </si>
  <si>
    <t>08-Dec-2001</t>
  </si>
  <si>
    <t>4741 6506 3154</t>
  </si>
  <si>
    <t>MANISHRAO GIRHE</t>
  </si>
  <si>
    <t>SUSHMADEVI GIRHE</t>
  </si>
  <si>
    <t>AT POST. RAJDHANI SQUARE, HIWARKHED TQ. TELHARA DIST. AKOLA 444103</t>
  </si>
  <si>
    <t>SAHAKAR VIDYA MANDIR YELGAON BULDANA MAHARASHTRA</t>
  </si>
  <si>
    <t>GOVERNMENT POLYTECHNIC, NAGPUR, MAHARASHTRA</t>
  </si>
  <si>
    <t>SHIVAJI UNIVERSITY, KOLHAPUR, MAHARASHTRA</t>
  </si>
  <si>
    <t>DEPARTMENT OF TECHNOLOGY, SHIVAJI UNIVERSITY, KOLHAPUR, MAHARASHTRA</t>
  </si>
  <si>
    <t>AutoCAD,MS Office,MS Project, Primavera.</t>
  </si>
  <si>
    <t>Pidilite Industries | Market Research Analyst | Kolkata, West Bengal. | May 2026 | Jun 2026 | 7.5714285714286 Weeks | Campus Internship
NAVALE BUILDERS, NARHE, PUNE | INTERN | NARHE, PUNE | Nov 2020 | Nov 2020 | 2.2857142857143 Weeks</t>
  </si>
  <si>
    <t>ADVANCE DIPLOMA IN STRUCTURAL DESIGN AND ANALYSIS
MS CIT
Sustainable Construction Management Certificate
Foundations of Project Management
Lean Management Fundamentals
Data Analysis
Construction Equipment And Safety
Organisational Design
Green Building Assessment and Certifications
Comfort in Building</t>
  </si>
  <si>
    <t>P25700430</t>
  </si>
  <si>
    <t>SHREYAS</t>
  </si>
  <si>
    <t>Shreyas Pravin Sutar</t>
  </si>
  <si>
    <t>yashsutar200001@gmail.com</t>
  </si>
  <si>
    <t>p25700430@student.nicmar.ac.in</t>
  </si>
  <si>
    <t>01-Dec-2000</t>
  </si>
  <si>
    <t>7008 4518 0465</t>
  </si>
  <si>
    <t>PRAVIN SHAMRAO SUTAR</t>
  </si>
  <si>
    <t>CARPENTER</t>
  </si>
  <si>
    <t>DEEPALI PRAVIN SUTAR</t>
  </si>
  <si>
    <t>A2 103 Anand Savali Residency, Near Sant Nirankari Chowk, Eastern Express Highway, Thane West.</t>
  </si>
  <si>
    <t>DR. BEDEKAR VIDYA MANDIR, THANE</t>
  </si>
  <si>
    <t>NANASAHEB MAHADIK POLYTECHNIC INSTITUTE, PETH, MAHARASHTRA</t>
  </si>
  <si>
    <t>MGM COLLEGE OF ENGINEERING AND TECHNOLOGY, KAMOTHE, MAHARASHTRA</t>
  </si>
  <si>
    <t>Akash Impex Inc | Project Supervisor  | Powai, Mumbai | Nov 2022 | May 2024 | 1Y 5M | 2.3
Nina Percept Pvt. Ltd. | Project Engineer. | Mahalaxmi, Mumbai | May 2024 | Apr 2025 | 0Y 11M | 3.8</t>
  </si>
  <si>
    <t>Ascendas Firstspace Development Management Pvt. Ltd. |  Projects Department as (Intern – Projects) | BKC Road Bandra East,Mumbai  | May 2026 | Jun 2026 | 8.1428571428571 Weeks | Campus Internship</t>
  </si>
  <si>
    <t>P25700431</t>
  </si>
  <si>
    <t>BISWAPREM</t>
  </si>
  <si>
    <t>Biswaprem Das</t>
  </si>
  <si>
    <t>biswapremdas.06@gmail.com</t>
  </si>
  <si>
    <t>p25700431@student.nicmar.ac.in</t>
  </si>
  <si>
    <t>06-Nov-2000</t>
  </si>
  <si>
    <t>English,Hindi,Odia,Bengali</t>
  </si>
  <si>
    <t>2527 3848 0663</t>
  </si>
  <si>
    <t>PREMJIT DAS</t>
  </si>
  <si>
    <t>BUSINESS OWNER</t>
  </si>
  <si>
    <t>DHARITRI DAS</t>
  </si>
  <si>
    <t>Near Ambika Temple, Ward No. 1 , Baripada , Pin: 757001, Mayurbhanj, Odisha</t>
  </si>
  <si>
    <t>Mayurbhanj</t>
  </si>
  <si>
    <t>CENTRAL BOARD OF SECONDARY EDUCATION, BARIPADA, ODISHA</t>
  </si>
  <si>
    <t>KALINGA INSTITUTE OF INDUSTRIAL TECHNOLOGY , BHUBANESWAR, ODISHA</t>
  </si>
  <si>
    <t>AutoCAD,MS Office,MS Project,Primavera,Twinmotion,Sketchup,Enscape,Adobe Lightroom,Revit,Adobe Photoshop,Lumion</t>
  </si>
  <si>
    <t>SWASTIK ASSOCIATES | Junior Architect | Baripada | Jul 2024 | Jul 2025 | 0Y 11M | 3.25</t>
  </si>
  <si>
    <t>Rodic Consultants Private Limited | Business Development Intern | Aga Khan Hall, 1st Floor, 6 Sarojini House, Bhagwan Das Rd, New Delhi, Delhi 110001 | May 2026 | Jul 2026 | 8.5714285714286 Weeks | Campus Internship
Gayathri and Namith Architects | Intern Trainee | 14, Temple Trees Row, S.T. Bed, 1st Block Koramangala, Koramangala, Bengaluru, Karnataka 560047 | Jun 2023 | Dec 2023 | 26.285714285714 Weeks</t>
  </si>
  <si>
    <t>P25700432</t>
  </si>
  <si>
    <t>BARADIA</t>
  </si>
  <si>
    <t>Shubham Baradia</t>
  </si>
  <si>
    <t>shubbaradia@gmail.com</t>
  </si>
  <si>
    <t>p25700432@student.nicmar.ac.in</t>
  </si>
  <si>
    <t>23-Sep-1996</t>
  </si>
  <si>
    <t>english,hindi</t>
  </si>
  <si>
    <t>8786 9063 5036</t>
  </si>
  <si>
    <t>SANJAY BARADIA</t>
  </si>
  <si>
    <t>GOVERMENT JOB</t>
  </si>
  <si>
    <t>ASHA BARADIA</t>
  </si>
  <si>
    <t>Hig-105 Shankara Charya Nagar,bagsevania</t>
  </si>
  <si>
    <t>CARMEL CONVENT SENIOR SECONDARY SCHOOL RATANPUR</t>
  </si>
  <si>
    <t>CENTRAL BOARD OF SECONDARY EDUCATION, BHOPAL</t>
  </si>
  <si>
    <t>LAKSHMI NARAIN COLLEGE OF TECHNOLOGY &amp; SCIENCE ,BHOPAL</t>
  </si>
  <si>
    <t>MS Office,MS Project,Primavera,REVIT,Navisworks</t>
  </si>
  <si>
    <t>infosys | Systems Engineer | indore and hybird | Jan 2022 | Jun 2023 | 1Y 4M | 3</t>
  </si>
  <si>
    <t>Madhya Pradesh Housing And Infrastructure Development Board | Intern | Bhopal, M.P | May 2026 | Jul 2026 | 8.7142857142857 Weeks | Campus Internship
OFFICE OF DIVISIONAL PROJECT ENGINEER P.W.D. PIU-2 BHOPAL, | trainee | bhopal | Jun 2018 | Jun 2018 | 2.1428571428571 Weeks</t>
  </si>
  <si>
    <t>P25700433</t>
  </si>
  <si>
    <t>KHANDARE</t>
  </si>
  <si>
    <t>Shubham Gulabrao Khandare</t>
  </si>
  <si>
    <t>shubhamkhandare1717@gmail.com</t>
  </si>
  <si>
    <t>p25700433@student.nicmar.ac.in</t>
  </si>
  <si>
    <t>01-Jun-1997</t>
  </si>
  <si>
    <t>English,marathi,Hindi</t>
  </si>
  <si>
    <t>7351 2100 7914</t>
  </si>
  <si>
    <t>GULABARAO</t>
  </si>
  <si>
    <t>RETIRED GOVERMENT OFFICER</t>
  </si>
  <si>
    <t>At Bhadgaon Usarewadi Oppositeto Grampanchayat Office Bhadgaon Khonde Tal Khed Dist Ratnagiri</t>
  </si>
  <si>
    <t>SCS HIGHSCHOOL KHED RATNAGIRI</t>
  </si>
  <si>
    <t>SVCP,SINHGAD PUNE</t>
  </si>
  <si>
    <t>SITS SINHGAD NARHE PUNE</t>
  </si>
  <si>
    <t>Matoshree metal works and construction | Senior civil engineer  | Khed ratnagiri  | Jul 2022 | Jun 2025 | 2Y 11M | 2.96</t>
  </si>
  <si>
    <t>KATTU CONSTRUCTION TECHNOLOGY SERVICES LLP  | Intern | New BEL Road, ITI Layout  | May 2026 | Jul 2026 | 8.7142857142857 Weeks | Campus Internship</t>
  </si>
  <si>
    <t>P25700434</t>
  </si>
  <si>
    <t>Devansh Manoj Gupta</t>
  </si>
  <si>
    <t>devanshgupta060303@gmail.com</t>
  </si>
  <si>
    <t>p25700434@student.nicmar.ac.in</t>
  </si>
  <si>
    <t>06-Mar-2003</t>
  </si>
  <si>
    <t>Hindi , English , Marathi</t>
  </si>
  <si>
    <t>9406 2920 5108</t>
  </si>
  <si>
    <t>Sneh Bunglow,plot 530 Sector 28, Pradhikaran, Nigdi</t>
  </si>
  <si>
    <t>CITY PRIDE SCHOOL</t>
  </si>
  <si>
    <t>CENTRAL BOARD OF SECONDARY EDUCATION - PUNE</t>
  </si>
  <si>
    <t>MAHARASHTRA STATE BOARD OF SECONDARY AND HIGHER SECONDARY EDUCATION - PUNE</t>
  </si>
  <si>
    <t>AutoCAD,MS Office,MS Project,Primavera,Staad Pro,Revit</t>
  </si>
  <si>
    <t>Kritija Enterprises | Execution Intern | Pune | May 2026 | Jun 2026 | 8.1428571428571 Weeks | Campus Internship
BG shirke | Intern | Pune | May 2024 | Jul 2024 | 8.7142857142857 Weeks</t>
  </si>
  <si>
    <t>P25700435</t>
  </si>
  <si>
    <t>SRI</t>
  </si>
  <si>
    <t>VETAGIRI</t>
  </si>
  <si>
    <t>Teja Sri Vetagiri</t>
  </si>
  <si>
    <t>tejasrivetagiri27@gmail.com</t>
  </si>
  <si>
    <t>p25700435@student.nicmar.ac.in</t>
  </si>
  <si>
    <t>27-Apr-2002</t>
  </si>
  <si>
    <t>Telugu,English,Hindi</t>
  </si>
  <si>
    <t>2623 8465 6889</t>
  </si>
  <si>
    <t>SRINIVASA RAO VETAGIRI</t>
  </si>
  <si>
    <t>MECHANIC</t>
  </si>
  <si>
    <t>RAMA DEVI VETAGIRI</t>
  </si>
  <si>
    <t>5-49, Ramalayam Street, Peda Kancherla, Vinukonda, Guntur, 522649</t>
  </si>
  <si>
    <t>AP MODEL SCHOOL</t>
  </si>
  <si>
    <t>RAJIV GANDHI UNIVERSITY OF KNOWLEDGE TECHNOLOGIES, NUZVID</t>
  </si>
  <si>
    <t>AutoCAD,MS Office,MS Project,Sketchup</t>
  </si>
  <si>
    <t>Shreeji Infrastructure India Pvt. Ltd. | Management Trainee Engineer - Billing &amp; Planning  | Head Office Bhopal | May 2026 | Jun 2026 | 8 Weeks | Campus Internship</t>
  </si>
  <si>
    <t>Short term course on SketchUp and V-Ray
Short term course on AutoCAD Architectural</t>
  </si>
  <si>
    <t>P25700436</t>
  </si>
  <si>
    <t>ADNAN</t>
  </si>
  <si>
    <t>AHMAD</t>
  </si>
  <si>
    <t>Adnan Ahmad Khan</t>
  </si>
  <si>
    <t>adnanah139@gmail.com</t>
  </si>
  <si>
    <t>p25700436@student.nicmar.ac.in</t>
  </si>
  <si>
    <t>28-May-2001</t>
  </si>
  <si>
    <t>4422 5966 0491</t>
  </si>
  <si>
    <t>ILYAS KHAN</t>
  </si>
  <si>
    <t>ZAMZAM ILYAS KHAN</t>
  </si>
  <si>
    <t>Near Kali Masjid, Humayun Road Baidpura, Akola</t>
  </si>
  <si>
    <t>QUBA URDU HIGH SCHOOL AKOLA</t>
  </si>
  <si>
    <t>MANAV SCHOOL OF POLYTECHNIC</t>
  </si>
  <si>
    <t>Ethics in Engineering Practice
Finance for Non-Financial Managers
Planning of Metro Rail Systems</t>
  </si>
  <si>
    <t>P25700437</t>
  </si>
  <si>
    <t>BHAVIT</t>
  </si>
  <si>
    <t>RAMCHANDRA</t>
  </si>
  <si>
    <t>SASE</t>
  </si>
  <si>
    <t>Bhavit Ramchandra Sase</t>
  </si>
  <si>
    <t>bhavitsase12@gmail.com</t>
  </si>
  <si>
    <t>p25700437@student.nicmar.ac.in</t>
  </si>
  <si>
    <t>12-Mar-1999</t>
  </si>
  <si>
    <t>English,Marathi,Hindi</t>
  </si>
  <si>
    <t>2073 4023 1874</t>
  </si>
  <si>
    <t>MANGAL</t>
  </si>
  <si>
    <t>Sai Shraddha Niwas, Near ZP School, At Kudavali, Post Tal Murbad, Dist Thane</t>
  </si>
  <si>
    <t>WISDOM ENGLISH HIGH SCHOOL</t>
  </si>
  <si>
    <t>S.H JONDHALE POLYTECHNIC DOMBIVLI</t>
  </si>
  <si>
    <t>B.R HARNE COLLEGE OF ENGINEERING AND TECHNOLOGY</t>
  </si>
  <si>
    <t>RUNWAL RESIDENCY PRIVATE LTD | JUNIOR ENGINEER | DOMBIVLI | Jun 2023 | Jun 2025 | 1Y 11M | 3.5</t>
  </si>
  <si>
    <t>Suryapriya Constructions Pvt. Ltd. | Intern-Planning Department | Bangalore | May 2026 | Jul 2026 | 8.7142857142857 Weeks | Campus Internship
R.A. GHULE | Site Engineer | Saphale (Palghar) | Feb 2023 | May 2023 | 14.714285714286 Weeks
Sumitra Buildcons Pvt Ltd | Site Civil Engineer | Murbad | Dec 2019 | Jan 2020 | 4.4285714285714 Weeks</t>
  </si>
  <si>
    <t>Runwal Gardens - Certificate of achievement as Quality Conscious GET
Runwal Group -Efficient Project Engineer of the Year (2024-2025)</t>
  </si>
  <si>
    <t>P25700438</t>
  </si>
  <si>
    <t>Disha Sonawane</t>
  </si>
  <si>
    <t>dishasonawane953@gmail.com</t>
  </si>
  <si>
    <t>p25700438@student.nicmar.ac.in</t>
  </si>
  <si>
    <t>09-May-2003</t>
  </si>
  <si>
    <t>3563 1031 4035</t>
  </si>
  <si>
    <t>RAMRAO</t>
  </si>
  <si>
    <t>CHHAYA</t>
  </si>
  <si>
    <t>FLAT NO 1002, A3, AVON VISTA, PATIL NAGAR, BALEWADI.</t>
  </si>
  <si>
    <t>Flat No 03, Tirupati Residency_x000D_
Ramchandra Nagar, Dargah Road, Chhatrapati Sambhajinagar.</t>
  </si>
  <si>
    <t>COUNCIL FOR THE INDIAN SCHOOL CERTIFICATE EXAMINATIONS (CISCE), NEW DELHI</t>
  </si>
  <si>
    <t>SAINT LAWRENCE SUPER THIRTY JUNIOR COLLEGE, AURANGABAD</t>
  </si>
  <si>
    <t>Shreeji Infrastructure India Pvt. Ltd. | Management trainee engineer- Billing and planning  | Bhopal | May 2026 | Jun 2026 | 8 Weeks | Campus Internship
Gunjal &amp; Associates | Intern | Chhatrapati Sambhajinagar | Jul 2024 | Jul 2024 | 4.2857142857143 Weeks
PRECAST INDIA INFRASTRUCTURES PRIVATE LIMITED | INTERN | PUNE | Mar 2025 | Mar 2025 | 1.2857142857143 Weeks</t>
  </si>
  <si>
    <t>P25700439</t>
  </si>
  <si>
    <t>SAYEE</t>
  </si>
  <si>
    <t>Sayee Sanjay Mane</t>
  </si>
  <si>
    <t>manesayee28@gmail.com</t>
  </si>
  <si>
    <t>p25700439@student.nicmar.ac.in</t>
  </si>
  <si>
    <t>28-Jun-2003</t>
  </si>
  <si>
    <t>8891 4912 4187</t>
  </si>
  <si>
    <t>Plot No.22 , "Manomay" Bunglow, K.K.Nagar , Chinchani Road, Tasgaon, Dist. - Sangli. Pincode - 416312</t>
  </si>
  <si>
    <t>CHAMPABEN WADILAL DYANMANDIR , TASGAON.</t>
  </si>
  <si>
    <t>MAHARASHTRA STATE BOARD OF SECONDARY &amp; HIGHER SECONDARY EDUCATION , PUNE ( KOLHAPUR DIVISIONAL BOARD)</t>
  </si>
  <si>
    <t>VYANKATRAO HIGHSCHOOL &amp; JUNIOR COLLEGE, ICHALKARANJI.</t>
  </si>
  <si>
    <t>WALCHAND COLLEGE OF ENGINEERING , SANGLI.</t>
  </si>
  <si>
    <t>AutoCAD,MS Office,MS Project,Primavera,Revit,Cost X</t>
  </si>
  <si>
    <t>New Consolidated Construction Limited (NCCCL), Mumbai | Quality Assurance &amp; Control | Seawoods Darave , Navi Mumbai  | May 2026 | Jul 2026 | 8.7142857142857 Weeks | Campus Internship
AGRAWAL DEVELOPERS | QUANTITY SURVEYOR &amp; SITE EXECUTION | MIRAJ | Jun 2024 | Jun 2024 | 4.1428571428571 Weeks
PRIVATE FIRM OF ER. VIVEK R. PATIL | AUTOCAD DESIGNER | MIRAJ | Jun 2023 | Jul 2023 | 2.8571428571429 Weeks</t>
  </si>
  <si>
    <t>P25700440</t>
  </si>
  <si>
    <t>URVI</t>
  </si>
  <si>
    <t>TAMORE</t>
  </si>
  <si>
    <t>Urvi Dipak Tamore</t>
  </si>
  <si>
    <t>tamoreurvi@gmail.com</t>
  </si>
  <si>
    <t>p25700440@student.nicmar.ac.in</t>
  </si>
  <si>
    <t>29-Mar-2001</t>
  </si>
  <si>
    <t>7797 7717 3582</t>
  </si>
  <si>
    <t>DIPAK JANARDAN TAMORE</t>
  </si>
  <si>
    <t>SWATI DIPAK TAMORE</t>
  </si>
  <si>
    <t>TYPE -C,59/8 BARC COLONY, BOISAR</t>
  </si>
  <si>
    <t>Pacchim Mangel Aali, At &amp; Post - Ghivali,Tal &amp; Dist _x000D_
Palghar</t>
  </si>
  <si>
    <t>ATOMIC ENERGY CENTRAL SCHOOL -2, TARAPUR</t>
  </si>
  <si>
    <t>CBSE / BOISAR / MAHARASTRA</t>
  </si>
  <si>
    <t>ST JOHN COLLEGE OF ENGINEERING AND MANAGEMENT, PALGHAR, MAHARASHTRA</t>
  </si>
  <si>
    <t>AutoCAD,MS Office,MS Project,Primavera,1. QGIS SOFTWARE (BASIC),2. MS EXCEL,Revit,Costx</t>
  </si>
  <si>
    <t>Asian Paints Limited | Sales Engineer Intern | Mumbai  | May 2026 | Jul 2026 | 8.7142857142857 Weeks | Campus Internship</t>
  </si>
  <si>
    <t>Data Science &amp; Machine Learning â€“ Industry Certification (TesTriq)</t>
  </si>
  <si>
    <t>P25700441</t>
  </si>
  <si>
    <t>GNANESHWAR</t>
  </si>
  <si>
    <t>K Gnaneshwar</t>
  </si>
  <si>
    <t>gnaneshwar9123@gmail.com</t>
  </si>
  <si>
    <t>p25700441@student.nicmar.ac.in</t>
  </si>
  <si>
    <t>14-Aug-2002</t>
  </si>
  <si>
    <t>English,Hindi,telugu,kannada</t>
  </si>
  <si>
    <t>5154 4128 0209</t>
  </si>
  <si>
    <t>K NARAIAH</t>
  </si>
  <si>
    <t>K NEERAJA</t>
  </si>
  <si>
    <t>39/480-16, OM SHANTI NAGAR, ROAD NO 17, VIVEKANANDA STRRET</t>
  </si>
  <si>
    <t>NO 6/177-1, B C HOSTEL VIDI, KOTHA MADHAVARAM, VONTIMITTA</t>
  </si>
  <si>
    <t>CBSE,KADAPA,ANDHRAPRADESH</t>
  </si>
  <si>
    <t>PU,BANGALORE,KARNATAKA</t>
  </si>
  <si>
    <t>RV COLLEGE OF ENGINEERING, BANGALORE,KARNATAKA</t>
  </si>
  <si>
    <t>AutoCAD,MS Office,MS Project,EXCEL,PYTHON</t>
  </si>
  <si>
    <t>BEML LIMITED | JUNIOR EXECUTIVE  | KARNATAKA  | Aug 2024 | Feb 2025 | 0Y 5M | 3.36</t>
  </si>
  <si>
    <t>SOBHA LIMITED | Site Execution  | Hyderabad  | May 2026 | Jul 2026 | 9 Weeks | Campus Internship</t>
  </si>
  <si>
    <t>P25700442</t>
  </si>
  <si>
    <t>HARUGADE</t>
  </si>
  <si>
    <t>Dhanashri Jitendra Harugade</t>
  </si>
  <si>
    <t>dhanashriharugade@gmail.com</t>
  </si>
  <si>
    <t>p25700442@student.nicmar.ac.in</t>
  </si>
  <si>
    <t>7838 7372 2025</t>
  </si>
  <si>
    <t>JITENDRA BALKRISHNA HARUGADE</t>
  </si>
  <si>
    <t>MINAKSHI JITENDRA HARUGADE</t>
  </si>
  <si>
    <t>36 Vaibhav, Appasaheb Patil Nagar, Near Sona Clinic Hospital, Near New Pride Hotel, Sangli, Maharashtra</t>
  </si>
  <si>
    <t>CENTRAL BOARD OF SECONDARY EDUCATION, SANGLI, MAHARASHTRA</t>
  </si>
  <si>
    <t>MAEER'S MIT VISHWASHANTI GURKUL SCHOOL</t>
  </si>
  <si>
    <t>SIKKIM MANIPAL UNIVERSITY</t>
  </si>
  <si>
    <t>SIKKIM MANIPAL INSTITUTE OF TECHNOLOGY, SIKKIM</t>
  </si>
  <si>
    <t>AutoCAD,MS Office,MS Project,Revit,Canva</t>
  </si>
  <si>
    <t>Pidilite Industries Ltd. | Summer Intern  | Kolkata | May 2026 | Jun 2026 | 7.5714285714286 Weeks | Campus Internship
Prime Constructions | Site Engineer | Sangli | Mar 2025 | May 2025 | 8.7142857142857 Weeks
G. B. Bagade, Pune Municipal Corporation | Site Engineer | Pune | Jan 2025 | Mar 2025 | 10.857142857143 Weeks</t>
  </si>
  <si>
    <t>Autodesk Revit - Beginner to Advanced level</t>
  </si>
  <si>
    <t>P25700443</t>
  </si>
  <si>
    <t>SOPAN</t>
  </si>
  <si>
    <t>Rushikesh Sopan Patil</t>
  </si>
  <si>
    <t>rushipatil0137@gmail.com</t>
  </si>
  <si>
    <t>p25700443@student.nicmar.ac.in</t>
  </si>
  <si>
    <t>13-Feb-2001</t>
  </si>
  <si>
    <t>3817 8625 3144</t>
  </si>
  <si>
    <t>SOPAN PATIL</t>
  </si>
  <si>
    <t>705 Dhake Wada Nimbhora Bk Tal Raver</t>
  </si>
  <si>
    <t>MACRO VISION ACADEMY SCHOOL RAVER</t>
  </si>
  <si>
    <t>SANDIP POLYTECHNIC NASHIK</t>
  </si>
  <si>
    <t>G.E.SOC'S COLLEGE OF ENGINEERING, NASHIK</t>
  </si>
  <si>
    <t>AutoCAD,MS Office,MS Project,Primavera,REVIT,RIB costX</t>
  </si>
  <si>
    <t>SYSTRA MVA Consulting (India) Private Limited  | CTR Intern | Ahmedabad | May 2026 | Jul 2026 | 8.5714285714286 Weeks | Campus Internship
Vijay Buildcon | Site Engineer | Savda | Jun 2024 | Jun 2025 | 51.571428571429 Weeks</t>
  </si>
  <si>
    <t>Project Admin Scholar
Construction Equipment Maintenance &amp; Safety
Foundations of Project Management</t>
  </si>
  <si>
    <t>P25700444</t>
  </si>
  <si>
    <t>NANDHAGOPAL</t>
  </si>
  <si>
    <t>Nandhagopal P</t>
  </si>
  <si>
    <t>pnandhagopal14@gmail.com</t>
  </si>
  <si>
    <t>p25700444@student.nicmar.ac.in</t>
  </si>
  <si>
    <t>14-Jun-2004</t>
  </si>
  <si>
    <t>9882 4973 0667</t>
  </si>
  <si>
    <t>PRSBAKARAN P</t>
  </si>
  <si>
    <t>LAKSHMI P</t>
  </si>
  <si>
    <t>STAFF NURSE</t>
  </si>
  <si>
    <t>No.18, Park Street, Naveen Satish Nagar, Guduvancheri, Chengalpattu</t>
  </si>
  <si>
    <t>ST.JHONS MATRIC HIGHER SECONDRY SCHOOL</t>
  </si>
  <si>
    <t>STATE BOARD OF SCHOOL EXAMINATIONS, TAMILNADU</t>
  </si>
  <si>
    <t>SRI SAIRAM POLYTECHNIC COLLEGE/ CHENNAI</t>
  </si>
  <si>
    <t>SRI SAIRAM ENGINEERING COLLEGE/ CHENNAI</t>
  </si>
  <si>
    <t>J KUMAR | SITE EXECUTION, PLANING | MADHURAVOYAL, CHENNAI | May 2026 | Jul 2026 | 9.7142857142857 Weeks | Campus Internship
HR LEVELS INFRASTRUCTURE Pvt .Ltd | Site Engineer | Pallavaram, chennai | Jun 2024 | Jul 2024 | 7.2857142857143 Weeks</t>
  </si>
  <si>
    <t>P25700445</t>
  </si>
  <si>
    <t>SHIVRAJ</t>
  </si>
  <si>
    <t>Shivraj Tanaji Pawar</t>
  </si>
  <si>
    <t>shivrajpawar52@gmail.com</t>
  </si>
  <si>
    <t>p25700445@student.nicmar.ac.in</t>
  </si>
  <si>
    <t>06-Sep-1998</t>
  </si>
  <si>
    <t>English,Hindi and Marathi</t>
  </si>
  <si>
    <t>6129 5921 5308</t>
  </si>
  <si>
    <t>Gandharv Park Hsg Soc RH-93 Flat No B2/7 Shahunagar Chinchwad Pune</t>
  </si>
  <si>
    <t>SHRI SHIVCHATRAPATI SHIVAJI RAJE MADHYAMIK VIDYALAYA</t>
  </si>
  <si>
    <t>DR. D.Y. PATIL JR COLLEGE</t>
  </si>
  <si>
    <t>MAHARASHTRA STATE BOARD PUNE</t>
  </si>
  <si>
    <t>JSPM RAJARSHI SHAHU COLLEGE OF ENGINEERING TATHAWADE PUNE</t>
  </si>
  <si>
    <t>AutoCAD,MS Office,MS Project,QS billing</t>
  </si>
  <si>
    <t>Millenium Engineers &amp; Contractors PVT LTD | Jr. Engineer - Execution | Koregaon Park, Pune | May 2022 | Nov 2023 | 1Y 6M | 3.03
NB Bhondve Builders | Site Engineer | Ravet, Pune | Jan 2024 | Dec 2024 | 0Y 11M | 2.4</t>
  </si>
  <si>
    <t>Grow India Residency Private | Execution &amp; Planning Intern | Chinchwad Pune | May 2026 | Jul 2026 | 8.5714285714286 Weeks | Campus Internship</t>
  </si>
  <si>
    <t>P25700446</t>
  </si>
  <si>
    <t>JUIKAR</t>
  </si>
  <si>
    <t>Urvi Rajesh Juikar</t>
  </si>
  <si>
    <t>urvi.juikar17@gmail.com</t>
  </si>
  <si>
    <t>p25700446@student.nicmar.ac.in</t>
  </si>
  <si>
    <t>17-Jan-2002</t>
  </si>
  <si>
    <t>8308 4756 2316</t>
  </si>
  <si>
    <t>RAJESH NARHARI JUIKAR</t>
  </si>
  <si>
    <t>VINAYA RAJESH JUIKAR</t>
  </si>
  <si>
    <t>At-Pandvadevi, Po-Poynad, Tal-Alibag, Dist-Raigad</t>
  </si>
  <si>
    <t>K.E.S ENGLISH MEDIUM SCHOOL, PEZARI</t>
  </si>
  <si>
    <t>K.E.S N.N. PATIL JUNIOR COLLEGE, POYNAD</t>
  </si>
  <si>
    <t>SARDAR PATEL COLLEGE OF ENGINEERING, ANDHERI</t>
  </si>
  <si>
    <t>2025-Mar</t>
  </si>
  <si>
    <t>MS Office,MS Project,Primavera,CostX</t>
  </si>
  <si>
    <t>Godrej Properties Limited | Planning Engineer   | Panvel | May 2026 | Jul 2026 | 8.7142857142857 Weeks | Campus Internship</t>
  </si>
  <si>
    <t>P25700447</t>
  </si>
  <si>
    <t>KANISHKA</t>
  </si>
  <si>
    <t>Kanishka Pratap Singh</t>
  </si>
  <si>
    <t>kanishka.ps55@gmail.com</t>
  </si>
  <si>
    <t>p25700447@student.nicmar.ac.in</t>
  </si>
  <si>
    <t>12-Jan-2001</t>
  </si>
  <si>
    <t>ENGLISH HINDI</t>
  </si>
  <si>
    <t>6004 3906 6011</t>
  </si>
  <si>
    <t>NARENDRA KUMAR SINGH</t>
  </si>
  <si>
    <t>MADHU SINGH</t>
  </si>
  <si>
    <t>104 Mega Dream Homes Karamchari Nagar Mini Bypass Road Bareilly</t>
  </si>
  <si>
    <t>Bareilly</t>
  </si>
  <si>
    <t>DELHI PUBLIC SCHOOL BAREILLY</t>
  </si>
  <si>
    <t>DR. APJ ABDUL KALAM TECHNICAL UNIVERSITY, LUCKNOW, UTTAR PRADESH</t>
  </si>
  <si>
    <t>G.L. BAJAJ INSTITUTE OF TECHNOLOGY AND MANAGEMENT, GREATER NOIDA, UTTAR PRADESH</t>
  </si>
  <si>
    <t>Consultadd | Management Trainee Engineer | pune | Jul 2022 | Oct 2022 | 0Y 3M | 5</t>
  </si>
  <si>
    <t>HILTI India | Summer Intern | Jaipur, Rajasthan | May 2026 | Jul 2026 | 8.5714285714286 Weeks | Campus Internship</t>
  </si>
  <si>
    <t>Coursera Spreadsheet for beginners</t>
  </si>
  <si>
    <t>P25700448</t>
  </si>
  <si>
    <t>HEMACHANDRAN</t>
  </si>
  <si>
    <t>C R</t>
  </si>
  <si>
    <t>Hemachandran C R</t>
  </si>
  <si>
    <t>crhemachandran@gmail.com</t>
  </si>
  <si>
    <t>p25700448@student.nicmar.ac.in</t>
  </si>
  <si>
    <t>17-Nov-2000</t>
  </si>
  <si>
    <t>ENGLISH, TELUGU, HINDI, TAMIL</t>
  </si>
  <si>
    <t>5375 9164 5299</t>
  </si>
  <si>
    <t>RAMAKISHAN R</t>
  </si>
  <si>
    <t>RETIRED FROM GOVERNMENT SERVICES</t>
  </si>
  <si>
    <t>RADHIKA R</t>
  </si>
  <si>
    <t>SENIOR ANALYST IN SOFTWARE DEVELOPMENT AT ACCENTURE SOLUTIONS PVT. LTD</t>
  </si>
  <si>
    <t>25/1, N.I.A. POST OFFICE,_x000D_
BALEWADI, PUNE â€“ 411045,_x000D_
MAHARASHTRA, INDIA</t>
  </si>
  <si>
    <t>W-Block First Street ; Number - 31/4 ; Annanagar ; Chennai-40</t>
  </si>
  <si>
    <t>S B O A SCHOOL &amp; JR COLLEGE</t>
  </si>
  <si>
    <t>D A V MATRIC HR SEC SCHOOL</t>
  </si>
  <si>
    <t>COLLEGE OF ENGINEERING GUINDY, CHENNAI</t>
  </si>
  <si>
    <t>Total Environment Building System Private Limited | Senior Executive as a Project Operation Coordinator | Bangalore | Jun 2024 | Jun 2025 | 1Y 0M | 6.5</t>
  </si>
  <si>
    <t>DELOITTE TOUCHE TOHMATSU INDIA LLP | Intern - Project Monitoring | Chennai | May 2026 | Jul 2026 | 8.5714285714286 Weeks | Campus Internship
EVERSENDAI CONSTRUCTIONS PRIVATE LIMITED | Intern | Chennai | Jul 2023 | Jul 2023 | 4.2857142857143 Weeks</t>
  </si>
  <si>
    <t>AutoCAD, Revit
Project Management Training using MS Project</t>
  </si>
  <si>
    <t>P25700449</t>
  </si>
  <si>
    <t>SHANTANU</t>
  </si>
  <si>
    <t>SARULE</t>
  </si>
  <si>
    <t>Shantanu Shivaji Sarule</t>
  </si>
  <si>
    <t>shantanu1187@gmail.com</t>
  </si>
  <si>
    <t>p25700449@student.nicmar.ac.in</t>
  </si>
  <si>
    <t>20-Mar-2003</t>
  </si>
  <si>
    <t>ENGLISH MARATHI HINDI</t>
  </si>
  <si>
    <t>7062 2310 0943</t>
  </si>
  <si>
    <t>SHIVAJI SARULE</t>
  </si>
  <si>
    <t>JYOTI SARULE</t>
  </si>
  <si>
    <t>Vikram Nagar Latur Maharashtra</t>
  </si>
  <si>
    <t>KESHAVRAJ VIDHYALAY LATUE</t>
  </si>
  <si>
    <t>SSC BOARD MAHARASHTRA LATUR MAHARASHTRA</t>
  </si>
  <si>
    <t>RAJARSHI SHAHU MAHAVIDHYALAY</t>
  </si>
  <si>
    <t>HSC BOARD LATUR MAHARASHTRA</t>
  </si>
  <si>
    <t>MIT WPU</t>
  </si>
  <si>
    <t>MIT WPU PUNE</t>
  </si>
  <si>
    <t>SHRI SWAMI DEVELOPERS | Jr Engineer | Akola | Jan 2025 | May 2025 | 20.285714285714 Weeks</t>
  </si>
  <si>
    <t>P25700450</t>
  </si>
  <si>
    <t>VASAIKAR</t>
  </si>
  <si>
    <t>RAMESHBHAI</t>
  </si>
  <si>
    <t>Vasaikar Ritesh Rameshbhai</t>
  </si>
  <si>
    <t>riteshvasaikar64@gmail.com</t>
  </si>
  <si>
    <t>p25700450@student.nicmar.ac.in</t>
  </si>
  <si>
    <t>21-Feb-2000</t>
  </si>
  <si>
    <t>Marathi, Gujarati, Hindi, English</t>
  </si>
  <si>
    <t>8817 8900 0288</t>
  </si>
  <si>
    <t>RAMESHBHAI VASAIKAR</t>
  </si>
  <si>
    <t>RAHSHREEBEN VASAIKAR</t>
  </si>
  <si>
    <t>A-25, MANGALTIRTH SOCIETY,_x000D_
OPP. AMITY SCHOOL,_x000D_
DAHEJ BYPASS ROAD,_x000D_
BHARUCH.</t>
  </si>
  <si>
    <t>Bharuch</t>
  </si>
  <si>
    <t>AMITY SCHOOL</t>
  </si>
  <si>
    <t>GUJARAT SECONDARY AND HIGHER SECONDARY EDUCATION BOARD</t>
  </si>
  <si>
    <t>PRATHNA VIDHYALAY</t>
  </si>
  <si>
    <t>SHRI S'AD VIDYA MANDAL INSTITUTE OF TECHNOLOGY, BHARUCH</t>
  </si>
  <si>
    <t>AutoCAD,MS Office,MS Project,Primavera,QUANTITY ESTIMATION,BBS,MS EXCEL,MS WORD,MS POWERPOINT</t>
  </si>
  <si>
    <t>GROWSTONE VENTURES LLP. | JUNIOR ENGINEER | JM Road, Shivajinagar, Pune. | Jun 2024 | Jun 2025 | 1Y 0M | 1.8</t>
  </si>
  <si>
    <t>Sobha India Limited | Intern - Project Management  | GIFT City, Gandhinagar | May 2026 | Jul 2026 | 9 Weeks | Campus Internship</t>
  </si>
  <si>
    <t>PROJECT PLANNING USING MICROSOFT PROJECT
QUANTITY SURVEYING AND PROJECT BILLING USING MS-EXCEL
POST GRADUATE PROGRAM IN CONSTRUCTION PROJECT MANAGEMENT</t>
  </si>
  <si>
    <t>P25700451</t>
  </si>
  <si>
    <t>DANGE</t>
  </si>
  <si>
    <t>Mayank Kumar Dange</t>
  </si>
  <si>
    <t>dange.mayank03@gmail.com</t>
  </si>
  <si>
    <t>p25700451@student.nicmar.ac.in</t>
  </si>
  <si>
    <t>09-Jun-2000</t>
  </si>
  <si>
    <t>2976 3773 5618</t>
  </si>
  <si>
    <t>DINESH DANGE</t>
  </si>
  <si>
    <t>SHOBHA DANGE</t>
  </si>
  <si>
    <t>HN 40 Ojha Colony Street No. 4</t>
  </si>
  <si>
    <t>Nagda</t>
  </si>
  <si>
    <t>ADITYA BIRLA SENIOR SECONDARY SCHOOL</t>
  </si>
  <si>
    <t>CENTREL BOARD OF SECONDARY EDUCATION, MADHYA PRADESH</t>
  </si>
  <si>
    <t>SCHOOL OF ARCHITECTURE, IPS ACADEMY</t>
  </si>
  <si>
    <t>AutoCAD,MS Office,MS Project,LUMION,V-RAY,ENSCAPE,RHINO,GRASSHOPPER,PHOTOSHOP,3DS MAX,REVIT ARCHITECTURE,TWINMOTION,SKETCHUP</t>
  </si>
  <si>
    <t>SINGHANIA BUILDCON | Site Execution | Raipur | May 2026 | Jul 2026 | 8.7142857142857 Weeks | Campus Internship
JDA ARCHITECTS | Architectural Intern | NAGPUR | Feb 2024 | Jun 2024 | 21.428571428571 Weeks
THE DESIGN CHARRETTE | Architectural Intern | INDORE | Jul 2023 | Dec 2023 | 21.857142857143 Weeks</t>
  </si>
  <si>
    <t>INTERNATIONAL ARCHITECTURAL CONFERENCE
SKETCHUP AND VRAY
PHOTOSHOP
LUMION
AUTOCAD
3DS MAX
REVIT ARCHITECTURE</t>
  </si>
  <si>
    <t>P25700452</t>
  </si>
  <si>
    <t>REGIKUMAR</t>
  </si>
  <si>
    <t>Rohan Regikumar</t>
  </si>
  <si>
    <t>rohanregi99@gmail.com</t>
  </si>
  <si>
    <t>p25700452@student.nicmar.ac.in</t>
  </si>
  <si>
    <t>MALAYALAM, ENGLISH, HINDI, TAMIL</t>
  </si>
  <si>
    <t>2890 3514 8381</t>
  </si>
  <si>
    <t>REHIKUMAR K</t>
  </si>
  <si>
    <t>GENERAL MANAGER</t>
  </si>
  <si>
    <t>MANJULA PAVITHRAN</t>
  </si>
  <si>
    <t>CHIEF MANAGER</t>
  </si>
  <si>
    <t>ROOM 339, SILVER JUBILEE HOSTEL, NICMAR UNIVERSITY</t>
  </si>
  <si>
    <t>ARRA 53, INDRANEELAM, ROYAL GARDEN, ADHAPPILLY RD, VENNALA, KOCHI, ERNAKULAM, KERALA</t>
  </si>
  <si>
    <t>BHAVANS ADARSHA VIDHYALAYA</t>
  </si>
  <si>
    <t>KERALA</t>
  </si>
  <si>
    <t>AutoCAD,MS Office,MS Project,Primavera,Candy,Revit Arch,Revit Structure,Navisworks</t>
  </si>
  <si>
    <t>RELIANCE JIO INFOCOM LTD | SENIOR TOWER ENGINEER | KOCHI, KERALA | Sep 2023 | Jun 2025 | 1Y 9M | 3</t>
  </si>
  <si>
    <t>Embassy developments limited  | Summer intern-procurement and contracts  | Mumbai  | May 2026 | Jul 2026 | 8.2857142857143 Weeks | Campus Internship</t>
  </si>
  <si>
    <t>P25700453</t>
  </si>
  <si>
    <t>UDAY</t>
  </si>
  <si>
    <t>AINCHWAR</t>
  </si>
  <si>
    <t>Pranay Uday Ainchwar</t>
  </si>
  <si>
    <t>pranay591999@gmail.com</t>
  </si>
  <si>
    <t>p25700453@student.nicmar.ac.in</t>
  </si>
  <si>
    <t>05-Sep-1999</t>
  </si>
  <si>
    <t>9679 4909 2141</t>
  </si>
  <si>
    <t>UDAY AINCHWAR</t>
  </si>
  <si>
    <t>VANITA  AINCHWAR</t>
  </si>
  <si>
    <t>Ward No 3, Bhangaram Talodhi Ta. Gondpipari</t>
  </si>
  <si>
    <t>SHREE SWAMINARAYAN GURUKUL VIDYALAYA</t>
  </si>
  <si>
    <t>CENTRAL BOARD OF SECONDARY EDUCATION, HYDERABAD</t>
  </si>
  <si>
    <t>SHIKSHAN MAHARSHI LATE SHRIHARI JIWATODE JUNIOR COLLEGE</t>
  </si>
  <si>
    <t>MAHARASHTRA STATE BOARD OF SECONDARY AND HIGHER SECONDARY EDUCATION, CHANDRAPUR</t>
  </si>
  <si>
    <t>AutoCAD,MS Office,MS Project,Primavera,Cet Configura Software,Revit,CostX</t>
  </si>
  <si>
    <t>HNI India Pvt. Ltd. | GET, Design &amp; Proposal | Nagpur, Maharashtra | Feb 2024 | Jun 2025 | 1Y 4M | 2.5</t>
  </si>
  <si>
    <t>SANGAM ENGINEERS | SITE EXECUTION &amp; MONITORING   | VAPI, GUJARAT | May 2026 | Jun 2026 | 7.8571428571429 Weeks | Campus Internship
CONCRETE TECHNO | INTERN  | CHANDRAPUR, MAHARASHTRA  | Jul 2021 | Aug 2021 | 4.2857142857143 Weeks</t>
  </si>
  <si>
    <t>Construction Equipment Maintenance &amp; Safety by L&amp;T
Foundations of Project Management
Data Analysis
Work Smarter with Microsoft Excel
Finance for Non-Financial Managers
Ethics in Engineering Practise</t>
  </si>
  <si>
    <t>P25700454</t>
  </si>
  <si>
    <t>KIRUTHIK</t>
  </si>
  <si>
    <t>P G</t>
  </si>
  <si>
    <t>Kiruthik P G</t>
  </si>
  <si>
    <t>kiruthikpg@gmail.com</t>
  </si>
  <si>
    <t>p25700454@student.nicmar.ac.in</t>
  </si>
  <si>
    <t>28-Jul-2003</t>
  </si>
  <si>
    <t>TAMIL,ENGLISH</t>
  </si>
  <si>
    <t>5488 4253 4199</t>
  </si>
  <si>
    <t>GUNASEKARAN R</t>
  </si>
  <si>
    <t>PROPRIETOR</t>
  </si>
  <si>
    <t>KAVITHA G</t>
  </si>
  <si>
    <t>NO-4/171-1,PON NAGAR_x000D_
ANDANKOVIL EAST_x000D_
Andankovil East</t>
  </si>
  <si>
    <t>Karur</t>
  </si>
  <si>
    <t>SHREE SARAS SWATHI VIDHYAAH MANDHEER SCHOOL</t>
  </si>
  <si>
    <t>CENTRAL BOARD OF SECONDARY EDUCATION COIMBATORE</t>
  </si>
  <si>
    <t>PSG COLLEGE OF TECHNOLOGY</t>
  </si>
  <si>
    <t>AutoCAD,MS Office,Python,C++</t>
  </si>
  <si>
    <t>L&amp;T GeoStructure | Management Intern | Chennai  | May 2026 | Jul 2026 | 8.5714285714286 Weeks | Campus Internship
ATM ASSOCIATES | Site Supervision | Karur | May 2024 | Jun 2024 | 4.4285714285714 Weeks</t>
  </si>
  <si>
    <t>P25700455</t>
  </si>
  <si>
    <t>Akshay Raghunath Nawale</t>
  </si>
  <si>
    <t>arnawale.social@gmail.com</t>
  </si>
  <si>
    <t>p25700455@student.nicmar.ac.in</t>
  </si>
  <si>
    <t>29-Jul-1996</t>
  </si>
  <si>
    <t>2884 3355 1773</t>
  </si>
  <si>
    <t>VITHALWADI, DEHUGAON, HAVELI</t>
  </si>
  <si>
    <t>Shivajinagar, Dhumalwadi</t>
  </si>
  <si>
    <t>MARUTIRAO KOTE ABHINAV PUBLIC SCHOOL, AKOLE</t>
  </si>
  <si>
    <t>DR. DEVENDRA AMRUTLAL OHARA JUNIOR COLLEGE, SANGAMNER</t>
  </si>
  <si>
    <t>IMPERIAL COLLEGE OF ENGINEERING AND RESEARCH, PUNE</t>
  </si>
  <si>
    <t>AutoCAD,MS Office,MS Project,Primavera,MS Excel,Revit Architecture</t>
  </si>
  <si>
    <t>Sunil Babanrao Datir Engineers &amp; Contractors | Civil Engineer | Akole | Jan 2021 | Sep 2023 | 2Y 8M | 3
Sudhir V. Katore Engineer &amp; Govt. Contractor | Civil Engineer (Project Engineering) | Pune | Nov 2023 | Dec 2024 | 1Y 1M | 2.1</t>
  </si>
  <si>
    <t>ANAROCK Property Consultants Pvt. Ltd. | Project Management &amp; Engineering Services (PMES) Intern | Bangalore, Karnataka | May 2026 | Jul 2026 | 8.7142857142857 Weeks | Campus Internship</t>
  </si>
  <si>
    <t>Construction Project Management
Generative AI for Project Managers (Specialization)
digiQC Project Admin (Scholar)
Construction Equipment Maintenance &amp; Safety
Successful Negotiation: Essential Strategies and Skills
Legal Contracts and Agreements for Entrepreneurs
Draft Commercial Contracts: Checklists
Climate Change, Sustainability, and Global Public Health
Data Analysis
Generative AI Mastermind
Finance For Non-Financial Manager (Coursera)
Real Estate Project Quantity Surveying
AutoCAD 2D Drafting
Revit Architecture
Basic Course of Disaster Management</t>
  </si>
  <si>
    <t>P25700456</t>
  </si>
  <si>
    <t>SUMEET</t>
  </si>
  <si>
    <t>RUNWAL</t>
  </si>
  <si>
    <t>Sumeet Sachin Runwal</t>
  </si>
  <si>
    <t>sumeetrunwal0269@gmail.com</t>
  </si>
  <si>
    <t>p25700456@student.nicmar.ac.in</t>
  </si>
  <si>
    <t>28-Nov-1997</t>
  </si>
  <si>
    <t>English, Hindi, Marathi.</t>
  </si>
  <si>
    <t>7295 8233 0903</t>
  </si>
  <si>
    <t>SACHIN  SHANTILAL RUNWAL</t>
  </si>
  <si>
    <t>RAKHEE SACHIN RUNWAL</t>
  </si>
  <si>
    <t>PLOT NO. 56, VIKAS COLONY, NEAR INCOME TAX OFFICE, SAKRI ROAD, DHULE</t>
  </si>
  <si>
    <t>1735, Runwal Ledij Shopping, Agra Road, Dhule.</t>
  </si>
  <si>
    <t>CANOSSA CONVENT HIGH SCHOOL</t>
  </si>
  <si>
    <t>NASHIK DIVISIONAL BOARD</t>
  </si>
  <si>
    <t>SHRI NANA SAHEB ZULAL ZULAL BHILAJIRAO PATIL HIGHER SECONDARY SCHOOL</t>
  </si>
  <si>
    <t>SHRI SHIVAJI VIDYA PRASARAK SANSTHA'S BAPUSAHEB SHIVAJIRAO DEORE POLYTECHNIC, DHULE</t>
  </si>
  <si>
    <t>R. C. PATEL INSTITUTE OF TECHNOLOGY, SHIRPUR.</t>
  </si>
  <si>
    <t>Runwal groups | Junior Engineer | Mumbai | Oct 2022 | Jul 2025 | 2Y 9M | 4.42</t>
  </si>
  <si>
    <t>2 Years 9 Months</t>
  </si>
  <si>
    <t>Runwal Group | General Trainee Engineer | Mumbai | Mar 2022 | Sep 2022 | 26.285714285714 Weeks</t>
  </si>
  <si>
    <t>AutoCADD</t>
  </si>
  <si>
    <t>P25700457</t>
  </si>
  <si>
    <t>ABI</t>
  </si>
  <si>
    <t>SHRIYA V</t>
  </si>
  <si>
    <t>Abi Shriya V</t>
  </si>
  <si>
    <t>shriyavenki22@gmail.com</t>
  </si>
  <si>
    <t>p25700457@student.nicmar.ac.in</t>
  </si>
  <si>
    <t>22-May-2004</t>
  </si>
  <si>
    <t>English and Tamil</t>
  </si>
  <si>
    <t>6296 0640 6516</t>
  </si>
  <si>
    <t>VENKATESWARAN R</t>
  </si>
  <si>
    <t>SOUTHERN RAILWAY</t>
  </si>
  <si>
    <t>SATHYA PRIYA V</t>
  </si>
  <si>
    <t>No 2, Ramalingam Illam , Reddy Nagar 4th Cross Street, Olaiyur Main, Kk Nagar, Tiruchirappalli</t>
  </si>
  <si>
    <t>Tiruchirappalli</t>
  </si>
  <si>
    <t>JEGAN MATHA MATRIC HR. SEC. SCHOOL</t>
  </si>
  <si>
    <t>STATE BOARD OF SCHOOL EXAMINATION, TAMIL NADU</t>
  </si>
  <si>
    <t>AutoCAD,MS Office,MS Project,STAAD PRO,ABAQUS</t>
  </si>
  <si>
    <t>Agami Realty | Site execution | Mumbai | May 2026 | Jul 2026 | 7.8571428571429 Weeks | Campus Internship
AGAMI REALTY | SITE MANAGEMENT | MUMBAI | May 2026 | Jul 2026 | 7.8571428571429 Weeks</t>
  </si>
  <si>
    <t>P25700458</t>
  </si>
  <si>
    <t>HARSHIT</t>
  </si>
  <si>
    <t>Kumar Harshit</t>
  </si>
  <si>
    <t>koulharshit03@gmail.com</t>
  </si>
  <si>
    <t>p25700458@student.nicmar.ac.in</t>
  </si>
  <si>
    <t>11-Oct-2001</t>
  </si>
  <si>
    <t>5526 7333 7635</t>
  </si>
  <si>
    <t>DENTAL ASSISITANT IN GOVT HOSPITAL</t>
  </si>
  <si>
    <t>RAJNI</t>
  </si>
  <si>
    <t>H. No 4 Vassant Enclave Gole Gujral Camp Road Jammu</t>
  </si>
  <si>
    <t>Jammu</t>
  </si>
  <si>
    <t>Jammu Kashmir</t>
  </si>
  <si>
    <t>SOS HERMANN GMEINER SCHOOL</t>
  </si>
  <si>
    <t>JC BOSE UNIVERSITY OF SCIENCE AND TECHNOLOGY, FARIDABAD</t>
  </si>
  <si>
    <t>YMCA, HARYANA</t>
  </si>
  <si>
    <t>AutoCAD, MS Office, MS Project, Video Editing, Problem Solving</t>
  </si>
  <si>
    <t>Shilpkar Construction Pvt. Ltd. | Project Planning and Management Intern | Sarita Vihar | May 2026 | Jun 2026 | 8.1428571428571 Weeks | Campus Internship
KRC Infraprojects pvt. ltd. | Engineer Trainee | Dehradun | Jan 2024 | Jul 2024 | 26 Weeks</t>
  </si>
  <si>
    <t>Principles of Management
Wildlife Ecology
E-Business
Intellectual Property
Basic Construction Materials
Preparing Data for Analysis with Microsoft Excel
Data Analysis by S.P.J.I.M.R.
Risk Job Simulation
Project Management in Construction
Six Sigma Green Belt</t>
  </si>
  <si>
    <t>P25700459</t>
  </si>
  <si>
    <t>HARSHAL</t>
  </si>
  <si>
    <t>Harshal Dilip Patil</t>
  </si>
  <si>
    <t>hdharshalpatil@gmail.com</t>
  </si>
  <si>
    <t>p25700459@student.nicmar.ac.in</t>
  </si>
  <si>
    <t>26-May-2001</t>
  </si>
  <si>
    <t>4850 6062 5772</t>
  </si>
  <si>
    <t>JAYA</t>
  </si>
  <si>
    <t>4, Dattadurga Nagar, Dr. Hedgewar Nagar, Dharangaon</t>
  </si>
  <si>
    <t>SARJAI DAMODAR KUDE HIGHSCHOOL, DHARANGAON</t>
  </si>
  <si>
    <t>SECONDARY SCHOOL CERTIFICATE EXAMINATION - NASHIK DIVISIONAL BOARD</t>
  </si>
  <si>
    <t>ARTS, COMMERCE AND SCIENCE COLLEGE, DHARANGAON</t>
  </si>
  <si>
    <t>HIGHER SECONDARY CERTIFICATE EXAMINATION - NASHIK DIVISIONAL BOARD</t>
  </si>
  <si>
    <t>G H RAISONI COLLEGE OF ENGINEERING AND MANAGEMENT, PUNE</t>
  </si>
  <si>
    <t>AutoCAD,MS Office,MS Project,Primavera,ArcGIS,SketchUp,Revit,CostX</t>
  </si>
  <si>
    <t>Acotech Consultants Private Limited | Contract Engineer | Mumbai | Aug 2023 | Jun 2025 | 1Y 9M | 4.75</t>
  </si>
  <si>
    <t>MASIN PROJECTS PRIVATE LIMITED | Summer Intern – Delay &amp; Quantum Analysis | Navi Mumbai | May 2026 | Jul 2026 | 8.7142857142857 Weeks | Campus Internship
CSIR - National Environmental Engineering Research Institute | Intern | Nagpur | Dec 2022 | Jun 2023 | 25.857142857143 Weeks</t>
  </si>
  <si>
    <t>Databricks Fundamentals Accreditation â€“ Databricks, June 2025
Green Skilling for Sustainable Development â€“ CSIR-NEERI
Remote Sensing and Geospatial Technology â€“ IIRS, ISRO
GIS (Elite Mode) â€“ NPTEL â€“ IIT Roorkee
Contract Management â€“ The World Bank Group
Construction Project Management â€“ Columbia University (Coursera), June 2025
Generative AI Overview for Project Managers â€“ Project Management Institute (PMI), 2025
Finance for Non-Financial Managers - EMORY University (Coursera)
Construction Contract Management - Udemy
Data Analysis by S.P.J.I.M.R.</t>
  </si>
  <si>
    <t>P25700460</t>
  </si>
  <si>
    <t>KOUSHIK</t>
  </si>
  <si>
    <t>ARUNASALAM</t>
  </si>
  <si>
    <t>Koushik Arunasalam</t>
  </si>
  <si>
    <t>aksince2k4@gmail.com</t>
  </si>
  <si>
    <t>p25700460@student.nicmar.ac.in</t>
  </si>
  <si>
    <t>25-May-2004</t>
  </si>
  <si>
    <t>7651 7370 5778</t>
  </si>
  <si>
    <t>AMUTHA</t>
  </si>
  <si>
    <t>13/54, JAYAM GARDEN, RAKKIYAPLAYAM, AVINASHI, TIRUPPUR</t>
  </si>
  <si>
    <t>Tiruppur</t>
  </si>
  <si>
    <t>SRI SHAKTHI INTERNATIONAL SCHOOL</t>
  </si>
  <si>
    <t>COIMBATORE/TAMIL NADU</t>
  </si>
  <si>
    <t>VELLORE/TAMIL NADU</t>
  </si>
  <si>
    <t>Larsen &amp; Tubro limited construction ( heavy civil infrastructure ) | Management intern  | Chennai | May 2026 | Jul 2026 | 8.7142857142857 Weeks | Campus Internship
ECO PROTECTION ENGINEERING PVT.LTD | TRAINEE  | FAIZABAD, LUCKNOW, UTTER PRADESH | Sep 2023 | Oct 2023 | 4.2857142857143 Weeks</t>
  </si>
  <si>
    <t>Wild Life Ecology
Forests and their Management
Conservation Economics
Python Beginner Course
Finance for Non-Financial Managers
AutoCad</t>
  </si>
  <si>
    <t>P25700461</t>
  </si>
  <si>
    <t>SHANTARAM</t>
  </si>
  <si>
    <t>Yash Shantaram Kamble</t>
  </si>
  <si>
    <t>kambleyash6241@gmail.com</t>
  </si>
  <si>
    <t>p25700461@student.nicmar.ac.in</t>
  </si>
  <si>
    <t>27-Jun-2003</t>
  </si>
  <si>
    <t>7037 2460 5343</t>
  </si>
  <si>
    <t>HOUSE- WIFE</t>
  </si>
  <si>
    <t>At/ Navingar, Post-kangoan, Tal - Daund, Dis- Pune</t>
  </si>
  <si>
    <t>SHRI GOPINATH SECONDARY HIGHER SECONDARY &amp; TECHNICAL SCHOOL, VARVAND</t>
  </si>
  <si>
    <t>MAHARASHTRA STATE BOARD OF SECONDARY AND HIGHER SECONDARY EDUCATION, PUNE MAHARASHTRA</t>
  </si>
  <si>
    <t>GOVERNMENT POLYTECHNIC PUNE, MAHARASHTRA</t>
  </si>
  <si>
    <t>SINHGAD INSTITUTE OF TECHNOLOGY AND SCIENCE, PUNE MAHARASHTRA</t>
  </si>
  <si>
    <t>AutoCAD,MS Office,MS Project,Primavera,Revit Architecture,Revit Structure,Revit MEP</t>
  </si>
  <si>
    <t>PSP Projects Limited | Civil Intern  | Mahim, Dharavi, Mumbai, Maharashtra | May 2026 | Jul 2026 | 8.7142857142857 Weeks | Campus Internship
RAJAT UDAY FADTARE CIVIL ENGINEERS AND GOVT. CONTRACTOR | SITE ENGINEER | TAL-DAUND, PUNE | Dec 2023 | Jan 2024 | 4.4285714285714 Weeks</t>
  </si>
  <si>
    <t>PROFESSIONAL DIPLOMA IN CIVIL CAD (PDCC)</t>
  </si>
  <si>
    <t>P25700462</t>
  </si>
  <si>
    <t>REETIK</t>
  </si>
  <si>
    <t>Reetik Anand</t>
  </si>
  <si>
    <t>reetikanand9@gmail.com</t>
  </si>
  <si>
    <t>p25700462@student.nicmar.ac.in</t>
  </si>
  <si>
    <t>25-Mar-1998</t>
  </si>
  <si>
    <t>8849 5497 4490</t>
  </si>
  <si>
    <t>AJAY ANAND</t>
  </si>
  <si>
    <t>KAVITA ANAND</t>
  </si>
  <si>
    <t>D-704, YASHWIN HINJEWADI, PHASE - 2</t>
  </si>
  <si>
    <t>E-92, P.C. Colony, Kankarbagh, Lohiya Nagar</t>
  </si>
  <si>
    <t>ST. DOMINIC SAVIOS HIGH SCHOOL</t>
  </si>
  <si>
    <t>CENTRAL BOARD OF SECONDARY EDUCATION, BIHAR</t>
  </si>
  <si>
    <t>SHIVAM CONVENT SCHOOL</t>
  </si>
  <si>
    <t>AutoCAD,MS Office,MS Project,Digital Marketing,Python Programming Language</t>
  </si>
  <si>
    <t>Ram Kripal Singh Construction, Pvt. Ltd | Site , Billing &amp; Estimation Enginner | Patna | Nov 2023 | Dec 2024 | 1Y 1M | 1.8</t>
  </si>
  <si>
    <t>VSL India Private Limited | Site Execution | Patna | May 2026 | Jul 2026 | 8.7142857142857 Weeks | Campus Internship
SOLYTICS PARTNER | DATA RESEARCH CONSULTANT | REMOTE | Jan 2025 | Jul 2025 | 27.857142857143 Weeks</t>
  </si>
  <si>
    <t>Basic Digital Marketing Workshop</t>
  </si>
  <si>
    <t>P25700463</t>
  </si>
  <si>
    <t>KASHISHA</t>
  </si>
  <si>
    <t>Kashisha Prabhakar Kapse</t>
  </si>
  <si>
    <t>kashishakapse04@gmail.com</t>
  </si>
  <si>
    <t>p25700463@student.nicmar.ac.in</t>
  </si>
  <si>
    <t>7459 5345 0388</t>
  </si>
  <si>
    <t>PRABHAKAR SHRIRAM KAPSE</t>
  </si>
  <si>
    <t>DEEPTI PRABHAKAR KAPSE</t>
  </si>
  <si>
    <t>KABIRA APARTMENT, PLOT NO. 97, INDRAPRASTH SOCIETY, FLAT NO. 201,OMKAR NAGAR, NAGPUR</t>
  </si>
  <si>
    <t>NO. 43, NEAR N. M. C. SCHOOL, NEW BIDPETH, Ayodhya Nagar, Nagpur, Maharashtra, 440024</t>
  </si>
  <si>
    <t>KENDRIYA VIDYALAY, AJNI, NAGPUR</t>
  </si>
  <si>
    <t>TAYWADE JUNIOR COLLEGE, KORADI, NAGPUR</t>
  </si>
  <si>
    <t>RASHTRASANT TUKADOJI MAHARAJ NAGPUR UNIVERSITY (RTMNU)</t>
  </si>
  <si>
    <t>YASHWANTRAO CHAVAN COLLEGE OF ENGINEERING, NAGPUR, MAHARASHTRA</t>
  </si>
  <si>
    <t>AutoCAD,MS Project,Revit architecture,StaadPro</t>
  </si>
  <si>
    <t>New Consolidated Construction Company Ltd. | Planning intern  | Mumbai  | May 2026 | Jul 2026 | 8.7142857142857 Weeks | Campus Internship
PUBLIC WORKS DEPARTMENT | INTERN | NAGPUR | Jan 2025 | Apr 2025 | 15 Weeks</t>
  </si>
  <si>
    <t>P25700464</t>
  </si>
  <si>
    <t>SHIVA KRISHNA</t>
  </si>
  <si>
    <t>ARURI</t>
  </si>
  <si>
    <t>Shiva Krishna Aruri</t>
  </si>
  <si>
    <t>shivakrishna.aruri08@gmail.com</t>
  </si>
  <si>
    <t>p25700464@student.nicmar.ac.in</t>
  </si>
  <si>
    <t>12-Aug-2001</t>
  </si>
  <si>
    <t>English, Telugu &amp; Hindi</t>
  </si>
  <si>
    <t>9706 2950 9993</t>
  </si>
  <si>
    <t>SARANGAPANI</t>
  </si>
  <si>
    <t>GOVT. JOB</t>
  </si>
  <si>
    <t>H.No:6-85/2, Tharalapalli, Kazipet, Hanamkonda, Telangana 506003</t>
  </si>
  <si>
    <t>Hanamkonda</t>
  </si>
  <si>
    <t>SACRED HEART EM HIGH SCHOOL</t>
  </si>
  <si>
    <t>SVS POLYTECHNIC, TELANGANA</t>
  </si>
  <si>
    <t>BHARATH UNIVERSITY</t>
  </si>
  <si>
    <t>BHARATH INSTITUTE OF HIGHER EDUCATION AND RESEARCH, TAMILNADU</t>
  </si>
  <si>
    <t>Karunya Constructions | Junior Engineer | Warangal | May 2024 | May 2025 | 1Y 0M | 2.04</t>
  </si>
  <si>
    <t>Kattu Construction Technology Services LLP | Project Management Intern | New BEL Road, Bangalore | May 2026 | Jul 2026 | 8.7142857142857 Weeks | Campus Internship
OFFICE OF EXECUTIVE ENGINEER (R&amp;B) NH DIVISION | INTERNSHIP | WARANGAL | Jun 2020 | Dec 2020 | 23.857142857143 Weeks</t>
  </si>
  <si>
    <t>P25700465</t>
  </si>
  <si>
    <t>Giri R</t>
  </si>
  <si>
    <t>giri752003@gmail.com</t>
  </si>
  <si>
    <t>p25700465@student.nicmar.ac.in</t>
  </si>
  <si>
    <t>07-May-2003</t>
  </si>
  <si>
    <t>English , Tamil , Malayalam</t>
  </si>
  <si>
    <t>9865 6695 4674</t>
  </si>
  <si>
    <t>RAJAGANESAN</t>
  </si>
  <si>
    <t>RETIRED DEPUTY COLLECTOR</t>
  </si>
  <si>
    <t>DEIVAYANAI</t>
  </si>
  <si>
    <t>SENIOR ELECTRICAL ENGINEER</t>
  </si>
  <si>
    <t>Plot No 30, 4th Street Indira Nagar , Medical College Road, Thanjavur</t>
  </si>
  <si>
    <t>Thanjavur</t>
  </si>
  <si>
    <t>BLOSSOM PUBLIC SCHOOL</t>
  </si>
  <si>
    <t>CENTRAL BOARD OF SECONDARY EDUCATION...THANJAVUR/TAMIL NADU</t>
  </si>
  <si>
    <t>THE VELAMMAL INTERNATIONAL SCHOOL</t>
  </si>
  <si>
    <t>CENTRAL BOARD OF SECONDARY EDUCATION, THIRUVALLUR/TAMIL NADU</t>
  </si>
  <si>
    <t>SRM UNIVERSITY</t>
  </si>
  <si>
    <t>SRM INSTITUTE OF SCIENCE AND TECHNOLOGY, KATTANKULATHUR, CHENNAI</t>
  </si>
  <si>
    <t>AutoCAD,MS Office,MS Project,Sketchup,Revit,Rhino &amp; Grasshopper,D5 Render,Adobe Photoshop,Adobe Indesign,Adobe Illustrator,Adobe After Effects,Lumion,Vray,ArcGIS</t>
  </si>
  <si>
    <t>GOA STATE INFRASTRUCTURE DEVELOPMENT CORPORATION LIMITED (GSIDC) | Site Execution Engineer | Goa | May 2026 | Jul 2026 | 8.7142857142857 Weeks | Campus Internship
BIOME ENVIRONMENTAL SOLUTIONS | FULL-TIME ARCHITECTURAL INTERN | BANGALORE | Jun 2024 | Dec 2024 | 26.285714285714 Weeks</t>
  </si>
  <si>
    <t>P25700466</t>
  </si>
  <si>
    <t>VIRAJ</t>
  </si>
  <si>
    <t>Sakshi Viraj Patil</t>
  </si>
  <si>
    <t>patilsakshi200230@gmail.com</t>
  </si>
  <si>
    <t>p25700466@student.nicmar.ac.in</t>
  </si>
  <si>
    <t>3644 6311 4962</t>
  </si>
  <si>
    <t>PRIMARY TEACHER</t>
  </si>
  <si>
    <t>GIRIRAJ DREAMS, BHASKAR COLONY, NAUPADA</t>
  </si>
  <si>
    <t>Sahjeevan Bungalow, Gandhare, Wada</t>
  </si>
  <si>
    <t>VIVEKANANDA PUBLIC SCHOOL, KHARIVALI</t>
  </si>
  <si>
    <t>VIVEKANANDA JR COLLEGE OF ARTS AND SCIENCE, KHARIVALI</t>
  </si>
  <si>
    <t>ANJUMAN-I-ISLAMS M.H SABOO SIDDIK COLLEGE OF ENGINEERING, BYCULLA</t>
  </si>
  <si>
    <t>MS Office, MS Project, AutoCAD(Basic), CostX, Revit (BIM Basic),Primavera</t>
  </si>
  <si>
    <t>Sneh Vastu Sampada | Trainee | Wada,Maharashtra | May 2026 | Jul 2026 | 8.7142857142857 Weeks | Campus Internship</t>
  </si>
  <si>
    <t>P25700467</t>
  </si>
  <si>
    <t>SURYANSH</t>
  </si>
  <si>
    <t>SONI</t>
  </si>
  <si>
    <t>Suryansh Soni</t>
  </si>
  <si>
    <t>suryanshsoni242003@gmail.com</t>
  </si>
  <si>
    <t>p25700467@student.nicmar.ac.in</t>
  </si>
  <si>
    <t>04-Feb-2004</t>
  </si>
  <si>
    <t>7776 9930 7378</t>
  </si>
  <si>
    <t>NARENDRA KUMAR SONI</t>
  </si>
  <si>
    <t>GOVERNMENT EMPOLYEE</t>
  </si>
  <si>
    <t>PRATIBHA PALLAV</t>
  </si>
  <si>
    <t>DAV Inter College Road, Chandu Ki Masjid Ke Pichhe, Mardan Naka, Kotwali Nagar, Banda</t>
  </si>
  <si>
    <t>Banda</t>
  </si>
  <si>
    <t>VIDYAWATI NIGAM MEMORIAL PUBLIC SCHOOL</t>
  </si>
  <si>
    <t>CBSE, NEW DELHI</t>
  </si>
  <si>
    <t>AutoCAD,MS Office,MS Project,Primavera,MS Excel,MS Powerpoint,ArcGIS,Power BI</t>
  </si>
  <si>
    <t>Prestige Estates Projects Limited | Site and Planning Engineer | Delhi | May 2026 | Jul 2026 | 8.5714285714286 Weeks | Campus Internship
Public Works Department (Building) Division Dhar Madhya Pradesh | Site engineer Intern | Dhar, Madhya Pradesh | Aug 2023 | Sep 2023 | 4 Weeks</t>
  </si>
  <si>
    <t>P25700468</t>
  </si>
  <si>
    <t>DEVARAJ</t>
  </si>
  <si>
    <t>MALI PATIL</t>
  </si>
  <si>
    <t>Devaraj B Mali Patil</t>
  </si>
  <si>
    <t>devarajmp327@gmail.com</t>
  </si>
  <si>
    <t>p25700468@student.nicmar.ac.in</t>
  </si>
  <si>
    <t>04-Apr-2000</t>
  </si>
  <si>
    <t>English,Kannada,Telugu,Hindi</t>
  </si>
  <si>
    <t>6305 5380 9851</t>
  </si>
  <si>
    <t>BSAVARAJ S MALI PATIL</t>
  </si>
  <si>
    <t>MAHADEVI</t>
  </si>
  <si>
    <t>AMARAPUR, SINDHANUR TALUK, RAICHUR DISTRICT.</t>
  </si>
  <si>
    <t>Raichur</t>
  </si>
  <si>
    <t>DAFFODILS CONCEPT SCHOOL</t>
  </si>
  <si>
    <t>COUNCIL FOR THE INDIAN SCHOOL CERTIFICATE EXAMINATION,  SINDHANUR, KARNATAKA</t>
  </si>
  <si>
    <t>SIR MV PU COLLEGE</t>
  </si>
  <si>
    <t>MS Office,MS Project,Primavera P6</t>
  </si>
  <si>
    <t>Bangalore Metro Rail Corporation Ltd. | Summer Intern | BENGALURU | May 2026 | Jul 2026 | 8.7142857142857 Weeks | Campus Internship
SWATHI CIVIL CONSULTANCY | INTERN | BENGALURU,YELAHANKA | Mar 2022 | Apr 2022 | 5.4285714285714 Weeks</t>
  </si>
  <si>
    <t>MS Project for civil engineering
Primavera P6</t>
  </si>
  <si>
    <t>P25700470</t>
  </si>
  <si>
    <t>KULKARNI</t>
  </si>
  <si>
    <t>Amrut Prakash Kulkarni</t>
  </si>
  <si>
    <t>kulkarniamrut098@gmail.com</t>
  </si>
  <si>
    <t>p25700470@student.nicmar.ac.in</t>
  </si>
  <si>
    <t>19-May-2003</t>
  </si>
  <si>
    <t>Kannada, Marathi, Hindi, English, German</t>
  </si>
  <si>
    <t>3211 6456 7597</t>
  </si>
  <si>
    <t>C-1001, SRK K52, Near Potnis Parisar, Karvenagar, Pune 411052</t>
  </si>
  <si>
    <t>DR. KALMADI SHAMARAO HIGH SCHOOL AND JR. COLLEGE</t>
  </si>
  <si>
    <t>AutoCAD, Revit, MS Office, MS Project, Primavera, CostX</t>
  </si>
  <si>
    <t>Cushman and Wakefield India Pvt. Ltd. | Project Management Intern | Shivajinagar, Pune 411016 | May 2026 | Jul 2026 | 8.7142857142857 Weeks | Campus Internship
ROHAN BUILDERS (INDIA) PVT. LTD. | INTERN | KHARADI, PUNE 411014 | Sep 2023 | Nov 2023 | 12.285714285714 Weeks</t>
  </si>
  <si>
    <t>Certificate in Concreting Techniques and Practices
Certificate in Mechanised Construction Techniques</t>
  </si>
  <si>
    <t>P25700471</t>
  </si>
  <si>
    <t>Aditya Gautam</t>
  </si>
  <si>
    <t>aadigautam25@gmail.com</t>
  </si>
  <si>
    <t>p25700471@student.nicmar.ac.in</t>
  </si>
  <si>
    <t>25-Aug-2000</t>
  </si>
  <si>
    <t>3542 4494 2704</t>
  </si>
  <si>
    <t>MR. SHIV GOVIND GAUTAM</t>
  </si>
  <si>
    <t>MRS. PUSHPLATA GAUTAM</t>
  </si>
  <si>
    <t>111, Pandey Gali , Gandhi Ganj, Mahatma Gandhi Ward Murwara Katni MP</t>
  </si>
  <si>
    <t>Katni</t>
  </si>
  <si>
    <t>SAINT PAUL HIGHER SEC SCHOOL, KATNI.</t>
  </si>
  <si>
    <t>CENTRAL BOARD OF SECONDARY EDUCATION, KATNI,MADHYA PRADESH.</t>
  </si>
  <si>
    <t>NOBLE HEART PUBLIC H. S. SCHOOL, KATNI.</t>
  </si>
  <si>
    <t>BOARD OF SECONDARY EDUCATION, MADHYA PRADESH.</t>
  </si>
  <si>
    <t>RAJIV GANDHI PROUDYOGIKI VISHWAVIDYALAYA, BHOPAL, MP</t>
  </si>
  <si>
    <t>ENGINEERING COLLEGE NOWGONG, CHHATARPUR</t>
  </si>
  <si>
    <t>Megha Engineering and Infrastructure Limited (MEIL) | Engineer Cons. Cord. | Agra UP | Oct 2023 | Jun 2025 | 1Y 8M | 3.48
CIVIL GURUJI PVT. LTD. | CORPORATE TRAINER | BHOPAL MP | Jan 2023 | Sep 2023 | 0Y 8M | 2.4
Sri SP ENGINEERING | Civil Site Engineer | BHOPAL MP | Jun 2022 | Oct 2022 | 0Y 4M | 1.44</t>
  </si>
  <si>
    <t>2 Years 10 Months</t>
  </si>
  <si>
    <t>Sobha Limited  | Project management intern  | Bengaluru  | May 2026 | Jul 2026 | 9 Weeks | Campus Internship</t>
  </si>
  <si>
    <t>BBS CALCULATION, BBS ADVANCE, DAILY PROGRESS REPORT, SALB RATE BILL, RECONCILIATION, PRICE ESCALATION</t>
  </si>
  <si>
    <t>P25700472</t>
  </si>
  <si>
    <t>Ganesh Ashok Shinde</t>
  </si>
  <si>
    <t>ganeshshinde7200@gmail.com</t>
  </si>
  <si>
    <t>p25700472@student.nicmar.ac.in</t>
  </si>
  <si>
    <t>09-Jun-2001</t>
  </si>
  <si>
    <t>3497 7815 4308</t>
  </si>
  <si>
    <t>ASHOK POPATRAO SHINDE</t>
  </si>
  <si>
    <t>SWATI ASHOK SHINDE</t>
  </si>
  <si>
    <t>BANKER</t>
  </si>
  <si>
    <t>SAI BUILDING FLAT NO 402, SHRIRAM NAGAR, AMBEGAON BUDRUK</t>
  </si>
  <si>
    <t>Shindemala ,Shindewadi, Shindewadi Dharmapuri Road</t>
  </si>
  <si>
    <t>BHARAT CHILDRENS ACADEMY AND JUNIOR COLLEGE</t>
  </si>
  <si>
    <t>TULJARAM CHATURCHAND COLLEGE OF ARTS, SCIENCE AND COMMERCE</t>
  </si>
  <si>
    <t>PIMPRI CHINCHWAD COLLEGE OF ENGINEERING AND RESEARCH, PIMPRI CHINCHWAD PUNE</t>
  </si>
  <si>
    <t>AutoCAD,MS Office,MS Project,Primavera,Autocad Architecture,Sketchup,Revit</t>
  </si>
  <si>
    <t>Yashada Realty | Graduate Engineer Trainee | Ravet, Pimpri Chinchwad | Aug 2023 | Dec 2023 | 0Y 4M | 1.8
Precision Precast Solutions Pvt Ltd | Designer | Baif Campus, Warje | Jul 2024 | Jul 2025 | 0Y 11M | 3.61</t>
  </si>
  <si>
    <t>New Consolidated Construction Company Limited | Planning Intern | Runwall Timeless, Pratiksha Nagar Depot Rd, Mkada Chawl, Sion East, Sion, Mumbai | May 2026 | Jul 2026 | 8.7142857142857 Weeks | Campus Internship
Rathi Developers | Intern | Tathawade | Jan 2022 | Feb 2022 | 5.4285714285714 Weeks</t>
  </si>
  <si>
    <t>Remote Sensing In Crop Monitoring And Assessment - By ISRO
Autocad 2D and 3D
Hit Office (Construction - ERP)
Geospatial technology for hydrological modelling - By ISRO
Disaster Management and Risk Reduction
Finance For Non-Financial Managers
Sustainable Construction Management
Ethics in Engineering Practice</t>
  </si>
  <si>
    <t>P25700473</t>
  </si>
  <si>
    <t>KHOSE</t>
  </si>
  <si>
    <t>DIGAMBAR</t>
  </si>
  <si>
    <t>Khose Piyush Digambar</t>
  </si>
  <si>
    <t>piyushkhose2k@gmail.com</t>
  </si>
  <si>
    <t>p25700473@student.nicmar.ac.in</t>
  </si>
  <si>
    <t>24-Oct-2000</t>
  </si>
  <si>
    <t>5669 7084 0976</t>
  </si>
  <si>
    <t>DIGAMBAR NAGURAO KHOSE</t>
  </si>
  <si>
    <t>RAMA DIGAMBAR KHOSE</t>
  </si>
  <si>
    <t>C1504, Ashar16, Wagle Estate, Nr. Brodma Company</t>
  </si>
  <si>
    <t>WEES ENGLISH HIGH SCHOOL</t>
  </si>
  <si>
    <t>AGNEL POLYTECHNIC, NAVI MUMBAI, MAHARASHTRA</t>
  </si>
  <si>
    <t>NEW HORIZON INSTITUTE OF TECHNOLOGY AND MANAGEMENT, THANE, MAHARASHTRA</t>
  </si>
  <si>
    <t>NB ASSOCIATES PVT.LTD. | Graduate Engineer Trainee | Bhiwandi (Lodha Upper Thane) | Jul 2022 | Nov 2022 | 0Y 4M | 1.44
STRANQUIL CONSTRUCTION PVT. LTD. | Site Engineer | Bhiwandi (Lodha Upper Thane) | Nov 2022 | May 2024 | 1Y 6M | 2.16
CAPACITE INFRAPROJECTS LIMITED | Planning Engineer | Bhandup | Dec 2024 | Jul 2025 | 0Y 6M | 3.24</t>
  </si>
  <si>
    <t>P25700474</t>
  </si>
  <si>
    <t>ANIRUDDHA</t>
  </si>
  <si>
    <t>DEVENDRA</t>
  </si>
  <si>
    <t>Kulkarni Aniruddha Devendra</t>
  </si>
  <si>
    <t>kulkarnianiruddhad@gmail.com</t>
  </si>
  <si>
    <t>p25700474@student.nicmar.ac.in</t>
  </si>
  <si>
    <t>11-Jun-2003</t>
  </si>
  <si>
    <t>7116 9188 8823</t>
  </si>
  <si>
    <t>GIRIJA</t>
  </si>
  <si>
    <t>EMPLOYED</t>
  </si>
  <si>
    <t>B/8, Bank Of India Colony, Aranyeshwar, Pune</t>
  </si>
  <si>
    <t>MUKTANGAN ENGLISH SCHOOL &amp; JR COLLEGE</t>
  </si>
  <si>
    <t>ALL INDIA SHRI SHIVAJI MEMORIAL SOCIETY'S COLLEGE OF ENGINEERING, PUNE</t>
  </si>
  <si>
    <t>AutoCAD,MS Project,Primavera,MS Word,MS Excel</t>
  </si>
  <si>
    <t>Pyramid Lifestyle LTD | Intern - Civil Dept | Balewadi, Pune  | May 2026 | Jul 2026 | 8.4285714285714 Weeks | Campus Internship
Haardhik Impulse Developers LLP | Trainee | Moshi, Pune - 412105 | Dec 2023 | Jan 2024 | 4.4285714285714 Weeks</t>
  </si>
  <si>
    <t>P25700475</t>
  </si>
  <si>
    <t>G</t>
  </si>
  <si>
    <t>Avinash G</t>
  </si>
  <si>
    <t>avinash13157@gmail.com</t>
  </si>
  <si>
    <t>p25700475@student.nicmar.ac.in</t>
  </si>
  <si>
    <t>13-Oct-2003</t>
  </si>
  <si>
    <t>6249 6613 8986</t>
  </si>
  <si>
    <t>GUNASHEKAREN S</t>
  </si>
  <si>
    <t>PUSHPA G</t>
  </si>
  <si>
    <t>6/802E, E.B.COLONY, PARAMATHI ROAD_x000D_
NAMAKKAL.</t>
  </si>
  <si>
    <t>Namakkal</t>
  </si>
  <si>
    <t>CENTRAL BOARD OF SECONDARY EDUCATION, TAMILNADU</t>
  </si>
  <si>
    <t>VELLORE INSTITUTE OF TECHNOLOGY, VELLORE, TAMILNADU</t>
  </si>
  <si>
    <t>NBCC (India) Limited | Intern - Projects | Greater Noida | May 2026 | Jul 2026 | 9.5714285714286 Weeks | Campus Internship
DESIGN TREE SERVICE CONSULTANTS Pvt Ltd | INTERN | BANGALORE | Aug 2023 | Sep 2023 | 3.5714285714286 Weeks
LARSEN &amp; TOUBRO CONSTRUCTION | INTERN | CHENNAI | Jan 2025 | May 2025 | 20.571428571429 Weeks</t>
  </si>
  <si>
    <t>BIM Fundamentals for Engineers
Entrepreneurship (NPTEL)</t>
  </si>
  <si>
    <t>P25700476</t>
  </si>
  <si>
    <t>BIKI</t>
  </si>
  <si>
    <t>KHARKA</t>
  </si>
  <si>
    <t>Biki Kharka</t>
  </si>
  <si>
    <t>bikki.kharka@gmail.com</t>
  </si>
  <si>
    <t>p25700476@student.nicmar.ac.in</t>
  </si>
  <si>
    <t>27-Jan-1999</t>
  </si>
  <si>
    <t>English , Hindi , Assamese and Nepali</t>
  </si>
  <si>
    <t>6053 6816 7942</t>
  </si>
  <si>
    <t>TANKA BAHADUR KHARKA CHETRY</t>
  </si>
  <si>
    <t>SUNITA CHETRY</t>
  </si>
  <si>
    <t>Village :- Natun Hawly _x000D_
Post Office :- Natun Hawly_x000D_
District :- Tamulpur _x000D_
Police Station :- Tamulpur_x000D_
B.T.R , Assam</t>
  </si>
  <si>
    <t>Baksa</t>
  </si>
  <si>
    <t>SAINIK SCHOOL GOALPARA</t>
  </si>
  <si>
    <t>CENTRAL BOARD OF SECONDARY EDUCATION , GOALPARA / ASSAM</t>
  </si>
  <si>
    <t>RD JUNIOR COLLEGE DIGBOI</t>
  </si>
  <si>
    <t>ASSAM HIGHER SECONDARY EDUCATION COUNCIL , DIGBOI/ASSAM</t>
  </si>
  <si>
    <t>GAUHATI UNIVERSITY</t>
  </si>
  <si>
    <t>ASSAM ENGINEERING COLLEGE , GUWAHATI / ASSAM</t>
  </si>
  <si>
    <t>AutoCAD,MS Office,MS Project,Primavera,CostX , Revit</t>
  </si>
  <si>
    <t>Centre for Microfinance &amp; Livelihood (CML) An Initiative of TATA TRUSTS | Consultant - Programme Associate (Cluster Coordinator) | Assam | Aug 2021 | Apr 2023 | 1Y 8M | 3.6</t>
  </si>
  <si>
    <t>Jyoti Structures Limited | Intern | Bhuj Gujarat | May 2026 | Jul 2026 | 8.7142857142857 Weeks | Campus Internship</t>
  </si>
  <si>
    <t>P25700477</t>
  </si>
  <si>
    <t>GUNJAL</t>
  </si>
  <si>
    <t>Yash Prashant Gunjal</t>
  </si>
  <si>
    <t>yashgunjal694@gmail.com</t>
  </si>
  <si>
    <t>p25700477@student.nicmar.ac.in</t>
  </si>
  <si>
    <t>10-May-2001</t>
  </si>
  <si>
    <t>2387 9106 4731</t>
  </si>
  <si>
    <t>GAYATRI</t>
  </si>
  <si>
    <t>Panhale Road, Nhanave, Tal.Chandwad,Dist.Nashik</t>
  </si>
  <si>
    <t>SHREE NEMINATH JAIN HIGH SCHOOL</t>
  </si>
  <si>
    <t>GOVERMENT POLYTECHNIC AWASARI(KH),MAHARASTRA</t>
  </si>
  <si>
    <t>GH RAISONI COLLEGE OF ENGINEERING AND MANAGEMENT,PUNE,MAHARASTRA</t>
  </si>
  <si>
    <t>AutoCAD,MS Office,MS Project,Primavera,Revit Archetecture,ERP(Highrise),CQRA Quality Analysis Software,CostX</t>
  </si>
  <si>
    <t>Aishwaryam Group | Site engineer | Pune | Dec 2024 | Jun 2025 | 0Y 6M | 4.16</t>
  </si>
  <si>
    <t>TruBoard Partners | Asset management Intern | Mumbai | May 2026 | Jun 2026 | 8.1428571428571 Weeks | Campus Internship
COGNIZANT TECHNOLOGY SOLUTIONS INDIA PRIVATE LIMITED. | PROGRAMMER ANALYST TRAINEE | PUNE | May 2023 | Aug 2023 | 16.857142857143 Weeks</t>
  </si>
  <si>
    <t>Minor degree in Computer Engineering
National Cadet Corps (NCC)
Certificate Of Publication For Article
Revit Architecture</t>
  </si>
  <si>
    <t>P25700478</t>
  </si>
  <si>
    <t>SHRESHTH</t>
  </si>
  <si>
    <t>Shreshth Gupta</t>
  </si>
  <si>
    <t>shreshthgupta1608@gmail.com</t>
  </si>
  <si>
    <t>p25700478@student.nicmar.ac.in</t>
  </si>
  <si>
    <t>8939 2348 2045</t>
  </si>
  <si>
    <t>RITESH GUPTA</t>
  </si>
  <si>
    <t>PREETI GUPTA</t>
  </si>
  <si>
    <t>F-6c, Harinagar, Opp Desu Office,Mayapuri, New Delhi, 110064</t>
  </si>
  <si>
    <t>TAGORE SENIOR SECONDARY SCHOOL</t>
  </si>
  <si>
    <t>SHRI MATA VAISHNO DEVI UNIVERSITY, KATRA</t>
  </si>
  <si>
    <t>AutoCAD,MS Office,Primavera,Revit,Staad Pro,Microsoft Projects, RIB CostX</t>
  </si>
  <si>
    <t>Geoquest India | Operations (Project Management/Planning) | New Delhi | May 2026 | Jun 2026 | 8 Weeks | Campus Internship
GIRDHARI LAL CONSTRUCTIONS PRIV LIMITED | SUMMER INTERN | Gurgaon | Jun 2024 | Jul 2024 | 5.5714285714286 Weeks
GIRDHARI LAL CONSTRUCTIONS PRIV LIMITED | SUMMER INTERN | Delhi | Jun 2023 | Jul 2023 | 4.5714285714286 Weeks
KAMLADITYYA CONSTRUCTION PRIVATE LIMITED | Summer Intern | Delhi | Jul 2022 | Aug 2022 | 3.1428571428571 Weeks</t>
  </si>
  <si>
    <t>Primavera P6 Unveiled: Step-by-Step Beginner's Training
AutoCAD2020 2D Basics &amp; Advanced(Full Projects Civil + Arch)
Revit- Mass Modelling- From Basic to Advanced level
SketchUp 2023: The A-Z Course to Mastering 3D Modeling
Adobe Photoshop CC: Essentials Photoshop Course Zero to Hero
Diversity and Inclusion in the Workplace
Finance for Non-Financial Managers</t>
  </si>
  <si>
    <t>P25700479</t>
  </si>
  <si>
    <t>ALDAR</t>
  </si>
  <si>
    <t>SOHAN</t>
  </si>
  <si>
    <t>PANDHARINATH</t>
  </si>
  <si>
    <t>Aldar Sohan Pandharinath</t>
  </si>
  <si>
    <t>sohanaldar99@gmail.com</t>
  </si>
  <si>
    <t>p25700479@student.nicmar.ac.in</t>
  </si>
  <si>
    <t>22-May-2001</t>
  </si>
  <si>
    <t>9137 1254 4108</t>
  </si>
  <si>
    <t>Udanwadi</t>
  </si>
  <si>
    <t>SHREE BHAVANI VIDYALAYA ,ATAPADI</t>
  </si>
  <si>
    <t>MAHARASHTRA STATE BOARD OF SECONDARY EDUCATION ,PUNE[KOLHAPUR DIVISION]</t>
  </si>
  <si>
    <t>JSPN NARHE TECHNICAL CAMPUS,PUNE-411041</t>
  </si>
  <si>
    <t>AutoCAD,MS Project,Primavera,Cost X,Revit,Naviswork</t>
  </si>
  <si>
    <t>NIVARA ARCHITECTURE AND DEVELOPER | JUNIOR ENGINEER | solapur | Jun 2024 | Nov 2024 | 0Y 5M | 2.76
Sai Associates | Site Engineer | Pune | Aug 2020 | Aug 2021 | 0Y 11M | 1.2</t>
  </si>
  <si>
    <t>BHOSALE BUIDCON | TRAINEE | NEW MUMBAI | Dec 2019 | Apr 2020 | 20 Weeks</t>
  </si>
  <si>
    <t>CERTIFICATE OF PRESENTATION</t>
  </si>
  <si>
    <t>P25700480</t>
  </si>
  <si>
    <t>KALLAPPA</t>
  </si>
  <si>
    <t>PUJARI</t>
  </si>
  <si>
    <t>Yash Kallappa Pujari</t>
  </si>
  <si>
    <t>yashupujari11@gmail.com</t>
  </si>
  <si>
    <t>p25700480@student.nicmar.ac.in</t>
  </si>
  <si>
    <t>19-Feb-2002</t>
  </si>
  <si>
    <t>6738 9615 8611</t>
  </si>
  <si>
    <t>RETIRED GOVERNMENT OFFICER</t>
  </si>
  <si>
    <t>Plot No.19 , "Pancharatna" Bunglow , Suryawanshi Colony, Daulatnagar ,Satara. Pincode- 415001</t>
  </si>
  <si>
    <t>NIRMALA CONVENT HIGHSCHOOL, SATARA</t>
  </si>
  <si>
    <t>CHHATRAPATI SHAHU ACADEMY &amp; SCIENCE JUNIOR COLLEGE, SATARA</t>
  </si>
  <si>
    <t>New Consolidated Construction Company limited (NCCCL) | Estimation and Costing Engineer | Navi Mumbai, Ghansoli | May 2026 | Jul 2026 | 8.7142857142857 Weeks | Campus Internship
SHREE DEVELOPERS | Site Execution | Satara | Jun 2024 | Jun 2024 | 3.4285714285714 Weeks
M/S SHREE KEDARBAJI CONSTRUCTION | Site Execution | Satara | Jun 2023 | Jul 2023 | 3.2857142857143 Weeks</t>
  </si>
  <si>
    <t>P25700481</t>
  </si>
  <si>
    <t>MATE</t>
  </si>
  <si>
    <t>Vivek Ulhas Mate</t>
  </si>
  <si>
    <t>vivekmate27@gmail.com</t>
  </si>
  <si>
    <t>p25700481@student.nicmar.ac.in</t>
  </si>
  <si>
    <t>17-Jan-2000</t>
  </si>
  <si>
    <t>English,hindi,marathi</t>
  </si>
  <si>
    <t>6321 3662 4892</t>
  </si>
  <si>
    <t>402,DATTA KRUPA NWAS APT.GOLEWADI BADLAPUR EAST.</t>
  </si>
  <si>
    <t>ADARSH VIDYA MANDIR</t>
  </si>
  <si>
    <t>R.K.TALREJA COLLEGE OF SCIENCE ,ARTS &amp; COMMERCE</t>
  </si>
  <si>
    <t>NAVSAHYADRI INSTITUTE OF TECHNOLOGY, PUNE</t>
  </si>
  <si>
    <t>PILLAI HOC COLLEGE OF ENGINEERING AND TECHNOLOGY, RASAYANI</t>
  </si>
  <si>
    <t>Bharat Petroleum Corporation Limited | Apprentice | MAHUL ,BPCL MUMBAI REFINERY | Nov 2023 | Nov 2024 | 0Y 11M | 2.16
CLR Facility Services Pvt. Ltd | supervisor | Mahul , BPCL Mumbai refinery | Feb 2025 | Apr 2025 | 0Y 2M | 3.2</t>
  </si>
  <si>
    <t>Embasssy Development Limited | Intern-Budgeting and Quantity surveying | Mumbai | May 2026 | Jul 2026 | 8.7142857142857 Weeks | Campus Internship
Mahindra Sustenâ€™s Centre of Excellence | Trainee | Karjat | Jun 2022 | Jul 2022 | 7.5714285714286 Weeks</t>
  </si>
  <si>
    <t>AUTO CAD CIVIL
Construction Equipment Maintenance &amp; Safety
Finance for Non-Financial Managers
Ethics in Engineering Practice
Foundations of Project Management
Project Valuation and the Capital Budgeting Process
Budgeting and Cost Control Techniques
Budgeting and Variance Analysis Techniques</t>
  </si>
  <si>
    <t>P25700482</t>
  </si>
  <si>
    <t>M P</t>
  </si>
  <si>
    <t>Arun M P</t>
  </si>
  <si>
    <t>arunmanivasakan@gmail.com</t>
  </si>
  <si>
    <t>p25700482@student.nicmar.ac.in</t>
  </si>
  <si>
    <t>10-Apr-2004</t>
  </si>
  <si>
    <t>4935 1488 7366</t>
  </si>
  <si>
    <t>MANIVASAKAN M</t>
  </si>
  <si>
    <t>PERIANAYAGHI M</t>
  </si>
  <si>
    <t>Plot No 80, Karups Nagar Extension, 3rd Street, New Bus Stand, Thanjavur. 613005</t>
  </si>
  <si>
    <t>CENTRAL BOARD OF SECONDARY EDUCATION, THANJAVUR</t>
  </si>
  <si>
    <t>DR. MAHALINGAM COLLEGE OF ENGINEERING AND TECHNOLOGY</t>
  </si>
  <si>
    <t>AutoCAD,MS Office,MS Project,Sketch UP,Staad Pro</t>
  </si>
  <si>
    <t>Sobha Limited | Site Execution | Bengaluru | May 2026 | Jul 2026 | 9 Weeks | Campus Internship
Cube Engineers | Technical Feild Engineer | Chennai | Dec 2024 | Mar 2025 | 14 Weeks
SURA Builders | Junior Engineer | Thanjavur  | Jun 2023 | Jul 2023 | 1.7142857142857 Weeks</t>
  </si>
  <si>
    <t>MS Project, Staad Pro and Technical skills</t>
  </si>
  <si>
    <t>P25700483</t>
  </si>
  <si>
    <t>SUDNESH</t>
  </si>
  <si>
    <t>PRAFULLA</t>
  </si>
  <si>
    <t>BORSE</t>
  </si>
  <si>
    <t>Sudnesh Prafulla Borse</t>
  </si>
  <si>
    <t>sudneshborse123@gmail.com</t>
  </si>
  <si>
    <t>p25700483@student.nicmar.ac.in</t>
  </si>
  <si>
    <t>03-Dec-2001</t>
  </si>
  <si>
    <t>7416 3942 9309</t>
  </si>
  <si>
    <t>PRAFULLA BHAGWAN BORSE</t>
  </si>
  <si>
    <t>DHANASHREE PRAFULLA BORSE</t>
  </si>
  <si>
    <t>Bunglow No. 232 Sarthak, Audumbar Nagar, Amrutdham, Panchavati</t>
  </si>
  <si>
    <t>ST FRANCIS HIGH SCHOOL</t>
  </si>
  <si>
    <t>BOYS TOWN JUNIOR COLLEGE</t>
  </si>
  <si>
    <t>K.K WAGH INSTITUTE OF ENGINEERING EDUCATION AND RESEARCH NASHIK MAHARASTRA</t>
  </si>
  <si>
    <t>AutoCAD,MS Office,MS Project,Primavera,REVIT,RIB costX,RSGIS</t>
  </si>
  <si>
    <t>JP Structural Engineers | Junior Structural Engineer | Nashik | Jun 2024 | Jun 2025 | 1Y 0M | 3.75</t>
  </si>
  <si>
    <t>Jyoti Structures Limited | Project Control | Pune | May 2026 | Jul 2026 | 8.7142857142857 Weeks | Campus Internship
Suvik Buildcon | SITE EXECUTION AND CONTROL | Nashik  | Jan 2023 | Feb 2023 | 4.4285714285714 Weeks</t>
  </si>
  <si>
    <t>Construction Equipment Maintenance &amp; Safety (L&amp;T)
Project Admin (Scholar)
Sustainable Structures Club
workshop on concrete mix design
Training Programme on Remote Sensing &amp; GIS</t>
  </si>
  <si>
    <t>P25700484</t>
  </si>
  <si>
    <t>PRITESH</t>
  </si>
  <si>
    <t>GHITRE</t>
  </si>
  <si>
    <t>Pritesh Prakash Ghitre</t>
  </si>
  <si>
    <t>priteshghitre07@gmail.com</t>
  </si>
  <si>
    <t>p25700484@student.nicmar.ac.in</t>
  </si>
  <si>
    <t>03-Aug-1999</t>
  </si>
  <si>
    <t>9102 4454 9577</t>
  </si>
  <si>
    <t>NEAR DONGAON ROAD, SHIKSHAK COLONY, LASUR STATION, CHH. SAMBHAJINAGAR</t>
  </si>
  <si>
    <t>At. Agathan, Post. Mehaboobkheda,Tq. Gangapur, Dist. Chh. Sambhajinagar</t>
  </si>
  <si>
    <t>MAHARASHTRA PUBLIC SCHOOL</t>
  </si>
  <si>
    <t>VIVEKANAND ARTS, SARDAR DALIPSINGH COMMERCE AND SCIENCE COLLEGE</t>
  </si>
  <si>
    <t>CSMSS COLLEGE OF POLYTECHNIC</t>
  </si>
  <si>
    <t>CSMSS, CHHATRAPATI SHAHU COLLEGE OF ENGINEERING, CHHATRAPATI SAMBHAJINAGAR</t>
  </si>
  <si>
    <t>GNY Group | Site Execution and Quantity Surveyor | Chhatrapati Sambhajinagar | May 2026 | Jul 2026 | 8.7142857142857 Weeks | Campus Internship
RAMA CONSTRUCTION | Planning and Site Co-ordination | AURANGABAD, | Feb 2023 | May 2023 | 13.571428571429 Weeks
YASHRAJ INFRASTRUCTURE | Site Engineer | AURANGABAD | May 2019 | Jun 2019 | 6 Weeks</t>
  </si>
  <si>
    <t>Ethics in Engineering Practice,NPTEL
Finance for Non-Financial Managers,Coursera</t>
  </si>
  <si>
    <t>P25700485</t>
  </si>
  <si>
    <t>PRATHAM</t>
  </si>
  <si>
    <t>DHANAJKAR</t>
  </si>
  <si>
    <t>Pratham Sanjay Dhanajkar</t>
  </si>
  <si>
    <t>dhanajkarpratham@gmail.com</t>
  </si>
  <si>
    <t>p25700485@student.nicmar.ac.in</t>
  </si>
  <si>
    <t>29-Oct-2001</t>
  </si>
  <si>
    <t>7136 5876 7526</t>
  </si>
  <si>
    <t>NANDA</t>
  </si>
  <si>
    <t>At Dhanaj Post Chondi, TQ Mukhed, Dist Nanded</t>
  </si>
  <si>
    <t>SHAHIR ANNABHAU SATHE VIDYALAYA,MUKHED</t>
  </si>
  <si>
    <t>SSC/NANDED/MAHARASHTRA</t>
  </si>
  <si>
    <t>SAHIR ANNABHAU SATHE JUNIOR COLLEGE, MUKHED</t>
  </si>
  <si>
    <t>HSC/NANDED/MAHARASHTRA</t>
  </si>
  <si>
    <t>2019-june</t>
  </si>
  <si>
    <t>SINHGAD COLLEGE OF ENGINEERING VADGAO BK,PUNE MAHARASHTRA</t>
  </si>
  <si>
    <t>AutoCAD,MS Office,MS Project,Primavera,Cost X,Autodesk Revit</t>
  </si>
  <si>
    <t>Pundlik Builders And Developers | Project Engineer  | Nanded | Jun 2024 | Jun 2025 | 1Y 0M | 2.04</t>
  </si>
  <si>
    <t>T and T Infra Pvt Ltd. | Site Execution &amp; Coordination Intern | Pune | May 2026 | Jul 2026 | 9.1428571428571 Weeks | Campus Internship
Electrocivil Corporation | Intern  | Pune | Feb 2023 | Mar 2023 | 6.4285714285714 Weeks</t>
  </si>
  <si>
    <t>P25700486</t>
  </si>
  <si>
    <t>TAHIRHUSEN</t>
  </si>
  <si>
    <t>ZAKIRHUSEN</t>
  </si>
  <si>
    <t>BAGWAN</t>
  </si>
  <si>
    <t>Tahirhusen Zakirhusen Bagwan</t>
  </si>
  <si>
    <t>bagwantahirhusen@gmail.com</t>
  </si>
  <si>
    <t>p25700486@student.nicmar.ac.in</t>
  </si>
  <si>
    <t>04-Apr-2002</t>
  </si>
  <si>
    <t>9683 5930 1206</t>
  </si>
  <si>
    <t>VEGETABLE MERCHANT</t>
  </si>
  <si>
    <t>HAFIJA</t>
  </si>
  <si>
    <t>Near Malti Cloth Shop, Nandani Road, Shahunagar, Jaysingpur - 416101</t>
  </si>
  <si>
    <t>JAYPRABHA ENGLISH MEDIUM HIGHSCHOOL, JAYSINGPUR</t>
  </si>
  <si>
    <t>MAHARASHTRA STATE BOARD OF  SECONDARY AND HIGHER SECONDARY EDUCATION, PUNE</t>
  </si>
  <si>
    <t>VYANKATRAO HIGH SCHOOL AND JUNIOR COLLEGE, ICHALKARANJI</t>
  </si>
  <si>
    <t>SAVITRIBAI PHULE PUNE UNIVERSITY  PUNE.</t>
  </si>
  <si>
    <t>COEP TECHNOLOGICAL UNIVERSITY, PUNE</t>
  </si>
  <si>
    <t>AutoCAD,MS Office,MS Project,Primavera,Revit Architecture,Revit Structure,Revit MEP,Staad Pro</t>
  </si>
  <si>
    <t xml:space="preserve"> National Buildings Construction Corporation Limited (NBCC) | Project Management Intern | Greater Noida (NCR) | May 2026 | Jul 2026 | 9.7142857142857 Weeks | Campus Internship
PATEL BUILDERS AND DEVELOPERS | Intern | Jaysingpur, Kolhapur | Jan 2025 | Jun 2025 | 25.714285714286 Weeks</t>
  </si>
  <si>
    <t>Project Planning and Execution Management
REVIT STRUCTURE Associated with Project Management Institution
STADD PRO Associated with Project Management Institution
REVIT MEP Associated with Project Management Institution
REVIT ARCHITECTURE Associated with Project Management Institution
AUTOCAD 2D AND 3D Associated with Project Management Institution</t>
  </si>
  <si>
    <t>P25700487</t>
  </si>
  <si>
    <t>SHIVKUMAR</t>
  </si>
  <si>
    <t>VITTHALRAO</t>
  </si>
  <si>
    <t>ARMAL</t>
  </si>
  <si>
    <t>Shivkumar Vitthalrao Armal</t>
  </si>
  <si>
    <t>shivkumararmal@gmail.com</t>
  </si>
  <si>
    <t>p25700487@student.nicmar.ac.in</t>
  </si>
  <si>
    <t>English,Marathi, Hindi</t>
  </si>
  <si>
    <t>6483 0436 9820</t>
  </si>
  <si>
    <t>SHILPA</t>
  </si>
  <si>
    <t>E-182/6 CSTPS COLONY, URJANAGAR</t>
  </si>
  <si>
    <t>VIDYA MANDIR HIGH SCHOOL, URJANAGAR</t>
  </si>
  <si>
    <t>MAHARASHTRA STATE BOARD OF SECONDARY AND HIGHER SECONDARY EDUCATION, PUNE,MAHARASHTRA</t>
  </si>
  <si>
    <t>VIDYA NIKETAN JUNIOR COLLEGE, URJANAGAR</t>
  </si>
  <si>
    <t>SIPNA COLLEGE ENGINEERING AND TECHNOLOGY, AMRAVATI</t>
  </si>
  <si>
    <t>AutoCAD,MS Office,MS Project,REVIT,NAVISWORK</t>
  </si>
  <si>
    <t>GREEN ECOMES SOLUTION PVT. LTD. | BIM MEP ENGINEER | PUNE | Mar 2024 | Oct 2024 | 0Y 7M | 2.82</t>
  </si>
  <si>
    <t>SOBHA LIMITED | Planning Intern-BIM | CPO-Bengaluru | May 2026 | Jul 2026 | 9 Weeks | Campus Internship
BLUEPRINTS DESIGN CONSULTING SERVICES PVT.LTD. | BIM INTERN | PUNE | Oct 2023 | Dec 2023 | 10.714285714286 Weeks</t>
  </si>
  <si>
    <t xml:space="preserve">BIM PROFESSIONAL COURSE
AUTODESK CERTIFIED USER REVIT FOR ARCHITECTURE
BIM : Fundamentals and Applications In AECO Industry </t>
  </si>
  <si>
    <t>P25700488</t>
  </si>
  <si>
    <t>CHINMAY</t>
  </si>
  <si>
    <t>GADADINNI</t>
  </si>
  <si>
    <t>Chinmay S Gadadinni</t>
  </si>
  <si>
    <t>gadadinnichinmay36@gmail.com</t>
  </si>
  <si>
    <t>p25700488@student.nicmar.ac.in</t>
  </si>
  <si>
    <t>29-Oct-1999</t>
  </si>
  <si>
    <t>6129 2349 5121</t>
  </si>
  <si>
    <t>SHRISHAIL</t>
  </si>
  <si>
    <t>SUREKHA</t>
  </si>
  <si>
    <t>S/o Shrishail, #87, Mayuri Garden, Gokul Road, Behind New Bus Stand.</t>
  </si>
  <si>
    <t>CHETAN PUBLIC SCHOOL</t>
  </si>
  <si>
    <t>KARNATAKA SECONDARY EDUCATION EXAMINATION BOARD, HUBLI, KARNATAKA</t>
  </si>
  <si>
    <t>VIDYANIKETAN SC PU COLLEGE</t>
  </si>
  <si>
    <t>DEPARTMENT OF PRE-UNIVERSITY EDUCATION,HUBLI, KARNATAKA</t>
  </si>
  <si>
    <t>KARNATAKA LINGAYAT EDUCATION SOCIETY'S INSTITUTE OF TECHNOLOGY, HUBLI</t>
  </si>
  <si>
    <t>AutoCAD,MS Office,MS Project,AUTODESK Revit</t>
  </si>
  <si>
    <t>SAMVARDDH ASSOCIATES Pvt Ltd | Site Engineer | Bengaluru | Feb 2024 | May 2024 | 0Y 2M | 3
Hella Infra Market Pvt Ltd | Graduate Engineer | Bengaluru | Sep 2021 | Apr 2022 | 0Y 6M | 4</t>
  </si>
  <si>
    <t>Ahluwalia Contracts(India) Limited  | Planning Intern | Bangalore, Karnataka  | May 2026 | Jul 2026 | 8.5714285714286 Weeks | Campus Internship
SHEJAWADKAR CONSTRUCTION COMPANY PVT LTD | Intern | Hubli | Oct 2020 | Nov 2020 | 4.5714285714286 Weeks</t>
  </si>
  <si>
    <t>Diploma Course in Civil CAD</t>
  </si>
  <si>
    <t>P25700489</t>
  </si>
  <si>
    <t>GALANGE</t>
  </si>
  <si>
    <t>Siddharth Mohan Galange</t>
  </si>
  <si>
    <t>siddharthgalange.29@gmail.com</t>
  </si>
  <si>
    <t>p25700489@student.nicmar.ac.in</t>
  </si>
  <si>
    <t>29-Jul-2003</t>
  </si>
  <si>
    <t>3232 4389 1302</t>
  </si>
  <si>
    <t>GITANJALI</t>
  </si>
  <si>
    <t>Pratibimb, Plot No. 6354/28, Urmilanagar, Chougule Mala, Near Abhaynagar, Sangli</t>
  </si>
  <si>
    <t>NAV KRISHNA VALLEY JR. COLLEGE</t>
  </si>
  <si>
    <t>RAJARAMBAPU INSTITUTE OF TECHNOLOGY, RAJARAMNAGAR, WALWA, MAHARASHTRA</t>
  </si>
  <si>
    <t>AutoCAD,MS Office,MS Project,Primavera,BBS,CostX</t>
  </si>
  <si>
    <t>Tejraj Group | Intern - Engineering | Baner, Pune | Jan 2025 | May 2025 | 20.714285714286 Weeks
Ascon Projects | Trainee Engineer | Sangli | Aug 2023 | Aug 2023 | 2.2857142857143 Weeks</t>
  </si>
  <si>
    <t>Construction Equipment Maintenance and Safety
Finance for Non-Financial Managers
Ethics in Engineering Practice</t>
  </si>
  <si>
    <t>P25700490</t>
  </si>
  <si>
    <t>RISHI</t>
  </si>
  <si>
    <t>PRADEEP</t>
  </si>
  <si>
    <t>DHAKULKAR</t>
  </si>
  <si>
    <t>Rishi Pradeep Dhakulkar</t>
  </si>
  <si>
    <t>rishidhakulkar12@gmail.com</t>
  </si>
  <si>
    <t>p25700490@student.nicmar.ac.in</t>
  </si>
  <si>
    <t>12-Mar-2001</t>
  </si>
  <si>
    <t>8905 4020 4531</t>
  </si>
  <si>
    <t>PRADEEP DHAKULKAR</t>
  </si>
  <si>
    <t>MANDA</t>
  </si>
  <si>
    <t>Wadgaon Road, Vitthalwadi Wani</t>
  </si>
  <si>
    <t>MACAROON STUDENTS ACADEMY WANI</t>
  </si>
  <si>
    <t>CENTRAL BOARD OF SECONDARY EDUCATION EDUCATION, MAHARASHTRA</t>
  </si>
  <si>
    <t>HISLOP COLLEGE NAGPUR</t>
  </si>
  <si>
    <t>SHRI RAMDEOBABA COLLEGE OF ENGINEERING AND MANAGEMENT, NAGPUR</t>
  </si>
  <si>
    <t>AutoCAD,MS Office,MS Project,Primavera,CostX,Revit,SAP</t>
  </si>
  <si>
    <t>Adani Realty | Assistant Manager | Mumbai | Jul 2023 | Jul 2025 | 2Y 0M | 8.48</t>
  </si>
  <si>
    <t>Shapoorji Pallonji Real Estate | Intern - Development Management  | Mumbai | May 2026 | Jul 2026 | 8.8571428571429 Weeks | Campus Internship
Godbole Gates Pvt Ltd | Trainee | Nagpur | Feb 2023 | Jun 2023 | 19.428571428571 Weeks
SMD Infrastructure | Intern | Wani | Jun 2021 | Aug 2021 | 11.428571428571 Weeks</t>
  </si>
  <si>
    <t>Primavera P6
FIDIC</t>
  </si>
  <si>
    <t>P25700491</t>
  </si>
  <si>
    <t>DHANAJIRAO</t>
  </si>
  <si>
    <t>Ganesh Dhanajirao Desai</t>
  </si>
  <si>
    <t>desaiganesh817@gmail.com</t>
  </si>
  <si>
    <t>p25700491@student.nicmar.ac.in</t>
  </si>
  <si>
    <t>4165 1267 6613</t>
  </si>
  <si>
    <t>DHANAJIRAO BALWANTRAO DESAI</t>
  </si>
  <si>
    <t>RETD. PROFESSOR</t>
  </si>
  <si>
    <t>URMILA DHANAJIRAO DESAI</t>
  </si>
  <si>
    <t>SCHOOL TEACHER</t>
  </si>
  <si>
    <t>TEERTH AVILLA,A-803,NEAR SUS,VIDYA VALLEY SCHOOL ROAD,PUNE</t>
  </si>
  <si>
    <t>Bal Pilae Sadan,Shikshak Colony,Karve Naka,Shaniwar Peth,Karad</t>
  </si>
  <si>
    <t>SHIKSHAN MANDAL SANSTHA'S ENGLISH MEDIUM SCHOOL,KARAD</t>
  </si>
  <si>
    <t>GOVERNMENT POLYTECHNIC,KARAD</t>
  </si>
  <si>
    <t>MIT WORLD PEACE UNIVERSITY,PUNE</t>
  </si>
  <si>
    <t>DR. VISHWANATH KARAD MIT WORLD PEACE UNIVERSITY,PUNE</t>
  </si>
  <si>
    <t>AutoCAD,MS Office,MS Project,Primavera,ARC-GIS,Q-GIS,BIM,Revit,Navisworks</t>
  </si>
  <si>
    <t>Millennium Engineers &amp; Contractors Pvt. Ltd. | Project Management Intern | Pune | May 2026 | Jul 2026 | 8.7142857142857 Weeks | Campus Internship
L.K. CONSTRUCTION, KARAD | ONSITE CIVIL INTERN TRAINEE(BUILDING CONSTRUCTION) | KARAD | Nov 2022 | May 2023 | 30.142857142857 Weeks</t>
  </si>
  <si>
    <t>Entrepreneurship -NPTEL Online Certification</t>
  </si>
  <si>
    <t>P25700492</t>
  </si>
  <si>
    <t>JATIN</t>
  </si>
  <si>
    <t>SHETIGAR</t>
  </si>
  <si>
    <t>Jatin Krishna Shetigar</t>
  </si>
  <si>
    <t>jatinshetigar2004@gmail.com</t>
  </si>
  <si>
    <t>p25700492@student.nicmar.ac.in</t>
  </si>
  <si>
    <t>22-Jan-2004</t>
  </si>
  <si>
    <t>6654 3940 1064</t>
  </si>
  <si>
    <t>GOVT CIVIL CONTRACTOR</t>
  </si>
  <si>
    <t>KALAVATI</t>
  </si>
  <si>
    <t>701,Yashwant Sankalp, Above Punjab National Bank, Old Viva College Road, Virar West</t>
  </si>
  <si>
    <t>MULJIBHAI MEHTA INTERNATIONAL SCHOOL</t>
  </si>
  <si>
    <t>UTKARSHA JR COLLEGE</t>
  </si>
  <si>
    <t>THAKUR COLLEGE OF ENGINEERING AND TECHNOLOGY, KANDIVALI EAST, MAHARASHTRA</t>
  </si>
  <si>
    <t>AutoCAD,MS Office,MS Project,Autodesk Revit,SketchUp</t>
  </si>
  <si>
    <t>Sobha Limited-India  | Project Management Intern | Gurugram | May 2026 | Jul 2026 | 9 Weeks | Campus Internship
Y.K. &amp; SONS | Site Engineer | Virar | Dec 2024 | Jan 2025 | 4.4285714285714 Weeks</t>
  </si>
  <si>
    <t>Associate Bar Bender and Steel Fixer</t>
  </si>
  <si>
    <t>P25700493</t>
  </si>
  <si>
    <t>Pranav Pradeep</t>
  </si>
  <si>
    <t>pranavprvk@gmail.com</t>
  </si>
  <si>
    <t>p25700493@student.nicmar.ac.in</t>
  </si>
  <si>
    <t>13-Apr-2000</t>
  </si>
  <si>
    <t>English, Malayalam, Hindi, Tamil</t>
  </si>
  <si>
    <t>7018 7092 6795</t>
  </si>
  <si>
    <t>PRADEEP SEKHARAN</t>
  </si>
  <si>
    <t>ACCOUNTS MANAGER</t>
  </si>
  <si>
    <t>SREERENJINI PRADEEP</t>
  </si>
  <si>
    <t>Sreenikethan_x000D_
Kuravilangad PO</t>
  </si>
  <si>
    <t>OUR OWN HIGH SCHOOL, AL WARQA'A, DUBAI, UAE</t>
  </si>
  <si>
    <t>CBSE - CENTRAL BOARD OF SECONDARY EDUCATION</t>
  </si>
  <si>
    <t>NATIONAL INSTITUTE OF TECHNOLOGY, CALICUT, KERALA</t>
  </si>
  <si>
    <t>AutoCAD,MS Office,MS Project,Revit / BIM,ERP Software</t>
  </si>
  <si>
    <t>L&amp;W Construction Pvt Ltd (INVRECO) | Assistant Manager - QS | Pune | Jul 2022 | Mar 2025 | 2Y 8M | 7.2</t>
  </si>
  <si>
    <t>Goa State Infrastructure Development Corporation | Management Intern | Goa | May 2026 | Jul 2026 | 8.7142857142857 Weeks | Campus Internship
AL BASTI &amp; MUKTHA LLC | TRAINEE INTERN | DUBAI, UAE | Dec 2021 | Dec 2021 | 3.2857142857143 Weeks</t>
  </si>
  <si>
    <t>Basics of Geocomputation and Geoweb Services
BIM Fundamentals for Engineers
Introduction to Programming with MATLAB
Indian Town Planning and Architecture
Finlatics Financial Market Experience Program
Finance for Non-Financial Managers
Ethics in Engineering Practice
Construction Equipment Maintenance &amp; Safety
Data Analysis (Statistics)
Construction Cost Estimating and Cost Control
Construction Finance</t>
  </si>
  <si>
    <t>P25700494</t>
  </si>
  <si>
    <t>P ADITHYA</t>
  </si>
  <si>
    <t>P Adithya Das</t>
  </si>
  <si>
    <t>padithyadas@gmail.com</t>
  </si>
  <si>
    <t>p25700494@student.nicmar.ac.in</t>
  </si>
  <si>
    <t>24-Jun-1998</t>
  </si>
  <si>
    <t>English Malayalam Hindi</t>
  </si>
  <si>
    <t>3574 4237 0116</t>
  </si>
  <si>
    <t>PC NARAYANA DAS</t>
  </si>
  <si>
    <t>SHYLAJA D</t>
  </si>
  <si>
    <t>Vaishnavam, House No 138, Street 12, Museum Cross Lane, Chembukkavu PO</t>
  </si>
  <si>
    <t>BHARATIYA VIDYA BHAVAN'S VIDYA MANDIR, POOCHATTY</t>
  </si>
  <si>
    <t>CENTRAL BOARD OF SECONDARY EDUCATION (CBSE)</t>
  </si>
  <si>
    <t>FEDERAL INSTITUTE OF SCIENCE AND TECHNOLOGY, ERNAKULAM, KERALA</t>
  </si>
  <si>
    <t>Primavera,Power BI,CAD,Costx,Autodesk Revit,Autodesk Navisworks,MS Office</t>
  </si>
  <si>
    <t>SOBHA LIMITED | Project Management Intern – Execution | Thrissur  | May 2026 | Jul 2026 | 9 Weeks | Campus Internship
FINCRUX TECHNOLOGIES LLP | MARKET RESEARCH ANALYST | MUMBAI | Jan 2026 | Apr 2026 | 9.2857142857143 Weeks</t>
  </si>
  <si>
    <t>Six Sigma Green Belt
Microsoft Data Visualization Fundamentals
Excel and Copilot Fundamentals -Microsoft
Finance for Non-Financial Managers - Emory University
Concreting Practices L&amp;T EduTech
Machinery for Concreting L&amp;T Edutech</t>
  </si>
  <si>
    <t>P25700495</t>
  </si>
  <si>
    <t>KOLHE</t>
  </si>
  <si>
    <t>Sahil Arun Kolhe</t>
  </si>
  <si>
    <t>sahilkolhe006@gmail.com</t>
  </si>
  <si>
    <t>p25700495@student.nicmar.ac.in</t>
  </si>
  <si>
    <t>11-Jul-2001</t>
  </si>
  <si>
    <t>7223 1566 1773</t>
  </si>
  <si>
    <t>ARUN KOLHE</t>
  </si>
  <si>
    <t>VARSHA KOLHE</t>
  </si>
  <si>
    <t>FLAT 14 WING 4 VISAVA HEIGHTS DP ROAD AUNDH, PUNE.</t>
  </si>
  <si>
    <t>DAV PUBLIC SCHOOL, PUNE.</t>
  </si>
  <si>
    <t>CENTRAL BOARD OF SECONDARY EDUCATION, CBSE, PUNE MAHARASHTRA</t>
  </si>
  <si>
    <t>ALL INDIA SHRI SHIVAJI MEMORIAL SOCIETY (AISSMS) POLYTECHNIC, PUNE.</t>
  </si>
  <si>
    <t>SAVITRIBAI PHULE PUNE UNIVERSITY, PUNE.</t>
  </si>
  <si>
    <t>DR. D.Y. PATIL INSTITUTE OF TECHNOLOGY, PIMPRI, PUNE.</t>
  </si>
  <si>
    <t>2023-Nov</t>
  </si>
  <si>
    <t>STATE STREET GLOBAL ADVISORS | Investment banking analyst | Bangalore, India | Feb 2024 | Aug 2024 | 0Y 6M | 3</t>
  </si>
  <si>
    <t>P25700496</t>
  </si>
  <si>
    <t>SAMYAK</t>
  </si>
  <si>
    <t>SANCHETI</t>
  </si>
  <si>
    <t>Samyak Shailesh Sancheti</t>
  </si>
  <si>
    <t>sanchetisamyak450@gmail.com</t>
  </si>
  <si>
    <t>p25700496@student.nicmar.ac.in</t>
  </si>
  <si>
    <t>13-Aug-2000</t>
  </si>
  <si>
    <t>English , Hindi , Marathi , Marwadi</t>
  </si>
  <si>
    <t>9198 2908 1677</t>
  </si>
  <si>
    <t>SAPNA</t>
  </si>
  <si>
    <t>FLAT NO 202 , LIVIA BY RATHI , DANGE CHOWK ROAD , BHUMKAR NAGAR, WAKAD , PIMPRI CHINCHWAD</t>
  </si>
  <si>
    <t>Shri Arihant Kapad Dalan  Tilak Road , Vaijapur</t>
  </si>
  <si>
    <t>SAINT MONICA HIGH SCHOOL</t>
  </si>
  <si>
    <t>MAHARASHTRA STATE BOARD OF SECONDARY AND HIGHER SECONDARY EDUCATION , AURANGABAD</t>
  </si>
  <si>
    <t>RAJE SAMBHAJI JUNIOR COLLEGE</t>
  </si>
  <si>
    <t>SAVITRIBAI PHULE UNIVERSITY</t>
  </si>
  <si>
    <t>SNJB'S LATE SAU K.B JAIN COLLEGE OF ENGINEERING , CHANDWAD , MAHARASHTRA</t>
  </si>
  <si>
    <t>Senghani creators pvt ltd | Trainee engineer  | Dombivli ,thane | Aug 2023 | Nov 2024 | 1Y 3M | 2.16
Runwal group | junior engineer | Dombivli Thane | Dec 2024 | Jun 2025 | 0Y 6M | 3.5</t>
  </si>
  <si>
    <t>Sribal construction company  | Intern | Bengaluru | May 2026 | Jul 2026 | 8.7142857142857 Weeks | Campus Internship</t>
  </si>
  <si>
    <t>Managing team conflict
Managing your emotional response to workplace stress
Communication foundations
Develop interpersonal skills for inclusive workplaces
Construction cost estimating and cost control
Renewable energy and green building entrepreneurship</t>
  </si>
  <si>
    <t>P25700497</t>
  </si>
  <si>
    <t>NANDANA</t>
  </si>
  <si>
    <t>Akshay Nandana</t>
  </si>
  <si>
    <t>akshaynandana4@gmail.com</t>
  </si>
  <si>
    <t>p25700497@student.nicmar.ac.in</t>
  </si>
  <si>
    <t>13-Aug-2003</t>
  </si>
  <si>
    <t>7603 3858 4616</t>
  </si>
  <si>
    <t>SUDHAKAR NANDANA</t>
  </si>
  <si>
    <t>SRIDEVI NANDANA</t>
  </si>
  <si>
    <t>7-365, Komati Peta, Palakonda</t>
  </si>
  <si>
    <t>SEETHA MAHALAKSHMI DAV PUB SCH</t>
  </si>
  <si>
    <t>CENTRAL BOARD OF SECONDARY EDUCATON , PALAKONDA</t>
  </si>
  <si>
    <t>TIRUMALA JUNIOR COLLEGE</t>
  </si>
  <si>
    <t>BOARD OF INTERMEDIATE EDUCATION ANDHRA PRADESH , RAJULATALLAVALASA</t>
  </si>
  <si>
    <t>J.N.T. UNIVERSITY KAKINADA</t>
  </si>
  <si>
    <t>GAYATRI VIDYA PARISHAD COLLEGE OF ENGINEERING , VISAKHAPATNAM</t>
  </si>
  <si>
    <t>VAISAKHI DEVELOPERS | Project Management Intern | Visakhapatnam | May 2026 | Jul 2026 | 9 Weeks | Campus Internship
SAI SRI CONSTRUCTIONS | INDUSTRY INTERNSHIP | VISAKHAPATNAM | Dec 2024 | Mar 2025 | 13.142857142857 Weeks
The Sri Sai Kruoa Homes | Industry Internship | SRIKAKULAM | May 2023 | Jun 2023 | 2.7142857142857 Weeks
VYAS CANCER RESEARCH PVT.LTD | INDUSTRY INTERNSHIP | VISAKHAPATNAM | Mar 2025 | Jun 2025 | 12.857142857143 Weeks</t>
  </si>
  <si>
    <t>BIM using Revit Architecture
Design and Drafting using Autocad 2D &amp; 3D</t>
  </si>
  <si>
    <t>P25700498</t>
  </si>
  <si>
    <t>PANIGRAHI</t>
  </si>
  <si>
    <t>Vedant Panigrahi</t>
  </si>
  <si>
    <t>vpanigrahidec22@gmail.com</t>
  </si>
  <si>
    <t>p25700498@student.nicmar.ac.in</t>
  </si>
  <si>
    <t>22-Dec-2001</t>
  </si>
  <si>
    <t>8508 2355 5016</t>
  </si>
  <si>
    <t>BISWAJIT PANIGRAHI</t>
  </si>
  <si>
    <t>RETIRED STATE GOVT OF ODISHA ENGINEER IN IRRIGATION DEPARTMENT</t>
  </si>
  <si>
    <t>GITANJALI PANIGRAHI</t>
  </si>
  <si>
    <t>PANIGRAHI BHAWAN INFRONT OF SINDHI BHAWAN_x000D_
SHAKTINAGAR BARGARH</t>
  </si>
  <si>
    <t>Bargarh</t>
  </si>
  <si>
    <t>VIKASH RESIDENTIAL SCHOOL</t>
  </si>
  <si>
    <t>CENTRAL BOARD OF SECONDARY EDUCATION,ODISHA</t>
  </si>
  <si>
    <t>BIJU PATTNAIK UNIVERSITY OF TECHNOLOGY,ODISHA ROURKELA</t>
  </si>
  <si>
    <t>PARALA MAHARAJA ENGINEERING COLLEGE,BERHAMPUR</t>
  </si>
  <si>
    <t>AutoCAD,MS Office,MS Project,SAP S4 HANA</t>
  </si>
  <si>
    <t>BOXOFFICE SPACES | PROCUREMENT INTERN | PUNE | May 2026 | Jul 2026 | 8.7142857142857 Weeks | Campus Internship
SAAT PHERE INDIA | PROGRAMME MANAGER | BHILLAI | Oct 2022 | Oct 2022 | 4.1428571428571 Weeks
ROURKELA STEEL PLANT | TOWN PLANING DEPARTMENT | ROURKELA | May 2024 | Jun 2024 | 4.2857142857143 Weeks</t>
  </si>
  <si>
    <t>SAP Certified Associate - SAP S/4HANA Cloud Private Edition, SourcingÂ andÂ Procurement</t>
  </si>
  <si>
    <t>P25700499</t>
  </si>
  <si>
    <t>SINGH SHUBHAM</t>
  </si>
  <si>
    <t>ASHWANI KUMAR</t>
  </si>
  <si>
    <t>Singh Shubham Kumar Ashwani Kumar</t>
  </si>
  <si>
    <t>ss1881720@gmail.com</t>
  </si>
  <si>
    <t>p25700499@student.nicmar.ac.in</t>
  </si>
  <si>
    <t>13-Oct-1998</t>
  </si>
  <si>
    <t>3241 6462 9550</t>
  </si>
  <si>
    <t>ASHWANI SHIVMURTI SINGH</t>
  </si>
  <si>
    <t>RIKSHA DRIVER</t>
  </si>
  <si>
    <t>SHEELA SINGH</t>
  </si>
  <si>
    <t>D/wing 304, Om Sai Shraddha Apt Ostwal Nagari Nalasopara East</t>
  </si>
  <si>
    <t>B L RUIA HIGH SCHOOL</t>
  </si>
  <si>
    <t>MAHARASHTRA STATE BOARD OF SECONDARY AND HIGHER SECONDARY EDUCATION- MUMBAI- MAHARASHTRA</t>
  </si>
  <si>
    <t>BHAVANS COLLEGE</t>
  </si>
  <si>
    <t>STALLION CONSTRUCTIONS | SITE ENGINNER | KANDIVALI- MUMBAI | May 2021 | Nov 2022 | 1Y 6M | 1.92
BKS ASSOCIATE | JUNIOR ENGINNER | THANE- MUMBAI | Nov 2022 | Oct 2023 | 0Y 11M | 2.68
Talib and shamsi construction pvt ltd | JUNIOR ENGINNER | THANE-BORIVALI-MUMBAI | Nov 2023 | Jun 2025 | 1Y 7M | 3.32</t>
  </si>
  <si>
    <t>4 Years 1 Month</t>
  </si>
  <si>
    <t>Sobha Limited India  | Costing Intern  | Bengaluru | May 2026 | Jul 2026 | 9 Weeks | Campus Internship</t>
  </si>
  <si>
    <t>APTECH COMPUTER EDUCATION</t>
  </si>
  <si>
    <t>P25700500</t>
  </si>
  <si>
    <t>ARURU</t>
  </si>
  <si>
    <t>CHARAN SAI</t>
  </si>
  <si>
    <t>Aruru Charan Sai</t>
  </si>
  <si>
    <t>aruru.charansai31@gmail.com</t>
  </si>
  <si>
    <t>p25700500@student.nicmar.ac.in</t>
  </si>
  <si>
    <t>31-Jul-2002</t>
  </si>
  <si>
    <t>8230 1506 6300</t>
  </si>
  <si>
    <t>ARURU ARAVIND KRISHNA</t>
  </si>
  <si>
    <t>ARURU MADHURI</t>
  </si>
  <si>
    <t>00,ARURU Village,Chitamuru Mandal,Tirupati Dist.</t>
  </si>
  <si>
    <t>RATNAM EM HIGH SCHOOL</t>
  </si>
  <si>
    <t>TIRUMALA JUNIOR KALASALA</t>
  </si>
  <si>
    <t>SRI VENKATESWARA UNIVERSITY</t>
  </si>
  <si>
    <t>SRI VENKATESWARA UNIVERSITY COLLEGE OF ENGINEERING-TIRUPATI/ANDHRA PRADESH</t>
  </si>
  <si>
    <t>AutoCAD,MS Office,MS Project,Primavera,infor</t>
  </si>
  <si>
    <t>NAGARJUNA CONSTRUCTION COMPANY (NCC) Ltd. | Quantity Surveyor-GET | Navi Mumbai | May 2024 | May 2025 | 1Y 0M | 3.2</t>
  </si>
  <si>
    <t>Deloitte Touche Tohmatsu India LLP | Intern-Audit and Assurance | Bengaluru | May 2026 | Jul 2026 | 8.5714285714286 Weeks | Campus Internship
GOVERNAMENT OF ANDHRA PRADESH | STUDENT | RAYADURG | May 2023 | May 2023 | 4.2857142857143 Weeks</t>
  </si>
  <si>
    <t>NPTEL-Air Pollution and Control
NPTEL-Ethics in Engineering
NPTEL-Leadership and Team Effectiveness
NPTEL-Soft Skills</t>
  </si>
  <si>
    <t>P25700501</t>
  </si>
  <si>
    <t>RAMINENI</t>
  </si>
  <si>
    <t>SAI SHIFRANTH</t>
  </si>
  <si>
    <t>VARMA</t>
  </si>
  <si>
    <t>Ramineni Sai Shifranth Varma</t>
  </si>
  <si>
    <t>shifranth@gmail.com</t>
  </si>
  <si>
    <t>p25700501@student.nicmar.ac.in</t>
  </si>
  <si>
    <t>English Hindi Telugu</t>
  </si>
  <si>
    <t>5234 3964 6126</t>
  </si>
  <si>
    <t>RAMINENI VENKATESHWARLU</t>
  </si>
  <si>
    <t>GOVT TEACHER (SA MATHS)</t>
  </si>
  <si>
    <t>Y SNEHA</t>
  </si>
  <si>
    <t>GOVT TEACHER (SA BIOSCIENCE)</t>
  </si>
  <si>
    <t>Plot No 95 Road No 10/B Sree Venkateshwara Colony Kuntloor Hayathnagar Abdulapurmet Mandal Kv Ranga Reddy District Hyderabad Telangana</t>
  </si>
  <si>
    <t>NARAYANA HIGH SCHOOL</t>
  </si>
  <si>
    <t>OSMANIA UNIVERSITY HYDERABAD</t>
  </si>
  <si>
    <t>MVSR ENGINEERING COLLEGE, HYDERABAD</t>
  </si>
  <si>
    <t>AutoCAD,MS Office,MS Project,Primavera,MS Word,MS Excel,Sketchup,Enscape</t>
  </si>
  <si>
    <t>EZ REALTY | Management Consultant | Pune | May 2026 | Jul 2026 | 8.7142857142857 Weeks | Campus Internship
GREATER HYDERABAD MUNICIPAL CORPORATION, GOVERNMENT OF TELANGANA | SUMMER INTERNSHIP | HYDERABAD | May 2023 | Jun 2023 | 4.4285714285714 Weeks
National Academy Of Construction | Finishing School Programme | Hyderabad  | Dec 2024 | Mar 2025 | 13.285714285714 Weeks</t>
  </si>
  <si>
    <t>4 DAYS HAND'S ON WORKSHOP AT LAURIE BAKER Centre for Habitat Studies, Trivandrum, Kerala
INFRASTRUCTURE ENTREPRENEURSHIP COURSE, CONTRACTOR DEVLOPMENT INISTITUTE HYDERABAD
3-MONTHS FINISHING SCHOOL PROGRAM, NATIONAL ACADEMY OF CONSTRUCTION, HYDERABAD
Project - Monitoring and Control
Lean Six Sigma - Green Belt
Resource and Waste Management in Buildings
Comforts In Building by L&amp;T Edu Tech
Finance for Non-Financial Managers</t>
  </si>
  <si>
    <t>P25700502</t>
  </si>
  <si>
    <t>SHAIKH</t>
  </si>
  <si>
    <t>UMAR</t>
  </si>
  <si>
    <t>FAROOQ</t>
  </si>
  <si>
    <t>Shaikh Umar Farooq</t>
  </si>
  <si>
    <t>shaikharumar018@gmail.com</t>
  </si>
  <si>
    <t>p25700502@student.nicmar.ac.in</t>
  </si>
  <si>
    <t>17-Nov-2001</t>
  </si>
  <si>
    <t>9753 9170 4273</t>
  </si>
  <si>
    <t>SHAIKH ISMAIL</t>
  </si>
  <si>
    <t>MOHAMMEDI</t>
  </si>
  <si>
    <t>5-993/78/B_x000D_
RING ROAD MAHBOOB NAGAR_x000D_
NEAR MADEENA MASJID GULBARGA</t>
  </si>
  <si>
    <t>FARAAN ENGLISH MEDIUM HIGH SCHOOL</t>
  </si>
  <si>
    <t>KALABURAGI/KARNATAKA</t>
  </si>
  <si>
    <t>AL SHARAY PU COLLEGE OF SCIENCE</t>
  </si>
  <si>
    <t>SHARNBASAVA UNIVERSITY</t>
  </si>
  <si>
    <t>SHARNBASAVA UNIVERSITY KALABURAGI/KARNATAKA</t>
  </si>
  <si>
    <t>AutoCAD,,Sketchup,lumion,Revit,Navisworks,COSTx,MS Office,MS Project,Primavera</t>
  </si>
  <si>
    <t>THE BIG STOREY | Junior Architect | kalaburagi | Jul 2024 | Jun 2025 | 0Y 11M | 1.44</t>
  </si>
  <si>
    <t>vConstruct Private Limited  | Project Intern – VB  | Pune, Maharashtra  | May 2026 | Jul 2026 | 9.5714285714286 Weeks | Campus Internship
THE BIG STOREY | Intern  | KALABURAGI | Feb 2024 | May 2024 | 17.142857142857 Weeks
NA ARCHITECTS | Intern  | Hyderabad | Sep 2023 | Jan 2024 | 15.571428571429 Weeks</t>
  </si>
  <si>
    <t>P25700503</t>
  </si>
  <si>
    <t>JEVANAND</t>
  </si>
  <si>
    <t>Jevanand B</t>
  </si>
  <si>
    <t>jevabalakavi@gmail.com</t>
  </si>
  <si>
    <t>p25700503@student.nicmar.ac.in</t>
  </si>
  <si>
    <t>03-May-2002</t>
  </si>
  <si>
    <t>8683 1073 4212</t>
  </si>
  <si>
    <t>BALAMURUGAN M</t>
  </si>
  <si>
    <t>EMPLOYEE IN MNC</t>
  </si>
  <si>
    <t>KAVITHA B</t>
  </si>
  <si>
    <t>WORKING IN MEDICAL SHOP</t>
  </si>
  <si>
    <t>MIG-2, Plot.No-4, Phase - 15 TNHB, Mullainagar, Hosur</t>
  </si>
  <si>
    <t>Krishnagiri</t>
  </si>
  <si>
    <t>ST. JOSEPH'S MATRIC HIGH SCHOOL SIPCOT HOUSING COLONY, DHARGA</t>
  </si>
  <si>
    <t>SRI VIJAY VIDYALAYA MATRIC HR SEC SCHOOL HOSUR</t>
  </si>
  <si>
    <t>SCHOOL OF ARCHITECTURE AND PLANNING, CHENNAI</t>
  </si>
  <si>
    <t>AutoCAD,MS Office,MS Project,Primavera,Sketchup,Revit,Illustrator,Photoshop,Indesign,DaVinci Resolve,CostX</t>
  </si>
  <si>
    <t>SPONGE COLLABORATIVE, SAMANEA CONSULTANCY PRIVATE LIMITED | INTERN ARCHITECT | CHENNAI | Jan 2024 | Jun 2024 | 19.285714285714 Weeks</t>
  </si>
  <si>
    <t>Introduction To Cognitive Psychology - NPTEL
Registered Architect in COA (Council of Architecture)
Finance for Non-Financial Managers - Coursera
Gem Sports Prize for Best Sportsperson for the Year 2024 in School of Architecture and Planning, Anna University
Ethics in Engineering Practice - NPTEL</t>
  </si>
  <si>
    <t>P25700504</t>
  </si>
  <si>
    <t>PATHADE</t>
  </si>
  <si>
    <t>Ankit Ashok Pathade</t>
  </si>
  <si>
    <t>ankitpathade7@gmail.com</t>
  </si>
  <si>
    <t>p25700504@student.nicmar.ac.in</t>
  </si>
  <si>
    <t>28-Jan-2000</t>
  </si>
  <si>
    <t>9422 0100 6743</t>
  </si>
  <si>
    <t>ASHOK PATHADE</t>
  </si>
  <si>
    <t>SAVITA PATHADE</t>
  </si>
  <si>
    <t>FLAT NO -302, 3RD FLOOR, SHANTI RESIDENCY, SIDHATEK SOCIETY</t>
  </si>
  <si>
    <t>HOUSE NO.1475/3, GURUKRUPA NIWAS, AHILYADEVINAGAR, JAFRABAD, JALNA</t>
  </si>
  <si>
    <t>Jalna</t>
  </si>
  <si>
    <t>SWAMI VIVEKANAND ACADEMY</t>
  </si>
  <si>
    <t>STATE BOARD/CHHATRAPATI SAMBHAJINAGAR</t>
  </si>
  <si>
    <t>SIDDHARTH ARTS,SCIENCE AND COMMERCE COLLEGE</t>
  </si>
  <si>
    <t>STATE BOARD/ JAFRABAD,JALNA</t>
  </si>
  <si>
    <t>CTES COLLEGE OF ARCHITECTURE / MAHARASHTRA</t>
  </si>
  <si>
    <t>AutoCAD,MS Office,MS Project,sketch up,d-5 render,revit,Photoshop,Enscape</t>
  </si>
  <si>
    <t>Design 11 | Junior Architect | Baner, pune | Jan 2024 | Jun 2025 | 1Y 5M | 2.52</t>
  </si>
  <si>
    <t>Savvy infrastructure  | Quantity surveying and billing  | Gift city, Gandhinagar,Gujrat | May 2026 | Jul 2026 | 8.7142857142857 Weeks | Campus Internship
PLANOSCAPES ARCHITECTS AND PLANNERS | INTERN | MUMBAI | Dec 2021 | Apr 2022 | 21.428571428571 Weeks</t>
  </si>
  <si>
    <t>P25700505</t>
  </si>
  <si>
    <t>PRUTHVIRAJ</t>
  </si>
  <si>
    <t>KHANDVE</t>
  </si>
  <si>
    <t>Pruthviraj Prashant Khandve</t>
  </si>
  <si>
    <t>pruthvirajkhandve5@gmail.com</t>
  </si>
  <si>
    <t>p25700505@student.nicmar.ac.in</t>
  </si>
  <si>
    <t>23-Dec-2001</t>
  </si>
  <si>
    <t>7138 3894 8457</t>
  </si>
  <si>
    <t>PRASHANT VITTHALRAO KHANDVE</t>
  </si>
  <si>
    <t>CIVIL ENGINEER &amp; GOVERNMENT  CONTRACTOR</t>
  </si>
  <si>
    <t>NEHA PRASHANT KHANDVE</t>
  </si>
  <si>
    <t>Lane Number 5, Neelanjali Society, Kalyani Nagar,_x000D_
Pune - 411006</t>
  </si>
  <si>
    <t>THE BISHOPS SCHOOL, KALYANI NAGAR, PUNE-411006</t>
  </si>
  <si>
    <t>INDIAN CERTIFICATE OF SECONDARY EDUCATION, PUNE, MAHARASHTRA</t>
  </si>
  <si>
    <t>FERGUSSON JUNIOR COLLEGE</t>
  </si>
  <si>
    <t>HIGHER SECONDARY CERTIFICATE, PUNE, MAHARASHTRA.</t>
  </si>
  <si>
    <t>SAVITRIBAI PUNE PHULE UNIVERSITY</t>
  </si>
  <si>
    <t>SINHGAD COLLEGE OF ENGINEERING, PUNE, MAHARASHTRA.</t>
  </si>
  <si>
    <t>Pune Metro Rail Corporation Limited | Civil, constrtuction intern | Phugewadi metro office | May 2026 | Jul 2026 | 9.7142857142857 Weeks | Campus Internship
SIDDHIVINAYAK ENTERPRISES | INTERN | VISHRANTWADI-TINGRE NAGAR  | Sep 2024 | Mar 2025 | 25.857142857143 Weeks
AMAR BUTTEPATIL GROUP | INTERN | SAHAKAR NAGAR | Jan 2023 | Feb 2023 | 4.4285714285714 Weeks</t>
  </si>
  <si>
    <t>P25700506</t>
  </si>
  <si>
    <t>ANIMESH</t>
  </si>
  <si>
    <t>Animesh Sinha</t>
  </si>
  <si>
    <t>animeshsinha001@gmail.com</t>
  </si>
  <si>
    <t>p25700506@student.nicmar.ac.in</t>
  </si>
  <si>
    <t>02-Jul-2000</t>
  </si>
  <si>
    <t>6028 9875 0134</t>
  </si>
  <si>
    <t>AWADHESH KUMAR SINHA</t>
  </si>
  <si>
    <t>ABHA SINHA</t>
  </si>
  <si>
    <t>ULTIMA HOSTEL, NICMAR UNIVERSITY, BANER, PUNE</t>
  </si>
  <si>
    <t>303 B Block, Shiv Shankar Apartment Kitadih, Jamshedpur</t>
  </si>
  <si>
    <t>East Singhbhum</t>
  </si>
  <si>
    <t>DBMS KADMA HIGH SCHOOL</t>
  </si>
  <si>
    <t>KOLHAN INTER COLLEGE CHALIYAMA DAM</t>
  </si>
  <si>
    <t>JHARKHAND ACADEMIC COUNCIL RANCHI, JHARKHAND</t>
  </si>
  <si>
    <t>CV RAMAN GLOBAL UNIVERSITY</t>
  </si>
  <si>
    <t>CV RAMAN GLOBAL UNIVERSITY, ODISHA</t>
  </si>
  <si>
    <t>HINDUSTAN CONSTRUCTION COMPANY LTD | PLANNING ENGINEER | MURUD, RAIGHAD, MAHARASHTRA | Jul 2023 | Jul 2025 | 2Y 0M | 6.22</t>
  </si>
  <si>
    <t>Masin Projects Private Limited | Delay/Quantum Interrn | Gurgaon | May 2026 | Jul 2026 | 8.7142857142857 Weeks | Campus Internship
SNTI TATA STEEL | CONSTRUCTION PLANNING AND MANAGEMENT | JAMSHEDPUR | Jun 2022 | Jun 2022 | 4 Weeks</t>
  </si>
  <si>
    <t>P25700507</t>
  </si>
  <si>
    <t>RUPESH</t>
  </si>
  <si>
    <t>Rupesh Ramesh Kadam</t>
  </si>
  <si>
    <t>rupeshkadam463@gmail.com</t>
  </si>
  <si>
    <t>p25700507@student.nicmar.ac.in</t>
  </si>
  <si>
    <t>07-Nov-1999</t>
  </si>
  <si>
    <t>3617 8513 9886</t>
  </si>
  <si>
    <t>RAMESH KADAM</t>
  </si>
  <si>
    <t>RUPALI KADAM</t>
  </si>
  <si>
    <t>101, DAFFODILE B WING, KAILASH NAGAR, VADAVALI SECTION, MIDC ROAD, AMBERNATH EAST</t>
  </si>
  <si>
    <t>GURUKUL GRAND UNION HIGH SCHOOL</t>
  </si>
  <si>
    <t>B R HARNE COLLEGE OF ENGINEERING AND TECHNOLOGY</t>
  </si>
  <si>
    <t>SHIVAJIRAO S JONDHLE COLLEGE OF ENGINEERING AND TECHNOLOGY</t>
  </si>
  <si>
    <t>AutoCAD,MS Office,MS Project,Primavera,STAAD PRO,ETABS,REVIT</t>
  </si>
  <si>
    <t>J Kumar Infraprojects Ltd. | Intern – Project Execution | Thane, Maharashtra | May 2026 | Jul 2026 | 9.7142857142857 Weeks | Campus Internship</t>
  </si>
  <si>
    <t>AUTO CAD
STAAD PRO
ETABS
REVIT</t>
  </si>
  <si>
    <t>P25700508</t>
  </si>
  <si>
    <t>SAVALE</t>
  </si>
  <si>
    <t>UMESH</t>
  </si>
  <si>
    <t>Savale Atharva Umesh</t>
  </si>
  <si>
    <t>17.savale@gmail.com</t>
  </si>
  <si>
    <t>p25700508@student.nicmar.ac.in</t>
  </si>
  <si>
    <t>17-Sep-2000</t>
  </si>
  <si>
    <t>4794 9545 0814</t>
  </si>
  <si>
    <t>UMESH GOVIND SAVALE</t>
  </si>
  <si>
    <t>VIJAYA UMESH SAVALE</t>
  </si>
  <si>
    <t>Lane No- B-18, Flat No-12, Ujwal Kunj 2, Raikar Nagar, Dhayari, Pune</t>
  </si>
  <si>
    <t>DNYANGANGA ENGLISH MEDIUM SCHOOL, PUNE</t>
  </si>
  <si>
    <t>SOU VENUTAI CHAVAN POLYTECHNIC, PUNE</t>
  </si>
  <si>
    <t>RMD SINHGAD SCHOOL OF ENGINEERING, WARJE, PUNE</t>
  </si>
  <si>
    <t xml:space="preserve">MS Office, AutoCAD, Revit, MS Project, Primavera, Cost X </t>
  </si>
  <si>
    <t>Aditya Constructions | Site Engineer | Pune | Sep 2022 | Nov 2023 | 1Y 2M | 1.8
Calypso Reality | Junior Site Engineer | Pune | Dec 2023 | Sep 2024 | 0Y 9M | 2.28</t>
  </si>
  <si>
    <t>Goa State Infrastructure Development Corporation | Site Execution | Goa, India | May 2026 | Jul 2026 | 8.7142857142857 Weeks | Campus Internship</t>
  </si>
  <si>
    <t>P25700510</t>
  </si>
  <si>
    <t>NIMBARTE</t>
  </si>
  <si>
    <t>Prathamesh Arun Nimbarte</t>
  </si>
  <si>
    <t>prathameshnimbarte99@gmail.com</t>
  </si>
  <si>
    <t>p25700510@student.nicmar.ac.in</t>
  </si>
  <si>
    <t>03-Jun-1999</t>
  </si>
  <si>
    <t>9123 9996 9266</t>
  </si>
  <si>
    <t>NO</t>
  </si>
  <si>
    <t>NALINI</t>
  </si>
  <si>
    <t>SADHGURU RESIDENCY, BEHIND YASHORAHI HOSPITAL, SHIVANE, PUNE</t>
  </si>
  <si>
    <t>24, ANAND VIHAR COLONY, VIDYUT NAGAR, V.M.V ROAD, AMRAVATI</t>
  </si>
  <si>
    <t>PRATHAMESH ARUN NIMBARTE</t>
  </si>
  <si>
    <t>PRAVIN RAMCHANDRAJI PATIL INSTITUTE OF POLYTECHNIC AND TECHNOLOGY, AMRAVATI</t>
  </si>
  <si>
    <t>GYANCHAD HARIKISANDAS RAISONI COLLEGE OF ENGINEERING, AMRAVATI</t>
  </si>
  <si>
    <t>AutoCAD,MS Office,MS Project,Primavera,CostX Software,BIM REVIT</t>
  </si>
  <si>
    <t>PINNACLE CONSTRUCTIONS | JUNIOR / SITE ENGINEER | Pune | Aug 2024 | May 2025 | 0Y 8M | 2.4</t>
  </si>
  <si>
    <t>F.CAD.CONSTRUCTION | AUTO-CAD Drafter | Amravati | May 2018 | Jul 2018 | 7.4285714285714 Weeks</t>
  </si>
  <si>
    <t>P25700511</t>
  </si>
  <si>
    <t>JAY</t>
  </si>
  <si>
    <t>Jay Kiran Jadhav</t>
  </si>
  <si>
    <t>jayjadhav811@gmail.com</t>
  </si>
  <si>
    <t>p25700511@student.nicmar.ac.in</t>
  </si>
  <si>
    <t>26-Dec-2002</t>
  </si>
  <si>
    <t>6906 8512 0121</t>
  </si>
  <si>
    <t>KIRAN JADHAV</t>
  </si>
  <si>
    <t>At Post Pande Taluka - Wai District - Satara</t>
  </si>
  <si>
    <t>SINHGAD SPRING DALE PUBLIC SCHOOL</t>
  </si>
  <si>
    <t>BHARTI VIDHYAPEETH'S JAWAHARLAL NEHRU INSTITUTE OF TECHNOLOGY PUNE MAHARASHTRA</t>
  </si>
  <si>
    <t>RMD SINHGAD SCHOOL OF ENGINEERING PUNE MAHARASHTRA</t>
  </si>
  <si>
    <t>AutoCAD,MS Project,Primavera,Revit,CostX</t>
  </si>
  <si>
    <t>Badiyani Constructions | Design Coordination + Execution  | Pune  | May 2026 | Jul 2026 | 9.7142857142857 Weeks | Campus Internship
Ravindra Construction | Promoters And Builders | Pune | Oct 2024 | Apr 2025 | 30.142857142857 Weeks</t>
  </si>
  <si>
    <t>P25700512</t>
  </si>
  <si>
    <t>D H</t>
  </si>
  <si>
    <t>Akhil Gowda D H</t>
  </si>
  <si>
    <t>dhakhilgowda@gmail.com</t>
  </si>
  <si>
    <t>p25700512@student.nicmar.ac.in</t>
  </si>
  <si>
    <t>2117 1976 8262</t>
  </si>
  <si>
    <t>HEMANTH KUMAR</t>
  </si>
  <si>
    <t>AGRICULTURIST</t>
  </si>
  <si>
    <t>SUKANYA</t>
  </si>
  <si>
    <t>#143, Salagame Road, Dasarakoppalu Hassan</t>
  </si>
  <si>
    <t>Hassan</t>
  </si>
  <si>
    <t>HOLY CROSS SISTERS HIGH SCHOOL</t>
  </si>
  <si>
    <t>MASTERS PU COLLEGE</t>
  </si>
  <si>
    <t>Microsoft Excel, Microsoft PowerPoint, Microsoft Word, Microsoft Project, Primavera P6</t>
  </si>
  <si>
    <t>CBRE India | Valuation &amp; Advisory Intern | Bengaluru, Karnataka | May 2026 | Jul 2026 | 11 Weeks | Campus Internship
KHAM DESIGN | ARCHITECTURAL INTERN | BENGALURU | Jan 2025 | Apr 2025 | 15.571428571429 Weeks</t>
  </si>
  <si>
    <t>The Three Pillars of Effective Communications by PMI
Six Sigma: Green Belt by Project management Institute
Real Estate Financial Modeling</t>
  </si>
  <si>
    <t>P25700513</t>
  </si>
  <si>
    <t>Rakesh V</t>
  </si>
  <si>
    <t>rakeshreddyraki1211@gmail.com</t>
  </si>
  <si>
    <t>p25700513@student.nicmar.ac.in</t>
  </si>
  <si>
    <t>06-Oct-2002</t>
  </si>
  <si>
    <t>ENGLISH, HINDI, KANNADA ,TELUGU</t>
  </si>
  <si>
    <t>2804 7148 2601</t>
  </si>
  <si>
    <t>VENKATA REDDY</t>
  </si>
  <si>
    <t>GEETHAMMA</t>
  </si>
  <si>
    <t>15, 1ST CROSS RD, MARUTHI LAYOUT, ROYAL SHELTERS STAGE 4,BOMMANAHALLI,BENGALURU,</t>
  </si>
  <si>
    <t>KADEHALLI VILLAGE, GUDIBANDE TALUK, CHIKKABALLAPUR DISTRICT</t>
  </si>
  <si>
    <t>Chikkaballapur</t>
  </si>
  <si>
    <t>NEW HORIZON ENGLISH SCHOOL</t>
  </si>
  <si>
    <t>VARADADRI PU COLLEGE</t>
  </si>
  <si>
    <t>NITTE MEENAKSHI INSTITUTE OF TECHNOLOGY,BANGALORE</t>
  </si>
  <si>
    <t>AutoCAD,MS Office,MS Project,Primavera,BIM,STAAD PRO,costx</t>
  </si>
  <si>
    <t>MANA PROJECTS PVT LTD | PROJECT INTERN | BENGALURU | May 2026 | Jul 2026 | 8.7142857142857 Weeks | Campus Internship
ANR CONSTRUCTIONS | INTERN | Bagepalli  | Jul 2023 | Nov 2023 | 17.714285714286 Weeks</t>
  </si>
  <si>
    <t>PROJECT PLANING AND MANAGEMENT
AROGYA BHARATHI TRUST (NGO)
GEOGRAPHIC INFORMATION SYSTEM
SAFETY IN CONSTRUCTION
3D MODEL CREATION WITH AUTODESK FUSION 360
BIM FUNDAMENTALS FOR  ENGINEERS
BIM APPLICATION FOR ENGINEERS
BIM Revit</t>
  </si>
  <si>
    <t>P25700514</t>
  </si>
  <si>
    <t>Abhinav Sharma</t>
  </si>
  <si>
    <t>abhinav.info15@gmail.com</t>
  </si>
  <si>
    <t>p25700514@student.nicmar.ac.in</t>
  </si>
  <si>
    <t>26-Sep-2002</t>
  </si>
  <si>
    <t>8143 4072 6007</t>
  </si>
  <si>
    <t>RAKESH KUMAR SHARMA</t>
  </si>
  <si>
    <t>DECEASED</t>
  </si>
  <si>
    <t>RITA SHARMA</t>
  </si>
  <si>
    <t>Haryana Lodge Tutikandi Shimla - 171004</t>
  </si>
  <si>
    <t>DAYANAND PUBLIC SCHOOL</t>
  </si>
  <si>
    <t>CENTRAL BOARD OF SECONDARY EDUCATION SHIMLA/HIMACHAL PRADESH</t>
  </si>
  <si>
    <t>GOVERNMENT SENIOR SECONDARY SCHOOL LALPANI</t>
  </si>
  <si>
    <t>HIMACHAL PRADESH BOARD OF SCHOOL EDUCATION SHIMLA/HIMACHAL PRADESH</t>
  </si>
  <si>
    <t>HIMACHAL PRADESH UNIVERSITY</t>
  </si>
  <si>
    <t>UNIVERSITY INSTITUTE OF TECHNOLOGY SHIMLA/HIMACHAL PRADESH</t>
  </si>
  <si>
    <t>MS Office,MS Project,Primavera,CostX,AutoCAD</t>
  </si>
  <si>
    <t>NCCCL | Contracts &amp; Commercial Intern | Dombivili, Mumbai | May 2026 | Jul 2026 | 8.5714285714286 Weeks | Campus Internship
SJVN LIMITED | INTERN | SHIMLA | Jan 2024 | Feb 2024 | 4.4285714285714 Weeks
M/S RAVINDER CHAUHAN | SITE ENGINEER  | SHIMLA | Aug 2024 | Jan 2025 | 26.142857142857 Weeks</t>
  </si>
  <si>
    <t>Current Ground Improvement Practices in India: A Research &amp; Industrial Advancement</t>
  </si>
  <si>
    <t>P25700515</t>
  </si>
  <si>
    <t>SAPKAL</t>
  </si>
  <si>
    <t>Vishwaraj Ramesh Sapkal</t>
  </si>
  <si>
    <t>rajsapkal4030@gmail.com</t>
  </si>
  <si>
    <t>p25700515@student.nicmar.ac.in</t>
  </si>
  <si>
    <t>2200 8637 4420</t>
  </si>
  <si>
    <t>TRUPTI</t>
  </si>
  <si>
    <t>587 Shantinagar, Shahbaug, Wai</t>
  </si>
  <si>
    <t>BLOSSOM CHILDREN'S ACADEMY, WAI</t>
  </si>
  <si>
    <t>KISANVEER JUNIOR MAHAVIDYALAYA, WAI</t>
  </si>
  <si>
    <t>SINHGAD COLLEGE OF ENGINEERING, VADGAON BK</t>
  </si>
  <si>
    <t>PRIMARK ASSOCIATES | Project Management Intern | Pune | May 2026 | Jul 2026 | 8.7142857142857 Weeks | Campus Internship
SHRADDHA ENTERPRISES | INTERNSHIP TRAINEE | WAI | Jan 2023 | Feb 2023 | 3.1428571428571 Weeks</t>
  </si>
  <si>
    <t>P25700516</t>
  </si>
  <si>
    <t>DABHOLKAR</t>
  </si>
  <si>
    <t>Yash Suresh Dabholkar</t>
  </si>
  <si>
    <t>dabholkaryash90@gmail.com</t>
  </si>
  <si>
    <t>p25700516@student.nicmar.ac.in</t>
  </si>
  <si>
    <t>28-Feb-2000</t>
  </si>
  <si>
    <t>2846 3808 1620</t>
  </si>
  <si>
    <t>SNEHA</t>
  </si>
  <si>
    <t>GROUND FLOOR, NAVBHARAT SOCIETY, NEAR YASHODEEP CHOWK, WARJE</t>
  </si>
  <si>
    <t>At Post Gavane, Gavaliwadi Taluka Lanja Dist Ratnagiri</t>
  </si>
  <si>
    <t>NEW ENGLISH SCHOOL, LANJA</t>
  </si>
  <si>
    <t>GOVERNMENT POLYTECHNIC, RATNAGIRI</t>
  </si>
  <si>
    <t>SINHGAD ACADEMY OF ENGINEERING, KONDHWA (BK), PUNE</t>
  </si>
  <si>
    <t>AutoCAD,MS Office, Microsoft Project</t>
  </si>
  <si>
    <t>Watmov Engineering Pvt Ltd | Associate Design Engineer | Pune | Dec 2022 | Apr 2024 | 1Y 4M | 3.5
Precision Precast Solutions (PPS) | Designer | Pune | May 2024 | Jul 2025 | 1Y 2M | 4.4</t>
  </si>
  <si>
    <t>Cushman &amp; Wakefield | Project Management Intern | Pune | May 2026 | Jul 2026 | 8.7142857142857 Weeks | Campus Internship</t>
  </si>
  <si>
    <t>P25700518</t>
  </si>
  <si>
    <t>INDRAKUMAR</t>
  </si>
  <si>
    <t>MISHRA</t>
  </si>
  <si>
    <t>Ganesh Indrakumar Mishra</t>
  </si>
  <si>
    <t>ganeshmishra.23.08@gmail.com</t>
  </si>
  <si>
    <t>p25700518@student.nicmar.ac.in</t>
  </si>
  <si>
    <t>English,Hindi,Marathi.</t>
  </si>
  <si>
    <t>2960 7573 6040</t>
  </si>
  <si>
    <t>INDRAKUMAR MISHRA</t>
  </si>
  <si>
    <t>PRODUCTION MANAGER</t>
  </si>
  <si>
    <t>KUSUM MISHRA</t>
  </si>
  <si>
    <t>Room No. 9, Pandey Bhavan C Chinchpada Road, Near Model College Kalyan East,Thane, Maharashtra</t>
  </si>
  <si>
    <t>NATIONAL ENGLISH HIGH SCHOOL</t>
  </si>
  <si>
    <t>SAKET COLLEGE</t>
  </si>
  <si>
    <t>TERNA ENGINEERING COLLEGE,NERUL/ MAHARASHTRA</t>
  </si>
  <si>
    <t>AutoCAD,MS Office,MS Project,Primavera,Revit,costx</t>
  </si>
  <si>
    <t>ICICI Bank | Assitant Technical Manager | Dombivali | Jun 2023 | Jun 2025 | 1Y 11M | 4.4</t>
  </si>
  <si>
    <t>Firstspace Development Management Private Limited | Intern-Projects (Planning) | BKC-Mumbai | May 2026 | Jun 2026 | 8.1428571428571 Weeks | Campus Internship
CIDCO | INTERNSHIP TRAINEE | TALOJA | Dec 2021 | Jan 2022 | 2.5714285714286 Weeks</t>
  </si>
  <si>
    <t>MS-CIT</t>
  </si>
  <si>
    <t>P25700519</t>
  </si>
  <si>
    <t>SHRINIVAS</t>
  </si>
  <si>
    <t>KURAPATI</t>
  </si>
  <si>
    <t>Rushikesh Shrinivas Kurapati</t>
  </si>
  <si>
    <t>rishikurapati6@gmail.com</t>
  </si>
  <si>
    <t>p25700519@student.nicmar.ac.in</t>
  </si>
  <si>
    <t>English , Marathi , Hindi , Telegu</t>
  </si>
  <si>
    <t>4887 0179 3122</t>
  </si>
  <si>
    <t>AMBIKA</t>
  </si>
  <si>
    <t>KRISHNAKUNJ, SR. NO. 17/4B/7, DATTARAJ COLONY, LANE NO. 7, MANGALNAGAR, WAKAD, PUNE</t>
  </si>
  <si>
    <t>08/218 , Raghavendra Nagar , MIDC Road , Solapur</t>
  </si>
  <si>
    <t>H D HIGH SCHOOL SOLAPUR</t>
  </si>
  <si>
    <t>SECONDARY AND HIGHER SECONDARY EDUCATION PUNE</t>
  </si>
  <si>
    <t>A.G. PATIL INSTITUTE OF TECHNOLOGY SOLAPUR</t>
  </si>
  <si>
    <t>N. B. NAVALE SINHGAD COLLEGE OF ENGINEERING SOLAPUR</t>
  </si>
  <si>
    <t>AutoCAD,MS Office,MS Project,Revit,Etabs</t>
  </si>
  <si>
    <t>Core Management Services | Junior Planning Engineer | Pune Maharashtra  | Jan 2024 | Dec 2024 | 0Y 11M | 1.68
Bhate Raje Construction Pvt Ltd | Junior Planning Engineer | Pimpri-Chinchwad, Maharashtra 411057 | Jan 2025 | Jun 2025 | 0Y 5M | 3</t>
  </si>
  <si>
    <t>Sagar Skyscrapper LLP | Trainee Junior Engineer.  | Pune | May 2026 | Jun 2026 | 7.7142857142857 Weeks | Campus Internship
SRUSHTI ENGINEERS AND CONSULTANT | PROJECT TRAINEE ENGINEER | SOLAPUR, MAHARASHTRA | Jul 2022 | Dec 2022 | 25.714285714286 Weeks</t>
  </si>
  <si>
    <t>Microsoft Project</t>
  </si>
  <si>
    <t>P25700520</t>
  </si>
  <si>
    <t>Patil Hemanth Kumar</t>
  </si>
  <si>
    <t>patilhemanth6601@gmail.com</t>
  </si>
  <si>
    <t>p25700520@student.nicmar.ac.in</t>
  </si>
  <si>
    <t>English, Hindi, Telugu, Marathi, Kannada</t>
  </si>
  <si>
    <t>3322 4663 2302</t>
  </si>
  <si>
    <t>PATIL VENKAT</t>
  </si>
  <si>
    <t>PHARMACIST</t>
  </si>
  <si>
    <t>PATIL JYOTHI</t>
  </si>
  <si>
    <t>1-2-497, RAKASIPET, BODHAN, NIZAMABAD DIST._x000D_
503185 TELANGANA, INDIA</t>
  </si>
  <si>
    <t>VIJAYA MARY HIGH SCHOOL RAKASIPET BODHAN NIZAMABAD DISTRICT</t>
  </si>
  <si>
    <t>NARAYANA JUNIOR COLLEGE SAPTHAGIRI COLONY KUKATPALLY HYDERABAD</t>
  </si>
  <si>
    <t>TELANGANA STATE BOARD OF INTERMEDIATE EDUCATION HYDERABAD TELANGANA STATE INDIA</t>
  </si>
  <si>
    <t>JAWAHARLAL NEHRU TECHNOLOGICAL UNIVERSITY HYDERABAD TELANGANA STATE INDIA</t>
  </si>
  <si>
    <t>ANURAG GROUP OF INSTITUTIONS HYDERABAD TELANGANA INDIA</t>
  </si>
  <si>
    <t>D.E.C. INFRASTRUCTURE AND PROJECTS (INDIA) PRIVATE LIMITED | GRADUATE ENGINEER TRAINEE - QUALITY CONTROL | MANCHERIAL MEDICAL COLLEGE PROJECT | May 2024 | Nov 2024 | 0Y 6M | 2.64</t>
  </si>
  <si>
    <t>Ernst &amp; Young LLP | Business Consulting Risk | Ahmedabad | May 2026 | Jul 2026 | 8.2857142857143 Weeks | Campus Internship
PRIYA CONSTRUCTIONS (RAILWAY AND CIVIL WORK) | INTERN | NIZAMABAD | Oct 2023 | Mar 2024 | 26 Weeks</t>
  </si>
  <si>
    <t>PROJECT MANAGEMENT FOUNDATIONS
COMPLETE   AUTOCAD 2D + 3D COURSE
MICROSOFT EXCEL - EXCEL FROM BEGINNER TO ADVANCED</t>
  </si>
  <si>
    <t>P25700521</t>
  </si>
  <si>
    <t>SAURABH</t>
  </si>
  <si>
    <t>PANDURANG</t>
  </si>
  <si>
    <t>BURADE</t>
  </si>
  <si>
    <t>Saurabh Pandurang Burade</t>
  </si>
  <si>
    <t>saurabhburade0990@gmail.com</t>
  </si>
  <si>
    <t>p25700521@student.nicmar.ac.in</t>
  </si>
  <si>
    <t>21-Mar-2000</t>
  </si>
  <si>
    <t>8350 6439 0011</t>
  </si>
  <si>
    <t>PANDURANG BURADE</t>
  </si>
  <si>
    <t>VILLAGE DEVLOPMENT OFFICER</t>
  </si>
  <si>
    <t>PRATIBHA BURADE</t>
  </si>
  <si>
    <t>Pilare Complex,, Near Sahare Hospital,, Desaiganj Main Road, Desaiganj, Maharashtra</t>
  </si>
  <si>
    <t>SCHOOL OF SCHOLARS , GADCHIROLI</t>
  </si>
  <si>
    <t>CENTER BOARD OF SECONDARY EDUCATION , DELHI</t>
  </si>
  <si>
    <t>SHIVKRUPA JR. SCIENCE COLLAGE , GADCHIROLI</t>
  </si>
  <si>
    <t>HIGHER SECONDARY EDUCATION , PUNE (NAGPUR DIVISION BOARD)</t>
  </si>
  <si>
    <t>DR. D . Y . PATIL COLLAGE ENGINEERING ,AKURDI ,PUNE</t>
  </si>
  <si>
    <t>Manisha Groups PVT. LTD. | Jr. Site Engineer | Pheonix Mall Of The Millennium ,Wakad ,Pune  | Apr 2024 | Nov 2024 | 0Y 6M | 1.8</t>
  </si>
  <si>
    <t>Tejraj group  | Planing Department  | Pune | May 2026 | Jul 2026 | 8.7142857142857 Weeks | Campus Internship</t>
  </si>
  <si>
    <t>P25700522</t>
  </si>
  <si>
    <t>SAYAN</t>
  </si>
  <si>
    <t>HALDER</t>
  </si>
  <si>
    <t>Sayan Halder</t>
  </si>
  <si>
    <t>sayanhalder948@gmail.com</t>
  </si>
  <si>
    <t>p25700522@student.nicmar.ac.in</t>
  </si>
  <si>
    <t>26-Dec-1999</t>
  </si>
  <si>
    <t>2283 6001 0855</t>
  </si>
  <si>
    <t>PUTUL KUMAR HALDER</t>
  </si>
  <si>
    <t>CENTRAL GOVT. EMPLOYE</t>
  </si>
  <si>
    <t>SUSHAMA HALDER</t>
  </si>
  <si>
    <t>UTTAR HAZIPUR,DIAMOND HARBOUR,WORD NO. -15</t>
  </si>
  <si>
    <t>SARISHA RAMKRISHNA MISSION SIKSHA MANDIR</t>
  </si>
  <si>
    <t>FATEPUR SRINATH INSTITUTION</t>
  </si>
  <si>
    <t>MAULANA ABUL KALAM AZAD UNIVERSITY OF TECHNOLOGY , WEST BENGAL</t>
  </si>
  <si>
    <t>NETAJI SUBHASH ENGINEERING COLLEGE</t>
  </si>
  <si>
    <t>SAJAL DEB GOVT. CONTRACTOR OF C.P.W.D.&amp; P.W.D. GENERAL ORDER SUPPLIERS | SITE ENGINEER | NORTH TRIPURA | Dec 2021 | Feb 2025 | 3Y 2M | 3.24</t>
  </si>
  <si>
    <t>Central Public Works Department    ( C.P.W.D.) |  Planning And Execution | Kolkata | May 2026 | Jul 2026 | 9.5714285714286 Weeks | Campus Internship</t>
  </si>
  <si>
    <t>BEHAVIORAL SKILLS &amp; TECHNICAL SKILLS -IT
DIPLOMA IN COMPUTER APPLICATION</t>
  </si>
  <si>
    <t>P25700524</t>
  </si>
  <si>
    <t>NOEL</t>
  </si>
  <si>
    <t>JOY</t>
  </si>
  <si>
    <t>Noel Joy</t>
  </si>
  <si>
    <t>noelrj003@gmail.com</t>
  </si>
  <si>
    <t>p25700524@student.nicmar.ac.in</t>
  </si>
  <si>
    <t>Malayalam, English</t>
  </si>
  <si>
    <t>5617 6727 2556</t>
  </si>
  <si>
    <t>JOY SCARIA</t>
  </si>
  <si>
    <t>LIGY JOSEPH</t>
  </si>
  <si>
    <t>Mangattu, Poonjar P.O</t>
  </si>
  <si>
    <t>ST ALPHONSA PUBLIC SCHOOL &amp; JUNIOR COLLEGE, ARUVITHURA KOTTAYAM</t>
  </si>
  <si>
    <t>CBSE, KOTTAYAM KERALA</t>
  </si>
  <si>
    <t>SMV HIGHER SECONDARY SCHOOL, POONJAR KOTTAYAM</t>
  </si>
  <si>
    <t>DHSE KERALA KOTTAYAM</t>
  </si>
  <si>
    <t>RAJAGIRI SCHOOL OF ENGINEERING &amp; TECHNOLOGY, KOCHI, KERALA</t>
  </si>
  <si>
    <t>AutoCAD, MS Project, Primavera, Revit</t>
  </si>
  <si>
    <t>VSL INDIA PVT LTD | SITE EXECUTION INTERN | CHENNAI | May 2026 | Jul 2026 | 8.7142857142857 Weeks | Campus Internship
AMRUTHA CONSULTANTS | CIVIL ENGINEERING INTERNSHIP | KOCHI, KERALA | Mar 2023 | Mar 2023 | 0.71428571428571 Weeks
AMRUTHA CONSULTANTS | CIVIL ENGINNERING INTERN | KOCHI, KERALA | Mar 2023 | Apr 2023 | 2.7142857142857 Weeks</t>
  </si>
  <si>
    <t>Data Analytics
Repair and Maintenance of Buildings
QGIS
Energy Simulation in Buildings
Construction Equipment Maintenance &amp; Safety
Construction Machinery for Concreting /Roads &amp; Earth Moving
TBMs,Pile Rigs,Cranes &amp; Hauling Vehicles
German - I</t>
  </si>
  <si>
    <t>P25700525</t>
  </si>
  <si>
    <t>CHAURASIA</t>
  </si>
  <si>
    <t>Om Rajesh Chaurasia</t>
  </si>
  <si>
    <t>omchaurasia739@gmail.com</t>
  </si>
  <si>
    <t>p25700525@student.nicmar.ac.in</t>
  </si>
  <si>
    <t>01-Mar-2001</t>
  </si>
  <si>
    <t>6355 8310 1375</t>
  </si>
  <si>
    <t>RAJESH CHAURASIA</t>
  </si>
  <si>
    <t>ANITA CHAURASIA</t>
  </si>
  <si>
    <t>Room No. 5, Ashok Bhavan, M D Road, Opp Power House, Kandivali East</t>
  </si>
  <si>
    <t>THAKUR VIDYA MANDIR HIGH SCHOOL</t>
  </si>
  <si>
    <t>THAKUR COLLEGE OF ENGINEERING &amp; TECHNOLOGY</t>
  </si>
  <si>
    <t>Shreeji Sharan Group Of Companies | Junior Engineer | Mumbai | Jun 2022 | Jun 2025 | 3Y 0M | 2.52</t>
  </si>
  <si>
    <t>SOBHA LIMITED | Planning | Kerala | May 2026 | Jul 2026 | 9 Weeks | Campus Internship
SACHIN GUPTA BUILDCON PVT. LTD. | JUNIOR ENGINEER | MUMBAI | Dec 2021 | Jan 2022 | 8.7142857142857 Weeks</t>
  </si>
  <si>
    <t>Maharashtra State Certificate in Information Technology
Extension Work Team</t>
  </si>
  <si>
    <t>P25700526</t>
  </si>
  <si>
    <t>RITIKA</t>
  </si>
  <si>
    <t>MESHRAM</t>
  </si>
  <si>
    <t>Ritika Gautam Meshram</t>
  </si>
  <si>
    <t>ritikameshram995@gmail.com</t>
  </si>
  <si>
    <t>p25700526@student.nicmar.ac.in</t>
  </si>
  <si>
    <t>6675 6808 8799</t>
  </si>
  <si>
    <t>GAUTAM MESHRAM</t>
  </si>
  <si>
    <t>SEEMA MESHRAM</t>
  </si>
  <si>
    <t>SHUBHAM COLONY,LOHARA BYPASS YAVATMAL</t>
  </si>
  <si>
    <t>SANSKAR ENGLISH MEDIUM SCHOOL</t>
  </si>
  <si>
    <t>PEOPLES JR COLLEGE</t>
  </si>
  <si>
    <t>DR DY PATIL INSTITUTE OF TECHNOLOGY,PIMPRI,PUNE.</t>
  </si>
  <si>
    <t>BHATE&amp;RAJE CONSTRUCTION COMPANY PVT.LTD. | JUNIOR ENGINEER | PUNE | Dec 2023 | Jan 2024 | 4.2857142857143 Weeks</t>
  </si>
  <si>
    <t>Revit
Autocad</t>
  </si>
  <si>
    <t>P25700527</t>
  </si>
  <si>
    <t>LIKITHA</t>
  </si>
  <si>
    <t>BHOOPATHI</t>
  </si>
  <si>
    <t>Likitha Priya Bhoopathi</t>
  </si>
  <si>
    <t>likithapriyabhoopathi@gmail.com</t>
  </si>
  <si>
    <t>p25700527@student.nicmar.ac.in</t>
  </si>
  <si>
    <t>05-Dec-2003</t>
  </si>
  <si>
    <t>5014 9201 0207</t>
  </si>
  <si>
    <t>BHOOPATHI VYAS CHANDER</t>
  </si>
  <si>
    <t>JONNALA SREEDEVI</t>
  </si>
  <si>
    <t>2-11-201/1/401 Hari Hara Towers, KUC X Road</t>
  </si>
  <si>
    <t>SPR SCHOOL OF EXCELLENCE</t>
  </si>
  <si>
    <t>BOARD OF SECONDARY EDUCATION/TELANGANA</t>
  </si>
  <si>
    <t>VMR POLYTECHNIC/TELANGANA</t>
  </si>
  <si>
    <t>KAKATIYA INSTITUTE OF TECHNOLOGY ANDÂ SCIENCE/TELANGANA</t>
  </si>
  <si>
    <t>AutoCAD,MS Office,MS Project,Primavera,Staad pro,Revit,CostX</t>
  </si>
  <si>
    <t>National Institute Of Construction Management And Reseach | Intern | Hyderabad | Jun 2024 | Jun 2024 | 2.4285714285714 Weeks
Government of telangana IRRIGATION &amp; CAD Department | intern | Parkal | May 2023 | Jun 2023 | 3.4285714285714 Weeks
Artizen Project LLp | Project Coordinate Intern | Hyderabad | May 2026 | Jul 2026 | 8.7142857142857 Weeks</t>
  </si>
  <si>
    <t>P25700528</t>
  </si>
  <si>
    <t>VISHWANATH</t>
  </si>
  <si>
    <t>Riya Vishwanath</t>
  </si>
  <si>
    <t>29riyav@gmail.com</t>
  </si>
  <si>
    <t>p25700528@student.nicmar.ac.in</t>
  </si>
  <si>
    <t>5880 8641 0461</t>
  </si>
  <si>
    <t>VIKRAMADITYA VISHWANATH</t>
  </si>
  <si>
    <t>KAVITA VISHWANATH</t>
  </si>
  <si>
    <t>First Floor, Saijyot Apartment, Vataremala, BT Kawde Road</t>
  </si>
  <si>
    <t>AIR FORCE SCHOOL VIMAN NAGAR</t>
  </si>
  <si>
    <t>SPRINGDALES CHILDREN'S SCHOOL</t>
  </si>
  <si>
    <t>SYMBIOSIS INSTITUTE OF TECHNOLOGY, PUNE</t>
  </si>
  <si>
    <t>Cushman &amp; Wakefield | Project Management Intern | Pune | May 2026 | Jul 2026 | 8.7142857142857 Weeks | Campus Internship
KOLTE-PATIL INTEGRATED TOWNSHIPS LTD. | Executive Intern | MARUNJI | Jan 2025 | May 2025 | 20.714285714286 Weeks</t>
  </si>
  <si>
    <t>Diploma in Business management
Primavera P6 Professional Training
Six Sigma White belt
Environmental health and safety on construction projects</t>
  </si>
  <si>
    <t>P25700529</t>
  </si>
  <si>
    <t>Janhavi Vijay Patil</t>
  </si>
  <si>
    <t>patiljanhavi6283@gmail.com</t>
  </si>
  <si>
    <t>p25700529@student.nicmar.ac.in</t>
  </si>
  <si>
    <t>29-Sep-1998</t>
  </si>
  <si>
    <t>8874 1543 5853</t>
  </si>
  <si>
    <t>VIJAY NANA PATIL</t>
  </si>
  <si>
    <t>FABRICATION WORKS</t>
  </si>
  <si>
    <t>SANGITA VIJAY PATIL</t>
  </si>
  <si>
    <t>B6, Flat No. 16, Ganesh Complex, Manikbaug, Sinhgad Road, Opp. Brahma Garden Hotel, Near Nava Sinhgad Parisar Office.</t>
  </si>
  <si>
    <t>RMD SINHGAD TECHNICAL INSTITUTE CAMPUS, WARJE, PUNE, MAHARASHTRA</t>
  </si>
  <si>
    <t>AutoCAD,MS Office,MS Project,Primavera,Revit,Naviswork</t>
  </si>
  <si>
    <t>TCG REAL ESTATE - TCG IBPL | JUNIOR ENGINEER | Hinjewadi Phase 2, Pune, Maharashtra | Jul 2023 | Jun 2025 | 1Y 11M | 3.71
Mazagon Dock Shipbuilders Ltd. | Graduate Apprentice | Mumbai, Maharashtra | Mar 2021 | Mar 2022 | 0Y 11M | 1.08</t>
  </si>
  <si>
    <t>Primark Associates | Project Management Services | Baner, Pune | May 2026 | Jul 2026 | 8.5714285714286 Weeks | Campus Internship</t>
  </si>
  <si>
    <t>Diploma in Building Design</t>
  </si>
  <si>
    <t>P25700530</t>
  </si>
  <si>
    <t>GOHIL</t>
  </si>
  <si>
    <t>MANSIBA</t>
  </si>
  <si>
    <t>JAYDEEPSINH</t>
  </si>
  <si>
    <t>Gohil Mansiba Jaydeepsinh</t>
  </si>
  <si>
    <t>mgohil472003@gmail.com</t>
  </si>
  <si>
    <t>p25700530@student.nicmar.ac.in</t>
  </si>
  <si>
    <t>04-Jul-2003</t>
  </si>
  <si>
    <t>9142 8941 4570</t>
  </si>
  <si>
    <t>MR. JAYDEEPSINH GOHIL</t>
  </si>
  <si>
    <t>MRS. REKHABA GOHIL</t>
  </si>
  <si>
    <t>Ghogha Road, Murlidhar Society, Block10/A, Bhavnagar, Gujarat</t>
  </si>
  <si>
    <t>Bhavnagar</t>
  </si>
  <si>
    <t>ST. MARYâ€™S ENGLISH SCHOOL, BHAVNAGAR</t>
  </si>
  <si>
    <t>GUJARAT SECONDARY AND HIGHER SECONDARY EDUCATION BOARD, GANDHINAGAR</t>
  </si>
  <si>
    <t>GYANMANJARI HIGHER SECONDARY SCHOOL, BHAVNAGAR</t>
  </si>
  <si>
    <t>GOVERNMENT ENGINEERING COLLEGE, BHAVNAGAR</t>
  </si>
  <si>
    <t>AutoCAD,MS Office,MS Project,SketchUp</t>
  </si>
  <si>
    <t>Pidilite Industries Ltd.  | Summer Intern | Mumbai | May 2026 | Jul 2026 | 7.2857142857143 Weeks | Campus Internship
SETU Infrastructure | Trainee | 701-704 The First, behind ITC Narmada Vastrapur, Ahmedabad 380015, Gujarat  | Jan 2025 | Apr 2025 | 11.857142857143 Weeks
Er. Akul Pandya | Intern | 204, Atlanta Complex, Opp. Joggers Park, Bhavnagar 364001, Gujarat  | Jun 2024 | Jul 2024 | 1.8571428571429 Weeks</t>
  </si>
  <si>
    <t>P25700531</t>
  </si>
  <si>
    <t>TALBIYA</t>
  </si>
  <si>
    <t>ASIF IQBAL</t>
  </si>
  <si>
    <t>Talbiya Asif Iqbal Shaikh</t>
  </si>
  <si>
    <t>talbiyashaikh31@gmail.com</t>
  </si>
  <si>
    <t>p25700531@student.nicmar.ac.in</t>
  </si>
  <si>
    <t>31-Jan-2004</t>
  </si>
  <si>
    <t>ENGLISH, HINDI, MARATHI, URDU</t>
  </si>
  <si>
    <t>7628 2275 2076</t>
  </si>
  <si>
    <t>AISF IQBAL SHAIKH</t>
  </si>
  <si>
    <t>ALMAS SHAIKH</t>
  </si>
  <si>
    <t>Flat No.13, Arsheen Apartment, Modi Khana, Saat Rasta.</t>
  </si>
  <si>
    <t>LITTLE FLOWER CONVENT HIGH SCHOOL</t>
  </si>
  <si>
    <t>WALCHAND COLLEGE OF ARTS &amp; SCIENCE</t>
  </si>
  <si>
    <t>NAGESH KARAJAGI ORCHID COLLEGE OF ENGINEERING &amp; TECHNOLOGY, SOLAPUR, MAHARASHTRA</t>
  </si>
  <si>
    <t>SOBHA Limited  | Project Planning   | Hyderabad  | May 2026 | Jul 2026 | 9 Weeks | Campus Internship
Ar. Bhavik Gandhi &amp; Associates | Civil Design &amp; Site Supervision  | Solapur, Maharashtra  | Dec 2024 | Feb 2025 | 10 Weeks</t>
  </si>
  <si>
    <t>BIM REVIT</t>
  </si>
  <si>
    <t>P25700532</t>
  </si>
  <si>
    <t>NETRAVATI</t>
  </si>
  <si>
    <t>T</t>
  </si>
  <si>
    <t>SHEPUR</t>
  </si>
  <si>
    <t>Netravati T Shepur</t>
  </si>
  <si>
    <t>shepurnetra@gmail.com</t>
  </si>
  <si>
    <t>p25700532@student.nicmar.ac.in</t>
  </si>
  <si>
    <t>15-Mar-1990</t>
  </si>
  <si>
    <t>ENGLISH HINDI KANNADA TELUGU</t>
  </si>
  <si>
    <t>5676 1811 6715</t>
  </si>
  <si>
    <t>DR T A SHEPUR</t>
  </si>
  <si>
    <t>SUJATHA T SHEPUR</t>
  </si>
  <si>
    <t>#89, 13Th Cross, Lingarajnagar , Vidyanagar , Patil Layout</t>
  </si>
  <si>
    <t>ST ANTONY'S PUBLIC SCHOOL</t>
  </si>
  <si>
    <t>CENTRAL BOARD OF SECONDAY EDUCATION , DELHI</t>
  </si>
  <si>
    <t>SRI CHAITANYA KALASHALA</t>
  </si>
  <si>
    <t>BOARD OF INTERMEDIATE EDUCATION , ANDHRA PRADESH</t>
  </si>
  <si>
    <t>2008-Apr</t>
  </si>
  <si>
    <t>VTU BELAGUM</t>
  </si>
  <si>
    <t>B V BHOORADDI COLLEGE OF ENGINEERING AND TECHNOLOGY, HUBLI</t>
  </si>
  <si>
    <t>2008-Jul</t>
  </si>
  <si>
    <t>2012-Sep</t>
  </si>
  <si>
    <t>2014-Oct</t>
  </si>
  <si>
    <t>AutoCAD,MS Office,MS Project,STAADPRO,ETABS,RCDC,REVIT</t>
  </si>
  <si>
    <t>SUPRADA CONSTRUCTIONS PRIVATE LIMITED | STRUCTURAL ENGINEER | BENGALURU | Apr 2023 | Dec 2024 | 1Y 8M | 7.18
SMEC INDIA PVT LTD | JUNIOR DESIGN ENGINEER | BENGALURU | Feb 2022 | Dec 2022 | 0Y 9M | 5.04
MARS PLANNING AND ENGINEERING SERVICES | SENIOR ENGINEER-PROJECTS | BENGALURU | Jan 2025 | Apr 2025 | 0Y 3M | 10.8
CRYSTAL INFOTECH SERVICES | STRUCTURAL ENGINEER | BENGALURU | Jul 2020 | Feb 2022 | 1Y 7M | 4.05
SEAN ENGINEERS | DESIGN ENGINEER | BENGALURU | Sep 2019 | Jun 2020 | 0Y 9M | 3
VALDEL ENGINEERS | ENGINEER-CIVIL/STRUCTURAL | BENGALURU | Dec 2022 | Mar 2023 | 0Y 3M | 7
YELLAMMA DASAPPA INSTITUTE OF TECHNOLOGY | Assistant Professor | BENGALURU | Aug 2014 | Aug 2019 | 5Y 0M | 2.52</t>
  </si>
  <si>
    <t>10 Years 5 Months</t>
  </si>
  <si>
    <t>Prestige Estates Projects Limited  | Intern | Bangalore | May 2026 | Jul 2026 | 8.5714285714286 Weeks | Campus Internship</t>
  </si>
  <si>
    <t>Quantity surveying and Billing Engineer 
IJERT PAPER PUBLICATION</t>
  </si>
  <si>
    <t>P25700533</t>
  </si>
  <si>
    <t>GUNJAN</t>
  </si>
  <si>
    <t>DHOBLE</t>
  </si>
  <si>
    <t>Gunjan Shivaji Dhoble</t>
  </si>
  <si>
    <t>gunjandhoble7@gmail.com</t>
  </si>
  <si>
    <t>p25700533@student.nicmar.ac.in</t>
  </si>
  <si>
    <t>5173 3776 4431</t>
  </si>
  <si>
    <t>SHIVAJI DHOBLE</t>
  </si>
  <si>
    <t>SUNANDA DHOBLE</t>
  </si>
  <si>
    <t>AT KHANDHALA (KHURD) , POST-LADGAON THASIL-KATOL DISTRICT- NAGPUR</t>
  </si>
  <si>
    <t>BANARASIDAS RUIYA HIGH SCHOOL KATOL</t>
  </si>
  <si>
    <t>KATOL / MAHARASHTRA</t>
  </si>
  <si>
    <t>NATIONAL INSTITUTE OF TECHNOLOGY NAGPUR</t>
  </si>
  <si>
    <t>PRIYADARSHANI BHAGWATI COLLEGE OF ENGINEERING NAGPUR</t>
  </si>
  <si>
    <t>AutoCAD,MS Office,MS Project,Primavera,Cost X,REVIT</t>
  </si>
  <si>
    <t>Bangalore Metro Rail Corporation Ltd. | Site Execution Intern | Bangalore | May 2026 | Jul 2026 | 8.7142857142857 Weeks | Campus Internship
Er. Prashant M. Kalbande | Trainee | Katol | Apr 2024 | May 2025 | 60.571428571429 Weeks</t>
  </si>
  <si>
    <t>Autocad
NCC
Ethics and Engineering Practices
Coursera Finance for Non-Financial Managers</t>
  </si>
  <si>
    <t>P25700534</t>
  </si>
  <si>
    <t>DIVYA</t>
  </si>
  <si>
    <t>HIRALAL</t>
  </si>
  <si>
    <t>WAILTHARE</t>
  </si>
  <si>
    <t>Divya Hiralal Wailthare</t>
  </si>
  <si>
    <t>dhwailthare29@gmail.com</t>
  </si>
  <si>
    <t>p25700534@student.nicmar.ac.in</t>
  </si>
  <si>
    <t>9879 4083 6493</t>
  </si>
  <si>
    <t>HIRALAL WAILTHARE</t>
  </si>
  <si>
    <t>ASSISTANT POLICE INSPECTOR</t>
  </si>
  <si>
    <t>NANDA WAILTHARE</t>
  </si>
  <si>
    <t>Shiv Apartment, Ganesh Nagar, Tukum, Chandrapur</t>
  </si>
  <si>
    <t>CENTRAL BOARD OF SECONDARY EDUCATION, CHANDRAPUR, MAHARASHTRA</t>
  </si>
  <si>
    <t>MIT ADT UNIVERSITY</t>
  </si>
  <si>
    <t>MIT ADT SCHOOL OF ENGINEERING AND SCIENCES</t>
  </si>
  <si>
    <t>Rodic Consultants | Operation Intern | Delhi | May 2026 | Jul 2026 | 8.5714285714286 Weeks | Campus Internship
MAHARASHTRA METRO RAIL CORPORATION LIMITED | INTERN | PUNE | Feb 2025 | Feb 2025 | 3.8571428571429 Weeks</t>
  </si>
  <si>
    <t>Construction Scheduling</t>
  </si>
  <si>
    <t>P25700535</t>
  </si>
  <si>
    <t>BHARVEE</t>
  </si>
  <si>
    <t>Bharvee Manoj Mokashi</t>
  </si>
  <si>
    <t>bharveemanoj21@gmail.com</t>
  </si>
  <si>
    <t>p25700535@student.nicmar.ac.in</t>
  </si>
  <si>
    <t>21-Apr-2003</t>
  </si>
  <si>
    <t>HINDI,MARATHI, ENGLISH</t>
  </si>
  <si>
    <t>7883 6680 0734</t>
  </si>
  <si>
    <t>MANOJ MOKASHI</t>
  </si>
  <si>
    <t>VRUNDA MOKASHI</t>
  </si>
  <si>
    <t>Damodar Nivas 3rd Flr Vitawa Thane Belapur Road</t>
  </si>
  <si>
    <t>JVM'S NEW ENGLISH SCHOOL KALWA</t>
  </si>
  <si>
    <t>GOVERNMENT POLYTECHNIC THANE, MAHARASHTRA</t>
  </si>
  <si>
    <t>DATTA MEGHE COLLEGE OF ENGINEERING AIROLI NAVI MUMBAI, MAHARASHTRA</t>
  </si>
  <si>
    <t>AutoCAD,MS Office,MS Project,Primavera,ArcGIS,QGIS</t>
  </si>
  <si>
    <t>CUSHMAN AND WAKEFIELD | TEMP ASSOCIATE | BKC | Dec 2024 | Jan 2025 | 4.4285714285714 Weeks
CIDCO | TESTING INTERN | NAVIMUMBAI | Dec 2023 | Jan 2024 | 3.5714285714286 Weeks
CIDCO | EXECUTION INTERN  | NAVIMUMBAI | Jun 2023 | Jul 2023 | 4.4285714285714 Weeks</t>
  </si>
  <si>
    <t>P25700536</t>
  </si>
  <si>
    <t>Preeti</t>
  </si>
  <si>
    <t>Sinha</t>
  </si>
  <si>
    <t>Preeti Sinha</t>
  </si>
  <si>
    <t>sinha.preeti6534@gmail.com</t>
  </si>
  <si>
    <t>p25700536@student.nicmar.ac.in</t>
  </si>
  <si>
    <t>27-Mar-1997</t>
  </si>
  <si>
    <t>Travelling,Reading,Music,Painting,Cooking</t>
  </si>
  <si>
    <t>7529 3195 5151</t>
  </si>
  <si>
    <t xml:space="preserve">Paras Nath Sinha </t>
  </si>
  <si>
    <t>Retired Government Employee</t>
  </si>
  <si>
    <t>Asha Sinha</t>
  </si>
  <si>
    <t>Homemaker</t>
  </si>
  <si>
    <t xml:space="preserve">Tower I1 Flat Number 1706 IITL Nimbus Express Park View 2, Chi-V, Greater Noida </t>
  </si>
  <si>
    <t>D.A.V. PUBLIC SCHOOL CANTONMENT AREA GAYA</t>
  </si>
  <si>
    <t>MAHARSHI DAYANAND UNIVERSITY, ROHTAK</t>
  </si>
  <si>
    <t>RABINDRANATH TAGORE INSTITUTE OF ARCHITECTURE, FARIDABAD, HARYANA</t>
  </si>
  <si>
    <t>AutoCAD,MS Office,MS Project,Revit,Lumion,Autocad Sketchup,Vray</t>
  </si>
  <si>
    <t>Fotress Infracon Limited | Infrastructure &amp; Project Advisory Intern | Thane, Mumbai | May 2026 | Jul 2026 | 8.7142857142857 Weeks | Campus Internship
Ankur &amp; Associates, Mayapuri | Architectural Design Intern | New Delhi | Dec 2019 | May 2020 | 23.285714285714 Weeks</t>
  </si>
  <si>
    <t>Diploma in Revit Architecture</t>
  </si>
  <si>
    <t>P25700537</t>
  </si>
  <si>
    <t>DEVIKA</t>
  </si>
  <si>
    <t>Devika Raj</t>
  </si>
  <si>
    <t>devikaraj1202@gmail.com</t>
  </si>
  <si>
    <t>p25700537@student.nicmar.ac.in</t>
  </si>
  <si>
    <t>5488 4231 7231</t>
  </si>
  <si>
    <t>RAJAN C</t>
  </si>
  <si>
    <t>RETIRED GOVT OFFICIAL</t>
  </si>
  <si>
    <t>REJITHA M</t>
  </si>
  <si>
    <t>GOVT OFFICIAL</t>
  </si>
  <si>
    <t>SREEPADAM, C KANNAN NAGAR COLONY, ELAYAVOOR, P.O. MUNDAYAD</t>
  </si>
  <si>
    <t>ST. FRANCIS ENGLISH MEDIUM SCHOOL, KANNUR</t>
  </si>
  <si>
    <t>VIMAL JYOTHI ENGINEERING COLLEGE, KANNUR</t>
  </si>
  <si>
    <t>Godrej Properties Limited | Operations-Planning | Bangalore | May 2026 | Jul 2026 | 8.7142857142857 Weeks | Campus Internship</t>
  </si>
  <si>
    <t>P25700538</t>
  </si>
  <si>
    <t>SREYA</t>
  </si>
  <si>
    <t>Sreya Raj</t>
  </si>
  <si>
    <t>sreyaraj27@gmail.com</t>
  </si>
  <si>
    <t>p25700538@student.nicmar.ac.in</t>
  </si>
  <si>
    <t>04-Jan-2002</t>
  </si>
  <si>
    <t>5025 4395 4610</t>
  </si>
  <si>
    <t>PADMARAJAN</t>
  </si>
  <si>
    <t>RTD. SUBENGINEER</t>
  </si>
  <si>
    <t>SUJITHA</t>
  </si>
  <si>
    <t>SREYAS,CHARUKADU, CHEMMAKADU PO, PANAYAM,KOLLAM</t>
  </si>
  <si>
    <t>SREYA RAJ</t>
  </si>
  <si>
    <t>GOVERNMENT HIGHER SECONDARY SCHOOL ANCHALOOMOOD</t>
  </si>
  <si>
    <t>KERALA STATE BOARD OF HSE</t>
  </si>
  <si>
    <t>AutoCAD,MS Office,MS Project,REVIT,NAVISWORK,3DS MAX</t>
  </si>
  <si>
    <t>SOBHA LIMITED | Project Management Intern | Bengaluru, Karnataka, India | May 2026 | Jul 2026 | 9 Weeks | Campus Internship
RDS INFOPARK | BIM MODELER | KORATTY,THRISSUR | Apr 2025 | Apr 2025 | 2.5714285714286 Weeks
BIM CAFE LEARNING HUB | BIM MODELER | ERNAKULAM | Oct 2024 | Mar 2025 | 22.142857142857 Weeks
PWD BUILDINGS SUB DIVISION | STUDENT INTERN | KOLLAM | May 2023 | May 2023 | 0.57142857142857 Weeks</t>
  </si>
  <si>
    <t>Building Information Modeling
Revit Architecture
3DS Max
Navisworks Manage
AutoCAD
Construction Equipment Maintenance &amp; Safety</t>
  </si>
  <si>
    <t>P25700539</t>
  </si>
  <si>
    <t>NANSHAL</t>
  </si>
  <si>
    <t>BAJAJ</t>
  </si>
  <si>
    <t>Nanshal Bajaj</t>
  </si>
  <si>
    <t>nanshalbajaj@gmail.com</t>
  </si>
  <si>
    <t>p25700539@student.nicmar.ac.in</t>
  </si>
  <si>
    <t>01-Sep-1998</t>
  </si>
  <si>
    <t>English, Hindi, Sindhi and Marathi</t>
  </si>
  <si>
    <t>2155 3196 7822</t>
  </si>
  <si>
    <t>VINOD BAJAJ</t>
  </si>
  <si>
    <t>ANSHU BAJAJ</t>
  </si>
  <si>
    <t>A3-25, ADITYA BREEZE PARK, BALEWADI</t>
  </si>
  <si>
    <t>Ward No. 08, Kotma Road, Burhar</t>
  </si>
  <si>
    <t>Shahdol</t>
  </si>
  <si>
    <t>CARMEL CONVENT HR SEC SCHOOL SOHAGPUR SHAHDOL MP</t>
  </si>
  <si>
    <t>S.B. PATIL COLLEGE OF ARCHITECTURE AND DESIGN</t>
  </si>
  <si>
    <t>AutoCAD,MS Office,MS Project,Primavera,Sketchup,Revit,Enscape,Lumion</t>
  </si>
  <si>
    <t>About the Space | Junior Architect | Pune | Jul 2023 | Sep 2024 | 1Y 2M | 2.4
Chopra Design Studio | Junior Architect | Indore | Nov 2022 | Jun 2023 | 0Y 7M | 1.8</t>
  </si>
  <si>
    <t>Ahluwalia Contracts (India) Ltd. | Intern | Mumbai | May 2026 | Jun 2026 | 8.1428571428571 Weeks | Campus Internship
Renu Khanna and Associates | Architectural Intern | Panchkula, Chandigarh | Jul 2021 | Nov 2021 | 21 Weeks</t>
  </si>
  <si>
    <t>Diploma in Architecture Softwares</t>
  </si>
  <si>
    <t>P25700540</t>
  </si>
  <si>
    <t>AMEYA</t>
  </si>
  <si>
    <t>BUJONE</t>
  </si>
  <si>
    <t>Ameya Milind Bujone</t>
  </si>
  <si>
    <t>ameya.bujone21@gmail.com</t>
  </si>
  <si>
    <t>p25700540@student.nicmar.ac.in</t>
  </si>
  <si>
    <t>6158 1738 6492</t>
  </si>
  <si>
    <t>MILIND GOVINDRAO BUJONE</t>
  </si>
  <si>
    <t>RASHMI MILIND BUJONE</t>
  </si>
  <si>
    <t>SAI SHREE APARTMENT, PIMPLE SAUDAGAR, PUNE</t>
  </si>
  <si>
    <t>Maxx Glory Society, Beltarodi, Nagpur</t>
  </si>
  <si>
    <t>VIDYA NIKETAN, CHANDRAPUR</t>
  </si>
  <si>
    <t>VIDYA NIKETAN</t>
  </si>
  <si>
    <t>RASHTRASANT TUKDOJI MAHARAJ NAGPUR UNIVERSITY, NAGPUR</t>
  </si>
  <si>
    <t>AutoCAD,MS Project,Primavera,QS &amp; Billing of Govt. Projects and Commercial offices.,liaisoning,People management &amp; conflict resolution,Revit,BIM,Contracts and dispute management,planning and procurement</t>
  </si>
  <si>
    <t>The Indian Hume Pipe Co. Ltd. | Engineer | Gadakota, Madhya pradesh | Aug 2022 | Mar 2024 | 1Y 7M | 3.6
Jagdish Prasad Agarwal | Site Engineer | Aspur, Rajasthan | May 2024 | Sep 2024 | 0Y 3M | 4.05</t>
  </si>
  <si>
    <t>CHERRY HILL INTERIOR PVT. LTD. | QS AND BILLING INTERN | BANGLORE  | May 2026 | Jul 2026 | 8.7142857142857 Weeks | Campus Internship
SD Construction and Gharkul Construction | Intern  | Chandrapur, Maharashtra | Dec 2020 | Feb 2021 | 5.8571428571429 Weeks</t>
  </si>
  <si>
    <t>NPTEL- German 1
Ethics in Engineering practice</t>
  </si>
  <si>
    <t>P25700541</t>
  </si>
  <si>
    <t>PARIMAL</t>
  </si>
  <si>
    <t>ALAWANE</t>
  </si>
  <si>
    <t>Parimal Pradip Alawane</t>
  </si>
  <si>
    <t>parimalalawane2214@gmail.com</t>
  </si>
  <si>
    <t>p25700541@student.nicmar.ac.in</t>
  </si>
  <si>
    <t>7525 4078 2883</t>
  </si>
  <si>
    <t>Musale Vasti,Road No.2,B18,Parimal Bunglow</t>
  </si>
  <si>
    <t>PRAVARA PUBLIC SCHOOL,PRAVARANAGAR</t>
  </si>
  <si>
    <t>PADMASHRI VIKHE PATIL COLLEGE OF ARTS,SCIENCE AND COMMERCE,PRAVARANAGAR</t>
  </si>
  <si>
    <t>K.K. WAGH INSTITUTE OF ENGINEERING EDUCATION AND RESEARCH,NASHIK</t>
  </si>
  <si>
    <t>SANDIP KHATALE (GOVERNMENT CONTRACTOR,MAHARASHTRA STATE) | SUPERVISING ENGINEER | NASHIK | Jan 2022 | Feb 2022 | 4.2857142857143 Weeks
VIRA INFRACTRUCTURE | TRAINING ENGINEER | AHMEDNAGAR | Jul 2020 | Dec 2020 | 26.142857142857 Weeks
Larsen &amp; Toubro Construction, HCI IC | Construction Management Intern | Orange Gate Urban Tunnel Project, Mumbai, Maharashtra | May 2026 | Jun 2026 | 8.1428571428571 Weeks</t>
  </si>
  <si>
    <t>CERTIFICATE OF PROFICIENCY BY DIRECTORATE OF SPORTS AND YOUTH SERVICES,MAHARASHTRA STATE,PUNE
HANDS-ON TRAINING ON REMOTE SENSING AND GIS
MS-CIT</t>
  </si>
  <si>
    <t>P25700542</t>
  </si>
  <si>
    <t>MANAS</t>
  </si>
  <si>
    <t>Manas Deepak Jadhav</t>
  </si>
  <si>
    <t>manasdjadhav0902@gmail.com</t>
  </si>
  <si>
    <t>p25700542@student.nicmar.ac.in</t>
  </si>
  <si>
    <t>2470 6822 1512</t>
  </si>
  <si>
    <t>DEEPAK DAULAT JADHAV</t>
  </si>
  <si>
    <t>MANISHA DEEPAK JADHAV</t>
  </si>
  <si>
    <t>13, Down Town A, Chaitanya Nagar, Gangapur Road, Nashik, 422013</t>
  </si>
  <si>
    <t>NEW MARATHA HIGHSCHOOL, NASHIK</t>
  </si>
  <si>
    <t>MATOSHRI JUNIOR COLLEGE, MHASRUL, NASHIK</t>
  </si>
  <si>
    <t>COLLEGE OF ENGINEERING, PUNE</t>
  </si>
  <si>
    <t>AutoCAD,MS Project,Primavera,CostX,Revit</t>
  </si>
  <si>
    <t>Pyramid Lifestyle LLP | Civil Intern | Pune | May 2026 | Jul 2026 | 8.4285714285714 Weeks | Campus Internship
Anand Builders And Developers, Nashik | Execution and Planning Intern | Nashik | Aug 2024 | May 2025 | 39 Weeks</t>
  </si>
  <si>
    <t>Minor in Financial Engineering</t>
  </si>
  <si>
    <t>P25700543</t>
  </si>
  <si>
    <t>NAVEEN</t>
  </si>
  <si>
    <t>JOSON</t>
  </si>
  <si>
    <t>Naveen Joson</t>
  </si>
  <si>
    <t>naveenjoson@gmail.com</t>
  </si>
  <si>
    <t>p25700543@student.nicmar.ac.in</t>
  </si>
  <si>
    <t>29-Sep-1999</t>
  </si>
  <si>
    <t>6160 5414 4107</t>
  </si>
  <si>
    <t>JOSON MANAVALAN</t>
  </si>
  <si>
    <t>LAKSHMI T</t>
  </si>
  <si>
    <t>62/980 Thottekkat House, Thottekkat Compound, Durbar Hall Road, Kochi</t>
  </si>
  <si>
    <t>BHAVANS VIDYA MANDIR GIRINAGAR COCHIN KERALA</t>
  </si>
  <si>
    <t>SCHOOL  OF ENGINEERING, CUSAT, KOCHI</t>
  </si>
  <si>
    <t>MS Office,Java,Tableau,MySQL</t>
  </si>
  <si>
    <t>Tata Consultancy Services | Assistant Systems Engineer | Kochi, Kerala | Dec 2021 | Jan 2024 | 2Y 0M | 3.88</t>
  </si>
  <si>
    <t>Sobha Limited | Project Management Intern | Hyderabad, Telangana | May 2026 | Jul 2026 | 9 Weeks | Campus Internship
The Fertilisers and Chemicals Travancore Limited | Internship Trainee | Udyogamandal, Ernakulam, Kerala | Jun 2019 | Jun 2019 | 0.71428571428571 Weeks</t>
  </si>
  <si>
    <t>Professional Certificate Course in Data Analytics</t>
  </si>
  <si>
    <t>P25700544</t>
  </si>
  <si>
    <t>NASANAKOTA</t>
  </si>
  <si>
    <t>TARUN</t>
  </si>
  <si>
    <t>Nasanakota Tarun Krishna</t>
  </si>
  <si>
    <t>ntk6219@gmail.com</t>
  </si>
  <si>
    <t>p25700544@student.nicmar.ac.in</t>
  </si>
  <si>
    <t>03-Aug-2001</t>
  </si>
  <si>
    <t>English,Hindi,Telugu,Kannada</t>
  </si>
  <si>
    <t>2423 2106 0439</t>
  </si>
  <si>
    <t>NASANAKOTA RAMA MOHAN</t>
  </si>
  <si>
    <t>NASANAKOTA LEELE</t>
  </si>
  <si>
    <t>7-3-100,Old Bellary Road,Beside Chruch</t>
  </si>
  <si>
    <t>BOARD OF SECONDARY EDUCATION,ANDHRA PRADESH</t>
  </si>
  <si>
    <t>SRI CHAITANYA BOYS JR.COLLEGE</t>
  </si>
  <si>
    <t>BOARD OF INTERMEDIATE EDUCATION,ANDHRA PRADESH</t>
  </si>
  <si>
    <t>Cost control &amp; forecasting , Cashflows Forecasting, Risk Management, MS Office,MS Project,Primavera,Revit,Power BI,Delay analysis,MIS and performance reporting,Job Cost Reporting (JCR),Naviswork,RIB CostX,Quantum analysis</t>
  </si>
  <si>
    <t>L&amp;T Construction | Project Controls  | Bengaluru | Oct 2022 | Jun 2025 | 2Y 8M | 7.3
Ashiana Housing Ltd | Graduate Trainee Engineer | Jaipur | Jun 2022 | Oct 2022 | 0Y 3M | 3.6</t>
  </si>
  <si>
    <t>MASIN PROJECTS | INTERN, QUANTUM DEPARTMENT | GURUGRAM | May 2026 | Jul 2026 | 8.7142857142857 Weeks | Campus Internship</t>
  </si>
  <si>
    <t>Project Management Professional (PMP)Â®-4215403
Essentials of project planning and control(EPCC) 2.0
Oil &amp; Gas Industry Operations and Markets
BIM professional course for Architects and Engineers</t>
  </si>
  <si>
    <t>P25700545</t>
  </si>
  <si>
    <t>KASUKURTHI</t>
  </si>
  <si>
    <t>MAHESH BABU</t>
  </si>
  <si>
    <t>Kasukurthi Mahesh Babu</t>
  </si>
  <si>
    <t>maheshbabuk2003@gmail.com</t>
  </si>
  <si>
    <t>p25700545@student.nicmar.ac.in</t>
  </si>
  <si>
    <t>17-Feb-2003</t>
  </si>
  <si>
    <t>8567 1193 1994</t>
  </si>
  <si>
    <t>KASUKURTHI SRINU</t>
  </si>
  <si>
    <t>KASUKURTHI MAHESH BABU</t>
  </si>
  <si>
    <t>LAKSHMI GANAPTHI BOYS PG, EMERALD PARK-2, PATIL WASTI, PATI NAGAR, BALEWADI</t>
  </si>
  <si>
    <t>14 -121, Ambedkar Nagar, Tanguturu, Prakasam</t>
  </si>
  <si>
    <t>Prakasam</t>
  </si>
  <si>
    <t>ANDHRA PRADESH RESIDENTIAL JUNIOR COLLEGE</t>
  </si>
  <si>
    <t>BOARD OF INTERMEDIATE EDUCATION ANDHARA PRAESH</t>
  </si>
  <si>
    <t>VELAGAPUDI RAMAKRISHNA SIDDHARTHA ENGINEERING COLLEGE VIJAYAWADA</t>
  </si>
  <si>
    <t>Kalpataru projects international limited | Graduate Engineer Trainee | Mangalagiri, Guntur district, Andhra Pradesh  | Jul 2024 | Aug 2025 | 1Y 1M | 4.5</t>
  </si>
  <si>
    <t>Fortress Infracon Limited | Project Management Consultancy Intern | Pune | May 2026 | Jul 2026 | 9.5714285714286 Weeks | Campus Internship
AURO REALITY | GET | HYDERABAD | May 2023 | Jun 2023 | 4.4285714285714 Weeks</t>
  </si>
  <si>
    <t>P25700546</t>
  </si>
  <si>
    <t>ABHIRISHI</t>
  </si>
  <si>
    <t>JASWANT</t>
  </si>
  <si>
    <t>Abhirishi Jaswant Kumar</t>
  </si>
  <si>
    <t>abhirishijk@gmail.com</t>
  </si>
  <si>
    <t>p25700546@student.nicmar.ac.in</t>
  </si>
  <si>
    <t>15-Nov-2002</t>
  </si>
  <si>
    <t>6587 0517 8805</t>
  </si>
  <si>
    <t>MR. JASWANT KUMAR SINGH</t>
  </si>
  <si>
    <t>MRS. ASHA RANI</t>
  </si>
  <si>
    <t>B-204, Ishwari Enclave, Vidyapati Nagar, Kanke Road, Ranchi.</t>
  </si>
  <si>
    <t>DAV PUBLIC SCHOOL, GANDHI NAGAR CCL, RANCHI, JHARKHAND.</t>
  </si>
  <si>
    <t>CENTRAL BOARD OF SECONDARY EDUCATION RANCHI/JHARKHAND</t>
  </si>
  <si>
    <t>DY PATIL UNIVERSITY, PUNE, AMBI</t>
  </si>
  <si>
    <t>DY PATIL UNIVERSITY PUNE/MAHARASHTRA</t>
  </si>
  <si>
    <t>AutoCAD,MS Office,MS Project,Primavera,CostX,Revit,Naviswork</t>
  </si>
  <si>
    <t>GOA STATE INFRASTRUCTURE DEVELOPMENT CORPORATION LIMITED (GSIDC), GOA | SITE EXECUTION INTERN | PANAJI, GOA | May 2026 | Jul 2026 | 8.7142857142857 Weeks | Campus Internship
RAM KRIPAL SINGH CONSTRUCTION PVT. LTD. | Project Management Intern | Ranchi, Jharkhand. | Jun 2024 | Jul 2024 | 4.4285714285714 Weeks
ABHISHEK SOLAR INDUSTRIES PVT. LTD. | SITE ENGINEER | GUMLA, JHARKHAND | Jul 2023 | Aug 2023 | 4.4285714285714 Weeks</t>
  </si>
  <si>
    <t>Student Mobility Program - INTI International University, Malaysia</t>
  </si>
  <si>
    <t>P25700547</t>
  </si>
  <si>
    <t>SRI SAI VENKAT</t>
  </si>
  <si>
    <t>VANKAYALA</t>
  </si>
  <si>
    <t>Sri Sai Venkat Vankayala</t>
  </si>
  <si>
    <t>venkatvankayala23@gmail.com</t>
  </si>
  <si>
    <t>p25700547@student.nicmar.ac.in</t>
  </si>
  <si>
    <t>14-Jul-2004</t>
  </si>
  <si>
    <t>ENGLISH,TELUGU,TAMIL,HINDI</t>
  </si>
  <si>
    <t>4260 1140 5334</t>
  </si>
  <si>
    <t>VANKAYALA KAMESWARA RAO</t>
  </si>
  <si>
    <t>VANKAYALA RATNA LAKSHMI</t>
  </si>
  <si>
    <t>55-14-9/1, Ground Floor , Jayaram Enclave, A.P.S.E.B Layout, Seethammadhara , Visakhapatnam</t>
  </si>
  <si>
    <t>SARANYA CONCEPT SCHOOL</t>
  </si>
  <si>
    <t>CENTRAL BOARD OF SECONDARY EDUCATON , KORINGA POST , KAKINADA</t>
  </si>
  <si>
    <t>ADITYA JUNIOR COLLEGE</t>
  </si>
  <si>
    <t>BOARD OF INTERMEDIATE EDUCATION ANDHRA PRADESH , KAKINADA</t>
  </si>
  <si>
    <t>AMRITA SCHOOL OF ENGINEERING , COIMBATORE</t>
  </si>
  <si>
    <t>AutoCAD,MS Office,MS Project,Sketch Up 3D,BIM</t>
  </si>
  <si>
    <t>VAISAKHI DEVELOPERS | Project Management Intern | Visakhapatnam | May 2026 | Jul 2026 | 9 Weeks | Campus Internship
LIXIL Window System PVT.LTD | Graduate Engineer Trainee | Gurugram, Delhi | Jan 2025 | May 2025 | 16 Weeks
L&amp;T EDUTECH | INDUSTRY INTERNSHIP | CHENNAI | Jul 2023 | Aug 2023 | 1.5714285714286 Weeks
L&amp;T EDUTECH | INDUSTRY INTERNSHIP | Chennai | Jun 2024 | Jul 2024 | 1.5714285714286 Weeks</t>
  </si>
  <si>
    <t>Finance for Non-Financial Managers
NATIONAL STUDENTS PARYAVARAN COMPETITION
Principles of Construction Management
Concreting Techniques and Practices
Building Information Modeling
Safety for Professionals
Precast Members - Systems and Construction
Bridge Engineering Design Practices
Design of Structural Steel Members
Ethics in Engineering Practice</t>
  </si>
  <si>
    <t>P25700548</t>
  </si>
  <si>
    <t>HARISH</t>
  </si>
  <si>
    <t>SALVI</t>
  </si>
  <si>
    <t>Harish Shivaji Salvi</t>
  </si>
  <si>
    <t>salviharish59@gmail.com</t>
  </si>
  <si>
    <t>p25700548@student.nicmar.ac.in</t>
  </si>
  <si>
    <t>3202 2383 2378</t>
  </si>
  <si>
    <t>A/203, Om Sai Kiran, Damodar Nagar, Netivali, Kalyan East</t>
  </si>
  <si>
    <t>LOK KALYAN PUBLIC SCHOOL</t>
  </si>
  <si>
    <t>RAMCHAND KIMATRAM TALREJA COLLEGE OF ARTS, SCIENCE &amp; COMMERCE</t>
  </si>
  <si>
    <t>DIPLOMA IN  CIVIL ENGINEERING</t>
  </si>
  <si>
    <t>G.V. ACHARYA POLYTECHNIC, SHELU</t>
  </si>
  <si>
    <t>A.P. SHAH INSTITUTE OF TECHNOLOGY</t>
  </si>
  <si>
    <t>AutoCAD,MS Office,MS Project,Revit (Architecture)</t>
  </si>
  <si>
    <t>Prestige Estates Projects Limited | Project Management Intern | Mulund | May 2026 | Jul 2026 | 8.5714285714286 Weeks | Campus Internship
Radhika Construction Company | Inplant Trainee Engineer | Dombivli | Jun 2023 | Jul 2023 | 4.2857142857143 Weeks</t>
  </si>
  <si>
    <t>P25700549</t>
  </si>
  <si>
    <t>SHAURYA</t>
  </si>
  <si>
    <t>Shaurya Mishra</t>
  </si>
  <si>
    <t>smishra2032000@gmail.com</t>
  </si>
  <si>
    <t>p25700549@student.nicmar.ac.in</t>
  </si>
  <si>
    <t>20-Mar-2000</t>
  </si>
  <si>
    <t>9295 6617 5131</t>
  </si>
  <si>
    <t>AWANISH KUMAR MISHRA</t>
  </si>
  <si>
    <t>SHABNAM MISHRA</t>
  </si>
  <si>
    <t>QUARTER TYPE V/2, PLOT NO. A/2, DGMS RESIDENTIAL COLONY, NEAR JANATHA MAIDAN, NAYAPALLI, PO RRL CAMPUS</t>
  </si>
  <si>
    <t>4E, Vyas Enclave, Antu Chowk, Tagore Hill Road, Morabadi, Ranchi</t>
  </si>
  <si>
    <t>DHANBAD PUBLIC SCHOOL</t>
  </si>
  <si>
    <t>DHANBAD , JHARKHAND</t>
  </si>
  <si>
    <t>SHIV JYOTI SR SEC SCHOOL</t>
  </si>
  <si>
    <t>KOTA, RAJASTHAN</t>
  </si>
  <si>
    <t>MANIPAL INSTITUTE OF TECHNOLOGY, MANIPAL UDUPI, KARNATAKA</t>
  </si>
  <si>
    <t>Dalmia Bharat Limited | Senior Executive Engineer Civil | Umrangso, Dima Hasao District, Assam | May 2024 | Jun 2025 | 1Y 1M | 5.5</t>
  </si>
  <si>
    <t>TATA STEEL LIMITED | Civil Engineering Intern | Joda, Odisha | May 2026 | Jul 2026 | 8.7142857142857 Weeks | Campus Internship
NHAI ( Chaitanya Projects) | Intern | Sawai Madhopur , Rajasthan | Feb 2022 | May 2022 | 15.857142857143 Weeks
NAGARJUNA CONSTRUCTION COMPANY LTD ( NCC LTD) | INTERN | PATNA | Jul 2021 | Aug 2021 | 4.2857142857143 Weeks</t>
  </si>
  <si>
    <t>Finance for Non Financial Managers by Coursera
NPTEL Ethics in Engineering by IIT Kharagpur
digi QC Project Admin Role
Construction Equipment Maintenance &amp; Safety by  L&amp;T Edtech Coursera</t>
  </si>
  <si>
    <t>P25700550</t>
  </si>
  <si>
    <t>MANGESHRAO</t>
  </si>
  <si>
    <t>KHONDE</t>
  </si>
  <si>
    <t>Krishna Mangeshrao Khonde</t>
  </si>
  <si>
    <t>krishnakhonde39@gmail.com</t>
  </si>
  <si>
    <t>p25700550@student.nicmar.ac.in</t>
  </si>
  <si>
    <t>30-Apr-2004</t>
  </si>
  <si>
    <t>English, Hindi , Marathi</t>
  </si>
  <si>
    <t>4382 9454 4788</t>
  </si>
  <si>
    <t>MANGESH DAMODHARRAO KHONDE</t>
  </si>
  <si>
    <t>SHARDA MANGESHRAO KHONDE</t>
  </si>
  <si>
    <t>C-104,7 AVENUES ,PATIL WASTI , BALEWADI ,PUNE , 411045</t>
  </si>
  <si>
    <t>DEEP NAGAR NO 1, CHATRI TALAO ROAD, AMRAVATI</t>
  </si>
  <si>
    <t>DNYANMATA HIGH SCHOOL</t>
  </si>
  <si>
    <t>NARAYAN JUNIOR COLLEGE</t>
  </si>
  <si>
    <t>TELANGANA STATE BOARD OF INTERMEDIATE EDUCATION, VIDYA BHAVAN, NAMPALLY, HYDERABAD</t>
  </si>
  <si>
    <t>SAVITRIBAI PHULE PUNE UNIVERSITY , GANESHKHIND PUNE,411007</t>
  </si>
  <si>
    <t>D.Y.PATIL COLLEGE OF ENGINEERING, AKURDI , PUNE, MAHARASHTRA</t>
  </si>
  <si>
    <t>AutoCAD,Revit Architecture</t>
  </si>
  <si>
    <t>Vikas Constructions | Project Management Intern | Lonavala, Maharashtra | May 2026 | Jul 2026 | 8.4285714285714 Weeks | Campus Internship
Pethkar Projects | Site Engineer | pune | Dec 2023 | Jan 2024 | 4.4285714285714 Weeks</t>
  </si>
  <si>
    <t>Construction Skill Development Council Of India
Revit Architecture
AUTOCAD</t>
  </si>
  <si>
    <t>P25700551</t>
  </si>
  <si>
    <t>DHARMADHIKARI</t>
  </si>
  <si>
    <t>Atharva Sanjay Dharmadhikari</t>
  </si>
  <si>
    <t>atharvadharmadhikari2001@gmail.com</t>
  </si>
  <si>
    <t>p25700551@student.nicmar.ac.in</t>
  </si>
  <si>
    <t>ENGLISH HINDI MARATHI GERMAN</t>
  </si>
  <si>
    <t>6043 7630 5341</t>
  </si>
  <si>
    <t>SANJAY DHARMADHIKARI</t>
  </si>
  <si>
    <t>SNEHA DHARMADHIKARI</t>
  </si>
  <si>
    <t>Atharva Residency, Govt Colony, Vishrambag, Sangli, 416415</t>
  </si>
  <si>
    <t>ALPHONSA SCHOOL, MIRAJ</t>
  </si>
  <si>
    <t>CAMBRIDGE JUNIOR SCHOOL, MIRAJ</t>
  </si>
  <si>
    <t>PVPIT,BUDHGOAN, SANGLI</t>
  </si>
  <si>
    <t>AutoCAD,MS Office,MS Project,Primavera,Stadd pro,Rcdc,CostX,BIM</t>
  </si>
  <si>
    <t>Revespaces  | Business development  | Pune | May 2026 | Jul 2026 | 8.7142857142857 Weeks | Campus Internship
Rajvardhan Constructions | Civil Engineer | Sangli | Sep 2024 | Jun 2025 | 39.714285714286 Weeks
Gayatri Developers | Junior Engineer | Sangli | Jun 2024 | Aug 2024 | 13 Weeks</t>
  </si>
  <si>
    <t>P25700552</t>
  </si>
  <si>
    <t>TANUJ</t>
  </si>
  <si>
    <t>MADHUKAR</t>
  </si>
  <si>
    <t>SAHARE</t>
  </si>
  <si>
    <t>Tanuj Madhukar Sahare</t>
  </si>
  <si>
    <t>saharetanuj65@gmail.com</t>
  </si>
  <si>
    <t>p25700552@student.nicmar.ac.in</t>
  </si>
  <si>
    <t>24-Sep-1998</t>
  </si>
  <si>
    <t>7880 6902 7367</t>
  </si>
  <si>
    <t>MADHUKAR SAHARE</t>
  </si>
  <si>
    <t>DURGA SAHARE</t>
  </si>
  <si>
    <t>DENA NAGAR , BEHIND BHOLE PETROL PUMP, NH6 , AT POST TAL:- BHUSAWAL</t>
  </si>
  <si>
    <t>Ram Mandir Ward , Ram Mandir Road , Sindewahi</t>
  </si>
  <si>
    <t>TAPTI PUBLIC SCHOOL, BHUSAWAL</t>
  </si>
  <si>
    <t>P.0.NAHATA COLLEGE , BHUSAWAL</t>
  </si>
  <si>
    <t>DR. BABASAHEB AMBEDKAR TECHNOLOGICAL UNIVERSITY, LONERE, RAIGAD</t>
  </si>
  <si>
    <t>SHRI SANT GADGE BABA COLLEGE OF ENGINEERING AND TECHNOLOGY,ZTC, BHUSAWAL</t>
  </si>
  <si>
    <t>AutoCAD,MS Office,MS Project,Primavera,3D MAX,EXCEL</t>
  </si>
  <si>
    <t>M/s. Chaturbhuj Constructions , Bhusawal | Senior Site engineer | Bhusawal | May 2022 | May 2025 | 3Y 0M | 2.2</t>
  </si>
  <si>
    <t>SINGHANIA BUILDCON Pvt. Ltd | PLanning , Site execution and Control | Raipur | May 2026 | Jul 2026 | 8.7142857142857 Weeks | Campus Internship
Jivan Pramod Sarode | Site Engineer | BHusawal | Dec 2021 | Apr 2022 | 21.428571428571 Weeks
Dhananjay Nath Tiwari | Intern at site | Bhusawal | Dec 2018 | Dec 2018 | 2.1428571428571 Weeks</t>
  </si>
  <si>
    <t>Elementary and Intermediate grade Drawing Examination
E Tendering programme
Auto Cad , 3d MAX</t>
  </si>
  <si>
    <t>P25700553</t>
  </si>
  <si>
    <t>SAMEEP</t>
  </si>
  <si>
    <t>KUMBALKAR</t>
  </si>
  <si>
    <t>Sameep Jagdish Kumbalkar</t>
  </si>
  <si>
    <t>sameepk31@gmail.com</t>
  </si>
  <si>
    <t>p25700553@student.nicmar.ac.in</t>
  </si>
  <si>
    <t>31-Jul-2003</t>
  </si>
  <si>
    <t>4147 9757 1147</t>
  </si>
  <si>
    <t>JAGDISH BHAGWANTRAO KUMBALKAR</t>
  </si>
  <si>
    <t>SUJATA JAGDISH KUMBALKAR</t>
  </si>
  <si>
    <t>FLAT 605 AMAR SERINITY E WING PASHAN PUNE 411021</t>
  </si>
  <si>
    <t>12, VIJSNEHI COLONY KATHORA ROAD AMRAVATI 444604</t>
  </si>
  <si>
    <t>TOMOAE PRIMARY ENGLISH MEDIUM SCHOOL , RAHATGAON</t>
  </si>
  <si>
    <t>COUNCIL FOR INDIAN SCHOOL CERTIFICATE EXAMINATIONS , NEW DELHI</t>
  </si>
  <si>
    <t>P. R. POTE PATIL KANISHTHA MAHAVIDYALAYA , AMRAVATI</t>
  </si>
  <si>
    <t>MAHARASHTRA STATE BOARD OF SECONDARY AND HIGHER EDUCATION , PUNE</t>
  </si>
  <si>
    <t>AISSMS COLLEGE OF ENGINEERING , PUNE</t>
  </si>
  <si>
    <t>Pyramid Lifestyle LLP | Intern - Civil Dep. | Balewadi , Pune | May 2026 | Jul 2026 | 8.4285714285714 Weeks | Campus Internship
HAARDHIK IMPULSE DEVELOPERS LLP | TRAINEE ENGINEER | MOSHI , PUNE 412105 | Dec 2023 | Jan 2024 | 4.4285714285714 Weeks</t>
  </si>
  <si>
    <t>P25700554</t>
  </si>
  <si>
    <t>Shubham Dilip Shinde</t>
  </si>
  <si>
    <t>shubhamshinde5175@gmail.com</t>
  </si>
  <si>
    <t>p25700554@student.nicmar.ac.in</t>
  </si>
  <si>
    <t>04-Mar-2000</t>
  </si>
  <si>
    <t>marathi, english,hindi</t>
  </si>
  <si>
    <t>7847 5502 8276</t>
  </si>
  <si>
    <t>VANITA</t>
  </si>
  <si>
    <t>604 Brindavan Vatika, Near KDMC B WARD OFFICE, OPP. Cinemax, Barave Road, Khadakpada, Kalyan(W)</t>
  </si>
  <si>
    <t>SHREE  GAJANAN VIDHALAY</t>
  </si>
  <si>
    <t>K. M. AGARRWAL</t>
  </si>
  <si>
    <t>S.H. JONDHALE COLLEGE  POLYTECHNIC DOMBIVLI</t>
  </si>
  <si>
    <t>M.G.M COLLEGE OF ENGINEERING AND TECHNOLOGY. KAMOTHE.</t>
  </si>
  <si>
    <t>PSP Projects | Civil Intern | mahim, mumbai | May 2026 | Jul 2026 | 8.7142857142857 Weeks | Campus Internship
Ethics Infotech | intern  | Thane | May 2019 | Jun 2019 | 5.8571428571429 Weeks
Eagle Design And Construction | intern  | kalyan | Oct 2024 | Jan 2025 | 13.571428571429 Weeks</t>
  </si>
  <si>
    <t>P25700555</t>
  </si>
  <si>
    <t>KARTIK</t>
  </si>
  <si>
    <t>SHELKE</t>
  </si>
  <si>
    <t>Kartik Sunil Shelke</t>
  </si>
  <si>
    <t>kartikshelke976@gmail.com</t>
  </si>
  <si>
    <t>p25700555@student.nicmar.ac.in</t>
  </si>
  <si>
    <t>6191 2097 1746</t>
  </si>
  <si>
    <t>SUNIL SHELKE</t>
  </si>
  <si>
    <t>LATA SHELKE</t>
  </si>
  <si>
    <t>PARK CONNECT RAJIV GANDHI IT PARK, HINJEWADI PHASE 1 , 411057</t>
  </si>
  <si>
    <t>Samarth Super Shop, Ekta Nagar , Buldana , 443001</t>
  </si>
  <si>
    <t>BHARAT VIDAYALAYA BULDANA</t>
  </si>
  <si>
    <t>SHARAD PAWAR VIDYALAYA AND KANISTHA MAHAVIDYALAYA BULDANA</t>
  </si>
  <si>
    <t>DR.D Y PATIL INSTITUTE OF ENGINEERING MANAGEMENT AND RESEARCH,PUNE</t>
  </si>
  <si>
    <t>AutoCAD,MS Office,MS Project,Oracle Fusion</t>
  </si>
  <si>
    <t>Kirloskar Ferrous Industries limited | Senior Engineer | Baramati | Oct 2024 | May 2025 | 0Y 7M | 4.65
Kirloskar Ferrous Industries limited | Graduate Enginner Trainee | Baramati | Oct 2023 | Oct 2024 | 0Y 11M | 4</t>
  </si>
  <si>
    <t>EZ Realty | Management Consultant | Kharadi , Pune | May 2026 | Jul 2026 | 8.7142857142857 Weeks | Campus Internship</t>
  </si>
  <si>
    <t>P25700557</t>
  </si>
  <si>
    <t>JAYWANT</t>
  </si>
  <si>
    <t>Chinmay Jaywant Patil</t>
  </si>
  <si>
    <t>patilchinmay2000@gmail.com</t>
  </si>
  <si>
    <t>p25700557@student.nicmar.ac.in</t>
  </si>
  <si>
    <t>14-Nov-2000</t>
  </si>
  <si>
    <t>6774 2379 2603</t>
  </si>
  <si>
    <t>JAYWANT RAGHO PATIL</t>
  </si>
  <si>
    <t>SUSHILA</t>
  </si>
  <si>
    <t>FLAT NO-403, 4TH FLOOR, AURUS SOCIETY, VIRBHADRA NAGAR, BANER- PUNE</t>
  </si>
  <si>
    <t>Plot No- 319, Near Vajreshwari Temple, Shivaji Nagar, Jalgaon</t>
  </si>
  <si>
    <t>LALJI NARAYANJI SARVAJANIK VIDYALAY, JALGAON</t>
  </si>
  <si>
    <t>SECONDARY AND HIGHER SECONDARY EDUCATION, PUNE/MAHARSHTRA</t>
  </si>
  <si>
    <t>GOVERNMENT POLYTECHNIC, AWSARI(KH), PUNE</t>
  </si>
  <si>
    <t>SINHGAD ACADEMY OF ENGINEERING, PUNE</t>
  </si>
  <si>
    <t>MSP (Microsoft Project), Primavera P6, SAP (ERP), MS Office, Revit, Intermediate Drawing Grade Examination, MS- CIT, KLiC Certificate Courses of AutoCAD</t>
  </si>
  <si>
    <t>J. K. Construction | Site Engineer | Pune | Sep 2023 | Mar 2024 | 0Y 6M | 1
Ganesh B. Dabak | Site Engineer | Pune | Apr 2024 | Apr 2025 | 1Y 0M | 1.1</t>
  </si>
  <si>
    <t>NIRTMITEE | TRAINEE ENGINEER | VILE PAREL (EAST), MUMBAI | Mar 2022 | Apr 2022 | 6.5714285714286 Weeks
Hiranandani Group | Project Contract and Planning Intern | Powai, Mumbai | May 2026 | Jul 2026 | 9 Weeks</t>
  </si>
  <si>
    <t>MS- CIT
Intermediate Drawing Grade Examination
KLiC Certificate Course in AutoCAD</t>
  </si>
  <si>
    <t>P25700558</t>
  </si>
  <si>
    <t>YADHNESHRAJE</t>
  </si>
  <si>
    <t>Yadhneshraje Kishor Burade</t>
  </si>
  <si>
    <t>yadhnesh01@gmail.com</t>
  </si>
  <si>
    <t>p25700558@student.nicmar.ac.in</t>
  </si>
  <si>
    <t>22-Oct-2001</t>
  </si>
  <si>
    <t>Hindi, Marathi, English</t>
  </si>
  <si>
    <t>7253 0245 6462</t>
  </si>
  <si>
    <t>KISHOR S. BURADE</t>
  </si>
  <si>
    <t>GOVERMENT SERVENT</t>
  </si>
  <si>
    <t>JYOTI S. BURADE</t>
  </si>
  <si>
    <t>BALEWADI, PUNE, MAHARASHTRA</t>
  </si>
  <si>
    <t>Mahal, Nagpur, Maharashtra</t>
  </si>
  <si>
    <t>NITYANAND VIDYALAY</t>
  </si>
  <si>
    <t>NAGPUR</t>
  </si>
  <si>
    <t>NANDANWAN HIGH SCHOOL</t>
  </si>
  <si>
    <t>PRIYADARSHINI INSTITUTE OF ARCHITECTURE AND DESIGN STUDIES</t>
  </si>
  <si>
    <t>AutoCAD,MS Office,Photoshop,Lumion,Sketchup,Blender,Revit</t>
  </si>
  <si>
    <t>SHITESH AGRAWAL ARCHITECTS PVT. LTD. | ARCHITECTURAL INTERN | PUNE | Jan 2023 | Sep 2023 | 34 Weeks</t>
  </si>
  <si>
    <t>BIM Fundamentals for Engineers
Finance for Non-Financial Managers</t>
  </si>
  <si>
    <t>P25700559</t>
  </si>
  <si>
    <t>GADA</t>
  </si>
  <si>
    <t>Anant Gada</t>
  </si>
  <si>
    <t>anantgada5011@gmail.com</t>
  </si>
  <si>
    <t>p25700559@student.nicmar.ac.in</t>
  </si>
  <si>
    <t>21-Feb-2003</t>
  </si>
  <si>
    <t>ENGLISH ,KANNADA ,HINDI , TELUGU</t>
  </si>
  <si>
    <t>8334 8418 8547</t>
  </si>
  <si>
    <t>SURENDRA GADA</t>
  </si>
  <si>
    <t>VEENA S GADA</t>
  </si>
  <si>
    <t>HNO 1-6/3,Garden Road,Gada Complex , Vasant Rao Jajee Layout_x000D_</t>
  </si>
  <si>
    <t>SWAMINARAYAN INTERNATIONAL SCHOOL GULBARGA</t>
  </si>
  <si>
    <t>GURUKUL PU COLLEGEOF SC</t>
  </si>
  <si>
    <t>DEPARTMENT OF PRE-UNIVERSITY EDUCTATION,KARNATAKA</t>
  </si>
  <si>
    <t>AutoCAD,MS Office,MS Project,Primavera,Revit,SketchUp,Photoshop,Canva,D5</t>
  </si>
  <si>
    <t>Ahluwalia Contracts (India) Limited | Tendering &amp; Technical Coordination Intern | New Delhi | May 2026 | Jul 2026 | 8.7142857142857 Weeks | Campus Internship
SANKALP ASSOCIATES | INTERN  | KALABURAGI  | Dec 2024 | Apr 2025 | 15.857142857143 Weeks
EdiGlobe | Construction Planning Intern | Remote | Mar 2026 | May 2026 | 8.7142857142857 Weeks</t>
  </si>
  <si>
    <t>P25700560</t>
  </si>
  <si>
    <t>INDULE</t>
  </si>
  <si>
    <t>Rohit Sanjay Indule</t>
  </si>
  <si>
    <t>rohitindule@gmail.com</t>
  </si>
  <si>
    <t>p25700560@student.nicmar.ac.in</t>
  </si>
  <si>
    <t>06-Feb-2002</t>
  </si>
  <si>
    <t>8931 4429 5243</t>
  </si>
  <si>
    <t>Flat No. E - 1103, The Metropolitan Society, Opposite Darshan Hall, Pimpri-Chinchwad Link Road, Chinchwad, Pune 411033</t>
  </si>
  <si>
    <t>CITY INTERNATONAL SCHOOL AUNDH PUNE MR</t>
  </si>
  <si>
    <t>THE ORCHID SCHOOL PUNE MAHARASHTRA</t>
  </si>
  <si>
    <t>PIMPRI CHINCHWAD EDUCATION TRUST'S  PIMPRI CHINCHWAD COLLEGE OF ENGINEERING NIGDI PUNE</t>
  </si>
  <si>
    <t>EZ Realty | Real Estate Marketing Intern | PUNE | May 2026 | Jul 2026 | 8.7142857142857 Weeks | Campus Internship
know How Schools LLP | Onsite Civil Training Intern (Building Construction)) | Pune | Jun 2023 | Jul 2023 | 4.2857142857143 Weeks</t>
  </si>
  <si>
    <t>P25700561</t>
  </si>
  <si>
    <t>ROHAN KUMAR</t>
  </si>
  <si>
    <t>RAMADUGU</t>
  </si>
  <si>
    <t>Rohan Kumar Ramadugu</t>
  </si>
  <si>
    <t>rohankumarramadugu@gmail.com</t>
  </si>
  <si>
    <t>p25700561@student.nicmar.ac.in</t>
  </si>
  <si>
    <t>14-Sep-2001</t>
  </si>
  <si>
    <t>ENGLISH, HINDI AND TELUGU</t>
  </si>
  <si>
    <t>8250 2153 3467</t>
  </si>
  <si>
    <t>RAMADUGU SREENIVASULU</t>
  </si>
  <si>
    <t>RAMADUGU SRIDEVI</t>
  </si>
  <si>
    <t>H.no 6-3-1113 JM Apartment, Flat No 102, 1st Floor, Nishat Bagh Colony, Somajiguda, Hyderabad, Telangana</t>
  </si>
  <si>
    <t>BOARD OF SECONDARY EDUCATION, TELANGANA STATE</t>
  </si>
  <si>
    <t>DELTA JUNIOR COLLEGE</t>
  </si>
  <si>
    <t>JAWAHARLAL NEHRU ARCHITECTURE AND FINE ARTS UNIVERSITY, SPA</t>
  </si>
  <si>
    <t>AutoCAD,MS Office,MS Project,Primavera,Revit,BIM,Navisworks,CostX,SketchUp,Adobe Photoshop,Adobe Indesign,Lumion</t>
  </si>
  <si>
    <t>Team One India Pvt.Ltd | Architect (Design Co-ordination) | Hyderabad, Telangana | Jul 2024 | Jun 2025 | 0Y 11M | 3.6</t>
  </si>
  <si>
    <t>Cherry Hill Interiors Pvt Ltd | Project Management Intern | Hyderabad, Telangana | May 2026 | Jul 2026 | 8.5714285714286 Weeks | Campus Internship
LIQUID SPACE ARCHITECTURE AND DESIGN PVT.LTD | Architectural Intern | HYDERABAD, TELANGANA | Jul 2023 | Dec 2023 | 20 Weeks</t>
  </si>
  <si>
    <t>IGBC AP Associate from CII - Indian Green Building Council (IGBC)
Lean Six Sigma Green Belt Certificate from KPMG
Certificate of Achievement/Solar Decathlon India
Certificate of Participation/The Indian Institute of Architects
Ethics in Engineering Practice from NPTEL
Introduction to Japanese Language and Culture from NPTEL
Certificate of Appreciation / Student Volunteer for ICCRIP held at NICMAR University
Certificate of Participation/ATELIER INTERNATIONAL D'ARCHITECTURE CONSTRUITE
Certificate of Completion/Self-Learning Modules on Net-Zero Energy and Water Buildings
Certificate of Participation/Solar Decathlon India</t>
  </si>
  <si>
    <t>P25700562</t>
  </si>
  <si>
    <t>CS DEVADATHAN</t>
  </si>
  <si>
    <t>NAMBOOTHIRY</t>
  </si>
  <si>
    <t>Cs Devadathan Namboothiry</t>
  </si>
  <si>
    <t>devadathanchandramana@gmail.com</t>
  </si>
  <si>
    <t>p25700562@student.nicmar.ac.in</t>
  </si>
  <si>
    <t>English, Malayalam,Tamil</t>
  </si>
  <si>
    <t>6513 0758 0801</t>
  </si>
  <si>
    <t>CS SREEDHARAN NAMBOOTHIRY</t>
  </si>
  <si>
    <t>COOPERATIVE EMPLOYEE</t>
  </si>
  <si>
    <t>GEETHA DEVI M</t>
  </si>
  <si>
    <t>Chandramana _x000D_
Pathirappally.P.O_x000D_
Alappuzha</t>
  </si>
  <si>
    <t>MATHA SENIOR SECONDARY SCHOOL</t>
  </si>
  <si>
    <t>CBSE BOARD - ALAPPUZHA , KERALA</t>
  </si>
  <si>
    <t>HSS THIRUVAMBADY</t>
  </si>
  <si>
    <t>DHSE BOARD -ALAPPUZHA, KERALA</t>
  </si>
  <si>
    <t>RAJAGIRI SCHOOL OF ENGINEERING AND TECHNOLOGY ,ERNAKULAM , KERALA</t>
  </si>
  <si>
    <t>AutoCAD,MS Project,Primavera,eQUEST</t>
  </si>
  <si>
    <t>J &amp; J CONSTRUCTION | INTERN | THIRUVANANTHAPURAM, VAIKOM | Jul 2024 | Jul 2024 | 1.2857142857143 Weeks</t>
  </si>
  <si>
    <t>P25700563</t>
  </si>
  <si>
    <t>ANTONY</t>
  </si>
  <si>
    <t>THOMAS</t>
  </si>
  <si>
    <t>Antony Thomas</t>
  </si>
  <si>
    <t>antonykt2000@gmail.com</t>
  </si>
  <si>
    <t>p25700563@student.nicmar.ac.in</t>
  </si>
  <si>
    <t>18-Mar-2000</t>
  </si>
  <si>
    <t>7689 3134 1942</t>
  </si>
  <si>
    <t>K.PAUL THOMAS</t>
  </si>
  <si>
    <t>INSURANCE AGENT</t>
  </si>
  <si>
    <t>JIBI THOMAS</t>
  </si>
  <si>
    <t>HOUSE NO. 92A_x000D_
KURUSSUVEETTIL HOUSE_x000D_
THOTTUMUGHOM P.O, ALUVA</t>
  </si>
  <si>
    <t>MAR ATHANASIUS COLLEGE OF ENGINEERING, KOTHAMANGALAM</t>
  </si>
  <si>
    <t>AutoCAD, Revit, Navisworks, MS Office, MS Project, Primavera, RIB CostX, Facts ERP</t>
  </si>
  <si>
    <t>ASTRA ENGINEERING &amp; CONSTRUCTION LLC | ENGINEER - PLANNING | SHARJAH, UNITED ARAB EMIRATES | Jun 2023 | Apr 2025 | 1Y 10M | 15.18</t>
  </si>
  <si>
    <t>JYOTI STRUCTURES LIMITED | SUMMER INTERN | GUJARAT | May 2026 | Jul 2026 | 8.5714285714286 Weeks | Campus Internship</t>
  </si>
  <si>
    <t>PRIMAVERA WITH PPM CONCEPTS
REVIT ARCHITECTURE
AutoCAD (CIVIL)</t>
  </si>
  <si>
    <t>P25700564</t>
  </si>
  <si>
    <t>JALLELA</t>
  </si>
  <si>
    <t>Dinesh Yadav Jallela</t>
  </si>
  <si>
    <t>dineshjallela@gmail.com</t>
  </si>
  <si>
    <t>p25700564@student.nicmar.ac.in</t>
  </si>
  <si>
    <t>15-Oct-2002</t>
  </si>
  <si>
    <t>3821 8084 7178</t>
  </si>
  <si>
    <t>JALLELA LAXMAIAH</t>
  </si>
  <si>
    <t>JALLELA SHIVALEELA</t>
  </si>
  <si>
    <t>PLOT NO 100, SAI BRUNDAVAN COLONY, RAGANNAGUDA, RANGAREDDY, TELANGANA</t>
  </si>
  <si>
    <t>Ranga Reddy</t>
  </si>
  <si>
    <t>IICT ZM HIGH SCHOOL</t>
  </si>
  <si>
    <t>JN GOVERNMENT POLYTECHNIC, RAMANTHAPUR, HYDERABAD</t>
  </si>
  <si>
    <t>ACE ENGINEERING COLLEGE, MEDCHAL-MALKAJGIRI, TELANGANA</t>
  </si>
  <si>
    <t>AutoCAD,BIM,CostX,MS Office,MS Project,Primavera P6,STAAD Pro,Documentation,Teamwork</t>
  </si>
  <si>
    <t>Pramukh Omkar Group | Construction Management Intern | Gandhinagar, Gujarat | May 2026 | Jul 2026 | 8.7142857142857 Weeks | Campus Internship
Internshala Trainings | Technical Trainee | Hyderabad | Apr 2023 | May 2023 | 6.2857142857143 Weeks
Greater Hyderabad Municipal Corporation | Summer Intern Trainee | Uppal, Hyderabad | Jun 2020 | Dec 2020 | 26 Weeks</t>
  </si>
  <si>
    <t>Certificate program in Contract Management</t>
  </si>
  <si>
    <t>P25700565</t>
  </si>
  <si>
    <t>LOKESH</t>
  </si>
  <si>
    <t>S.</t>
  </si>
  <si>
    <t>MARGHADE</t>
  </si>
  <si>
    <t>Lokesh S. Marghade</t>
  </si>
  <si>
    <t>lmarghade2003@gmail.com</t>
  </si>
  <si>
    <t>p25700565@student.nicmar.ac.in</t>
  </si>
  <si>
    <t>02-May-2003</t>
  </si>
  <si>
    <t>2712 8747 0207</t>
  </si>
  <si>
    <t>LIFE REPUBLIC R16, MARUNJI, PUNE</t>
  </si>
  <si>
    <t>Babaji Nivas, Near Aditi Automobile, Deoli, Wardha</t>
  </si>
  <si>
    <t>JNATA VIDYALAYA PAWAN NAGAR, CIDCO, NASHIK</t>
  </si>
  <si>
    <t>MAHARASHTRA STATE BOARD OF SECONDARY AND HIGHER SECONDARY EDUCATION, NASHIK/ MAHARASHTRA</t>
  </si>
  <si>
    <t>ACHARYA SHRIMANNARAYAN POLYTECHNIC PIPRI, WARDHA/ MAHARASHTRA</t>
  </si>
  <si>
    <t>ST. VINCENT PALLOTTI COLLEGE OF ENGINEERING &amp; TECHNOLOGY, NAGPUR/ MAHARASHTRA</t>
  </si>
  <si>
    <t>AutoCAD,MS Office,MS Project,Primavera,Naviswork,Revit Architecture</t>
  </si>
  <si>
    <t>PLA PROJECT PRIVATE LIMITED | TRAINEE ENGINEER | NAGPUR | Dec 2024 | Apr 2025 | 19 Weeks
R Sandesh LLP | Construction Management Trainee | Nagpur | May 2026 | Jul 2026 | 9.5714285714286 Weeks</t>
  </si>
  <si>
    <t>P25700566</t>
  </si>
  <si>
    <t>Akhil V</t>
  </si>
  <si>
    <t>akhilvenugopal08@gmail.com</t>
  </si>
  <si>
    <t>p25700566@student.nicmar.ac.in</t>
  </si>
  <si>
    <t>08-May-1999</t>
  </si>
  <si>
    <t>English Hindi Malayalam</t>
  </si>
  <si>
    <t>7921 2701 9603</t>
  </si>
  <si>
    <t>VENUGOPALAN NAIR A</t>
  </si>
  <si>
    <t>RETIRED GOVT SERVANT</t>
  </si>
  <si>
    <t>B S BINDU KUMARI</t>
  </si>
  <si>
    <t>Suresh Sadanam, Kalliyoor P.o Vallamcode Thiruvananthapuram</t>
  </si>
  <si>
    <t>KENDRIYA VIDYALAYA PATTOM THIRUVANANTHAPURAM</t>
  </si>
  <si>
    <t>CENTRAL BOARD OF SECONDRY EDUCATION, DELHI</t>
  </si>
  <si>
    <t>A P J ABDUL KALAM TECHNOLOGICAL UNIVERSITY</t>
  </si>
  <si>
    <t>MAR BASELIOS COLLEGE OF ENGINEERING &amp; TECHNOLOGY, THIRUVANANTHAPURAM</t>
  </si>
  <si>
    <t>Uralungal Labour Contractive co-operative Society | Site Engineer | Trivandrum | Dec 2022 | Dec 2024 | 2Y 0M | 3</t>
  </si>
  <si>
    <t>E-Construct Design &amp; Build Pvt Ltd | Management Intern | Banglore | May 2026 | Jun 2026 | 8.1428571428571 Weeks | Campus Internship
P.W.D Special Buildings Section Thiruvananthapuram | Site Intern | Thiruvananthapuram | Jul 2019 | Jul 2019 | 0.57142857142857 Weeks
P.W.D Bridges section Thiruvananthapuram | Site intern | Thiruvananthapuram | Jun 2018 | Jul 2018 | 2.1428571428571 Weeks</t>
  </si>
  <si>
    <t>Microsoft Project for Project Manager &amp; Civil Engineers
Proffesional Certificate in Project Management</t>
  </si>
  <si>
    <t>P25700567</t>
  </si>
  <si>
    <t>VISHAD</t>
  </si>
  <si>
    <t>Vishad Ramesh Patil</t>
  </si>
  <si>
    <t>vishad.patil2001@gmail.com</t>
  </si>
  <si>
    <t>p25700567@student.nicmar.ac.in</t>
  </si>
  <si>
    <t>26-Apr-2001</t>
  </si>
  <si>
    <t>2021 0722 6038</t>
  </si>
  <si>
    <t>RAMESH PATIL</t>
  </si>
  <si>
    <t>EXPIRE</t>
  </si>
  <si>
    <t>SANDHYA PATIL</t>
  </si>
  <si>
    <t>C-17/202, Shree Sagar Darshan CHS, Sector-16, Nerul, Navi Mumbai</t>
  </si>
  <si>
    <t>MAHATMA GANDHI MISSION PRIMARY &amp; SECONDARY SCHOOL, NERUL</t>
  </si>
  <si>
    <t>CENTRAL BOARD OF SECONDARY EDUCATION (CBSE), NAVI MUMBAI/MAHARASHTRA</t>
  </si>
  <si>
    <t>MAHARASHTRA STATE BOARD OF TECHNICAL EDUCATION</t>
  </si>
  <si>
    <t>AGNEL POLYTECHNIC, VASHI, NAVI MUMBAI/MAHARASHTRA</t>
  </si>
  <si>
    <t>MAHATMA GANDHI MISSION'S COLLEGE OF ENGINEERING &amp; TECHNOLOGY</t>
  </si>
  <si>
    <t>DMart - Avenue Supermarts Limited | GET - Procurement | Thane, Maharashtra | Jan 2025 | May 2025 | 0Y 4M | 4
Biltrax Construction Data | Analyst | Turbhe, Navi Mumbai | Aug 2023 | Oct 2024 | 1Y 2M | 1.92</t>
  </si>
  <si>
    <t>PSP Projects Limited | Civil - Intern | Mumbai, Maharashtra | May 2026 | Jul 2026 | 8.7142857142857 Weeks | Campus Internship
J.KUMAR INFRAPROJECTS LTD. | INTERN | WAHAL, ULWE | May 2019 | Jun 2019 | 5.8571428571429 Weeks</t>
  </si>
  <si>
    <t>P25700568</t>
  </si>
  <si>
    <t>TOKALE</t>
  </si>
  <si>
    <t>Rutuja Dhanaji Tokale</t>
  </si>
  <si>
    <t>rututokale2000@gmail.com</t>
  </si>
  <si>
    <t>p25700568@student.nicmar.ac.in</t>
  </si>
  <si>
    <t>01-Jan-2001</t>
  </si>
  <si>
    <t>4624 8815 8830</t>
  </si>
  <si>
    <t>DHANAJI GANAPATRAO TOKALE</t>
  </si>
  <si>
    <t>SATYABHAMA TOKALE</t>
  </si>
  <si>
    <t>Reddy Colony, College Road, Behind Reddy Petrol Pump, Ahmedpur</t>
  </si>
  <si>
    <t>YESHAWANT VIDYALAYA, AHMEDPUR.</t>
  </si>
  <si>
    <t>SAVITRIBAI PHULE PUNE UNVIVERSITY</t>
  </si>
  <si>
    <t>D. Y. PATIL SCHOOL OF ARCHITECTURE, AMBI, PUNE, MAHARASHTRA</t>
  </si>
  <si>
    <t>AutoCAD,MS Office,Sketchup,Vray,Enscape,Lumion,Photoshop</t>
  </si>
  <si>
    <t>Hauspire Luxury Interiors | Junior Architect | Pune | Mar 2024 | Mar 2025 | 1Y 0M | 2</t>
  </si>
  <si>
    <t>Medigence solutions | Project management role | Ahmedabad | May 2026 | Jul 2026 | 8.7142857142857 Weeks | Campus Internship</t>
  </si>
  <si>
    <t>Leadership and emotional intelligence
Project Network
Coursera - Digital Manufacturing &amp; Design</t>
  </si>
  <si>
    <t>P25700569</t>
  </si>
  <si>
    <t>HARSHARAJ</t>
  </si>
  <si>
    <t>Harsharaj Singh</t>
  </si>
  <si>
    <t>harsharaj2099@gmail.com</t>
  </si>
  <si>
    <t>p25700569@student.nicmar.ac.in</t>
  </si>
  <si>
    <t>20-Oct-1999</t>
  </si>
  <si>
    <t>English,Hindi,Bengali</t>
  </si>
  <si>
    <t>2958 3452 1847</t>
  </si>
  <si>
    <t>PURUSHOTTAM KUMAR SINGH</t>
  </si>
  <si>
    <t>LT MEENAKSHI SINGH</t>
  </si>
  <si>
    <t>D12 806, Shriram Grand City,Konnagar</t>
  </si>
  <si>
    <t>HOLY HOME, SERAMPORE</t>
  </si>
  <si>
    <t>COUNCIL FOR THE INDIAN SCHOOL CERTIFICATE EXAMINATIONS,NEW DELHI</t>
  </si>
  <si>
    <t>SIDDAGANGA INSTITUTE OF TECHNOLOGY, KARNATAKA</t>
  </si>
  <si>
    <t>Adani Infra (India) Ltd | Graduate Engineer Trainee-Project Management | Mundra,Gujarat | Aug 2022 | Apr 2023 | 0Y 8M | 6</t>
  </si>
  <si>
    <t>Ernst &amp; Young LLP | Business Consulting Risk | Ahmedabad | May 2026 | Jul 2026 | 8.2857142857143 Weeks | Campus Internship</t>
  </si>
  <si>
    <t>P25700570</t>
  </si>
  <si>
    <t>Patil Jay Sunil</t>
  </si>
  <si>
    <t>rohanpati6279@gmail.com</t>
  </si>
  <si>
    <t>p25700570@student.nicmar.ac.in</t>
  </si>
  <si>
    <t>20-Jun-2000</t>
  </si>
  <si>
    <t>4050 6933 1656</t>
  </si>
  <si>
    <t>SUNIL JIJABRAO PATIL</t>
  </si>
  <si>
    <t>SWATI SUNIL PATIL</t>
  </si>
  <si>
    <t>Uttam Bhai Chal Taloda Road, Nandurbar</t>
  </si>
  <si>
    <t>SMT. HIRIBEN GOVINDDAS SHROFF HIGHSCHOOL</t>
  </si>
  <si>
    <t>UPADHYE COLLEGE OF SCIENCE, NASHIK</t>
  </si>
  <si>
    <t>MET BHUJBAL KNOWLEDGE CITY, NASHIK</t>
  </si>
  <si>
    <t>NORTH MAHARASHTRA UNIVERSITY JALGAON</t>
  </si>
  <si>
    <t>SHRI JAYKUMAR RAVAL INSTITUTE OF TECHNOLOGY DONDAICHA DHULE</t>
  </si>
  <si>
    <t>P25700571</t>
  </si>
  <si>
    <t>OMPRAKASH</t>
  </si>
  <si>
    <t>HEDA</t>
  </si>
  <si>
    <t>Abhishek Omprakash Heda</t>
  </si>
  <si>
    <t>hedaabhishek9@gmail.com</t>
  </si>
  <si>
    <t>p25700571@student.nicmar.ac.in</t>
  </si>
  <si>
    <t>09-May-2001</t>
  </si>
  <si>
    <t>8263 3506 5451</t>
  </si>
  <si>
    <t>OMPRAKASH HEDA</t>
  </si>
  <si>
    <t>SONAL HEDA</t>
  </si>
  <si>
    <t>19, Mahesh Nagar, Behind Dmart, Badnera Road, Amravati</t>
  </si>
  <si>
    <t>JUBLI ENGLISH HIGH SCHOOL AKOLA MAHARASHTRA</t>
  </si>
  <si>
    <t>CBSE, AKOLA MAHARASHTRA</t>
  </si>
  <si>
    <t>GOVERNMENT POLYTECHNIC, ARVI, WARDHA</t>
  </si>
  <si>
    <t>ST. VINCENT PALLOTTI COLLEGE OF ENGINEERING &amp; TECHNOLOGY, NAGPUR, MAHARASHTRA</t>
  </si>
  <si>
    <t>INTEGRITY CONSTRUCTION PVT. LTD. | SITE/FIELD INTERN | NAGPUR | Jan 2024 | Apr 2024 | 14 Weeks</t>
  </si>
  <si>
    <t>Ethics in Engineering Practice
Green Building Assessment &amp;  Certification
Project Management</t>
  </si>
  <si>
    <t>P25700572</t>
  </si>
  <si>
    <t>MANGAONKAR</t>
  </si>
  <si>
    <t>Swapnil Sanjay Mangaonkar</t>
  </si>
  <si>
    <t>swapnilmangaonkar10@gmail.com</t>
  </si>
  <si>
    <t>p25700572@student.nicmar.ac.in</t>
  </si>
  <si>
    <t>3424 4046 1914</t>
  </si>
  <si>
    <t>1/15,sahakar Niwas ,haryali Village_x000D_
Ganesh Marg, Vikhroli (E), Mumbai - 40083</t>
  </si>
  <si>
    <t>VIKAS HIGH SCHOOL, VIKHROLI, MUMBAI</t>
  </si>
  <si>
    <t>DIPLOMA IN CIVIL ENGINEERING (DCE)</t>
  </si>
  <si>
    <t>VEERMATA JIJABAI TECHNOLOGICAL INSTITUTE, MATUNGA, MUMBAI</t>
  </si>
  <si>
    <t>NEW HORIZON INSTITUTE OF TECHNOLOGY AND MANAGEMENT, THANE</t>
  </si>
  <si>
    <t>Aurum Girnar Pvt. Ltd | PMC Execution - Junior Site Engineer | Q parc, Ghansoli, Navi Mumbai | Nov 2022 | Jun 2025 | 2Y 7M | 4.75</t>
  </si>
  <si>
    <t>2 Years 7 Months</t>
  </si>
  <si>
    <t>Firstspace Development Management Private Limited | Intern - Projects | Bkc, Mumbai | May 2026 | Jun 2026 | 8.1428571428571 Weeks | Campus Internship
AURUM PLATZ IT PVT LTD | CIVIL ENGINEER INTERN | GHANSOLI | Jul 2022 | Sep 2022 | 13 Weeks</t>
  </si>
  <si>
    <t>Mr. Swapnil Mangaonkar, Prof. Yashwanth Kumar Shetty " Comparison Between EPS Construction and Brick Construction" International Research Journal of Modernization in Engineering and Technology and Science (IRJMETS), E-ISSN:2582-5208, Volume 04, Issue 04.
Finance for Non-Financial Manager, Emory University</t>
  </si>
  <si>
    <t>P25700573</t>
  </si>
  <si>
    <t>KUNDALWAL</t>
  </si>
  <si>
    <t>Pranav Rajesh Kundalwal</t>
  </si>
  <si>
    <t>pranavkundalwal@gmail.com</t>
  </si>
  <si>
    <t>p25700573@student.nicmar.ac.in</t>
  </si>
  <si>
    <t>8327 7249 0544</t>
  </si>
  <si>
    <t>RAJESH KUNDALWAL</t>
  </si>
  <si>
    <t>BABY KUNDALWAL</t>
  </si>
  <si>
    <t>GODREJ HILL SIDE 1, MAHALUNGE, PUNE</t>
  </si>
  <si>
    <t>Ambika Nagar, Yavatmal</t>
  </si>
  <si>
    <t>JAJOO JUNIOR COLLEGE</t>
  </si>
  <si>
    <t>SANT GADGE BABA UNIVERSITY, AMRAVATI</t>
  </si>
  <si>
    <t>JAWAHARLAL DARDA INSTITUTE OF ENGINEERING AND TECHNOLOGY, YAVATMAL</t>
  </si>
  <si>
    <t>JAGANNATH CONSTRUCTION COMPANY | site engineer  | YAVATMAL | Jan 2023 | Jan 2023 | 1.8571428571429 Weeks</t>
  </si>
  <si>
    <t>P25700574</t>
  </si>
  <si>
    <t>DEEKSHITH</t>
  </si>
  <si>
    <t>Deekshith N</t>
  </si>
  <si>
    <t>deekshith9778@gmail.com</t>
  </si>
  <si>
    <t>p25700574@student.nicmar.ac.in</t>
  </si>
  <si>
    <t>14-Nov-2002</t>
  </si>
  <si>
    <t>English Hindi Kannada</t>
  </si>
  <si>
    <t>4102 9400 9115</t>
  </si>
  <si>
    <t>NARAYANA N</t>
  </si>
  <si>
    <t>SUJATHA K</t>
  </si>
  <si>
    <t>Door No.105, Gangamma Garden, Malagala, Nagarabhavi 2nd Stage, Bengaluru</t>
  </si>
  <si>
    <t>VIDYANIKETAN PUBLIC SCHOOL ULLAL BANGALORE</t>
  </si>
  <si>
    <t>VIDYA VARDHAKA SANGHA SARDAR PATEL PRE-UNIVERSITY COLLEGE</t>
  </si>
  <si>
    <t>DEPARTMENT OF PRE-UNIVERSITY EDUCATION KARNATAKA</t>
  </si>
  <si>
    <t>RASHTREEYA VIDYALAYA COLLEGE OF ENGINEERING BENGALURU</t>
  </si>
  <si>
    <t>Primavera,MS Project,AutoCAD,Revit</t>
  </si>
  <si>
    <t>Sobha India Limited | Site Execution | Bengaluru | May 2026 | Jul 2026 | 9 Weeks | Campus Internship
JNY INFRASTRUCTURES PVT. LTD. | SITE ENGINEER | BENGALURU | May 2024 | Jun 2025 | 54.285714285714 Weeks</t>
  </si>
  <si>
    <t>Introduction To Revit
ASCE Student Chapter Secretary
Indian Concrete Institute Student Membership
NPTEL - The Joy of Computing Using Python</t>
  </si>
  <si>
    <t>P25700575</t>
  </si>
  <si>
    <t>RAJENDRAKUMAR</t>
  </si>
  <si>
    <t>NARALE</t>
  </si>
  <si>
    <t>Rohit Rajendrakumar Narale</t>
  </si>
  <si>
    <t>rohitnarale9999@gmail.com</t>
  </si>
  <si>
    <t>p25700575@student.nicmar.ac.in</t>
  </si>
  <si>
    <t>30-Jun-2002</t>
  </si>
  <si>
    <t>English, Hindi, Marathi, Kannada</t>
  </si>
  <si>
    <t>5425 3957 2334</t>
  </si>
  <si>
    <t>SADHANA</t>
  </si>
  <si>
    <t>Near S.RA.More School, 9, Ganesh Nagar Bhag 4 Vijapur Road, Solapur</t>
  </si>
  <si>
    <t>BHARATI VIDHYAPEETH , SOLAPUR</t>
  </si>
  <si>
    <t>MAHARASHTRA STATE BOARD OF SECONDARY  AND HIGHER SECONDARY EDUCATION, PUNE</t>
  </si>
  <si>
    <t>SWAMI VIVEKANAND ART AND SCIENCE JUNIOR COLLEGE, SOLAPUR</t>
  </si>
  <si>
    <t>COLLEGE OF ENGINEERING, PANDHARPUR</t>
  </si>
  <si>
    <t>AutoCAD,MS Office,MS Project,Primavera,SketchUP,Revit,BIM,MS EXCEL,Naviswork,Cost X</t>
  </si>
  <si>
    <t>Goel Ganga Group | Site Execution &amp; Project control Intern | Pune | May 2026 | Jul 2026 | 8.7142857142857 Weeks | Campus Internship
GURU DEVELOPERS AND ASSOCIATES | TRAINEE ENGINEER | PUNE | Aug 2023 | Mar 2024 | 32.428571428571 Weeks</t>
  </si>
  <si>
    <t>P25700576</t>
  </si>
  <si>
    <t>DANGAT</t>
  </si>
  <si>
    <t>Arya Umesh Dangat</t>
  </si>
  <si>
    <t>aryadangat4843@gmail.com</t>
  </si>
  <si>
    <t>p25700576@student.nicmar.ac.in</t>
  </si>
  <si>
    <t>6018 9523 5086</t>
  </si>
  <si>
    <t>UMESH DANGAT</t>
  </si>
  <si>
    <t>ASHA DANGAT</t>
  </si>
  <si>
    <t>Flat No. 24 Indralok Apt_x000D_
Pune Satara Road</t>
  </si>
  <si>
    <t>CITY INTERNATIONAL SCHOOL, SATARA ROAD</t>
  </si>
  <si>
    <t>SIR PARSHURAMBHAU COLLEGE</t>
  </si>
  <si>
    <t>HIGHER SECONDARY  CERTIFICATE</t>
  </si>
  <si>
    <t>AISSMS COLLEGE OF ENGINEERING , PUNE/ MAHARASHTRA</t>
  </si>
  <si>
    <t>Sobha Limited | Project Management | Trivandrum,Kerala | May 2026 | Jul 2026 | 9 Weeks | Campus Internship
Dhankawde Group | Intern  | Pune  | Dec 2023 | Jan 2024 | 4.4285714285714 Weeks</t>
  </si>
  <si>
    <t>Finance for Non-Financial Managers
Ethics In Engineering Practice
Journal Of Technology
LEAN SIX SIGMA YELLOW BELT</t>
  </si>
  <si>
    <t>P25700577</t>
  </si>
  <si>
    <t>SUSHRUT</t>
  </si>
  <si>
    <t>BHAISWAR</t>
  </si>
  <si>
    <t>Sushrut Anant Bhaiswar</t>
  </si>
  <si>
    <t>sushrut.bhaiswar@gmail.com</t>
  </si>
  <si>
    <t>p25700577@student.nicmar.ac.in</t>
  </si>
  <si>
    <t>25-Apr-2002</t>
  </si>
  <si>
    <t>6120 9221 0167</t>
  </si>
  <si>
    <t>ANANT BHAISWAR</t>
  </si>
  <si>
    <t>SUNITA BHAISWAR</t>
  </si>
  <si>
    <t>17, Buty Layout ,Rajnagar, Nagpur, Maharashtra,440013</t>
  </si>
  <si>
    <t>BHAVAN'S B.P VIDYA MANDIR ASHTI</t>
  </si>
  <si>
    <t>CENTER POINT SCHOOL KATOL ROAD</t>
  </si>
  <si>
    <t>SHRI RAMDEOBABA COLLEGE OF ENGINEERING AND MANAGEMENT NAGPUR MAHARASHTRA</t>
  </si>
  <si>
    <t>AutoCAD,MS Office,MS Project,Primavera,Arcgis,Costx,Revit</t>
  </si>
  <si>
    <t>Sobha Ltd. | Project Management | GIFT City, Gandhinagar, Gujrat | May 2026 | Jul 2026 | 9 Weeks | Campus Internship
PWD Nagpur | Intern | Nagpur | May 2025 | Jun 2025 | 5.7142857142857 Weeks
IMAGIS ENGINEERING SOLUTIONS PVT LTD | INTERN | NAGPUR | Jan 2024 | Jun 2024 | 21.571428571429 Weeks</t>
  </si>
  <si>
    <t>P25700578</t>
  </si>
  <si>
    <t>ANUJA</t>
  </si>
  <si>
    <t>Anuja Deepak Deshmukh</t>
  </si>
  <si>
    <t>anujadeshmukh1907@gmail.com</t>
  </si>
  <si>
    <t>p25700578@student.nicmar.ac.in</t>
  </si>
  <si>
    <t>19-Jul-2003</t>
  </si>
  <si>
    <t>7766 7587 5348</t>
  </si>
  <si>
    <t>DEEPAK DESHMUKH</t>
  </si>
  <si>
    <t>SANDHYA DESHMUKH</t>
  </si>
  <si>
    <t>Flat No 05 Jai Ambe Appartment Sudhir Colony Akola</t>
  </si>
  <si>
    <t>SCHOOL OF SCHOLARS</t>
  </si>
  <si>
    <t>CENTRAL BOARD OF SECONDARY EDUCATION AKOLA, MAHARASHTRA</t>
  </si>
  <si>
    <t>SRI. R.L.T COLLEGE OF SCIENCE AND ARTS AKOLA</t>
  </si>
  <si>
    <t>B.A.C.R.T'S VISHWAKARMA INSTITUTE OF INFORMATION AND TECHNOLOGY PUNE, MAHARASHTRA</t>
  </si>
  <si>
    <t>AutoCAD,MS Office,MS Project,ETABS</t>
  </si>
  <si>
    <t>LAGOO APTE DEVELOPERS  | Site Intern  | Pune , Swargate  | May 2026 | Jun 2026 | 8.1428571428571 Weeks | Campus Internship
Snivaa Structural Consultants | Design Intern  | Pune ,Hadapsar | Jul 2024 | Dec 2024 | 24.571428571429 Weeks</t>
  </si>
  <si>
    <t>P25700579</t>
  </si>
  <si>
    <t>MEHANDI</t>
  </si>
  <si>
    <t>D S</t>
  </si>
  <si>
    <t>Mehandi D S</t>
  </si>
  <si>
    <t>dsmehandi@gmail.com</t>
  </si>
  <si>
    <t>p25700579@student.nicmar.ac.in</t>
  </si>
  <si>
    <t>24-Jul-1998</t>
  </si>
  <si>
    <t>English, Hindi, Tamil, Kannada</t>
  </si>
  <si>
    <t>2056 6614 0185</t>
  </si>
  <si>
    <t>D SARAVANA KUMAR</t>
  </si>
  <si>
    <t>ASSISTANT COMMISSIONER CGST</t>
  </si>
  <si>
    <t>DEVI SARAVANA KUMAR</t>
  </si>
  <si>
    <t>B-305, Amrutha Grandeur Apt_x000D_
Rachenhalli , Thanisandra Main Road</t>
  </si>
  <si>
    <t>KENDRIYA VIDYALAYA IISC</t>
  </si>
  <si>
    <t>VISHVESHWARYA TECHNICAL UNIVERSITY</t>
  </si>
  <si>
    <t>ACHARYA NRV SCHOOL OF ARCHITECTURE, BANGALORE</t>
  </si>
  <si>
    <t>AutoCAD,MS Project,Autodesk Revit,Sketchup,Adobe Photoshop</t>
  </si>
  <si>
    <t>Total Environment Building Systems | Design Manager  | Bangalore  | Apr 2023 | Sep 2024 | 1Y 4M | 5.67
Studio Alaya Projects pvt lmt | Architect | Bangalore, India  | May 2022 | Jan 2023 | 0Y 8M | 3.24
Meragi Events | Design Consultant  | Bangalore, Karnataka, India  | Nov 2024 | May 2025 | 0Y 5M | 6.6</t>
  </si>
  <si>
    <t>Deloitte Touche Tohmatsu India LLP | Controls : Audit and Assurance Intern   | Bangalore | May 2026 | Jul 2026 | 8.5714285714286 Weeks | Campus Internship
Manasaram Architects | Intern | Bangalore, Karnataka, India | Feb 2021 | Aug 2021 | 25.571428571429 Weeks</t>
  </si>
  <si>
    <t>P25700580</t>
  </si>
  <si>
    <t>PINJARI</t>
  </si>
  <si>
    <t>AWAIS</t>
  </si>
  <si>
    <t>KUTUBUDDIN</t>
  </si>
  <si>
    <t>Pinjari Awais Kutubuddin</t>
  </si>
  <si>
    <t>pinjari.awais@gmail.com</t>
  </si>
  <si>
    <t>p25700580@student.nicmar.ac.in</t>
  </si>
  <si>
    <t>23-Aug-2003</t>
  </si>
  <si>
    <t>9810 3144 4997</t>
  </si>
  <si>
    <t>SELF-EMPLOYEE</t>
  </si>
  <si>
    <t>SULTANA</t>
  </si>
  <si>
    <t>Plot No 25, Muslim Nagar, Near Sagar Hotel</t>
  </si>
  <si>
    <t>SHREEJI ENGLISH MEDIUM SCHOOL</t>
  </si>
  <si>
    <t>NASHIK DIVISIONAL BOARD, MAHARASHTRA</t>
  </si>
  <si>
    <t>SHRI VILE PARLE KELAVANI MANDAL INSTITUTE OF TECHNOLOGY</t>
  </si>
  <si>
    <t>AutoCAD,MS Office,MS Project,Revit,3DSMAX,Sketchup,VRay</t>
  </si>
  <si>
    <t>New Consolidated Construction Company Limited | Planning Engineer | L&amp;T Realty – Island Cove, Mahim, Mumbai | May 2026 | Jul 2026 | 8.5714285714286 Weeks | Campus Internship
GROW HIGH ENGINEERS | Site Engineer | Nashik, Maharashtra | Dec 2024 | Feb 2025 | 12.714285714286 Weeks</t>
  </si>
  <si>
    <t>REVIT
3DS MAX
AUTOCAD</t>
  </si>
  <si>
    <t>P25700581</t>
  </si>
  <si>
    <t>ARAJU</t>
  </si>
  <si>
    <t>LATIF</t>
  </si>
  <si>
    <t>ATTAR</t>
  </si>
  <si>
    <t>Araju Latif Attar</t>
  </si>
  <si>
    <t>arajuattar69@gmail.com</t>
  </si>
  <si>
    <t>p25700581@student.nicmar.ac.in</t>
  </si>
  <si>
    <t>30-May-2003</t>
  </si>
  <si>
    <t>Hindi , Marathi , English</t>
  </si>
  <si>
    <t>4900 4774 6576</t>
  </si>
  <si>
    <t>LATIF MUBARAK ATTAR</t>
  </si>
  <si>
    <t>VAHIDA LATIF ATTAR</t>
  </si>
  <si>
    <t>At/post - Walwa, Taluka - Walwa , District - Sangli</t>
  </si>
  <si>
    <t>JIJAMATA VIDYALAYA, WALWA</t>
  </si>
  <si>
    <t>RAJARAMBAPU INSTITUTE OF TECHNOLOGY , RAJARAMNAGAR</t>
  </si>
  <si>
    <t>DR.BABASAHEB AMBEDKAR TECHNOLOGICAL UNIVERSITY LONERE - RAIGAD, MAHARASHTRA</t>
  </si>
  <si>
    <t>NANASAHEB MAHADIK COLLEGE OF ENGINEERING ,PETH MAHARASHTRA</t>
  </si>
  <si>
    <t>AutoCAD,MS Project,Diploma in BIM Professional (4D BIM)</t>
  </si>
  <si>
    <t>New Consolidated Construction Company Limited  | Project Planning  | Mumbai  | May 2026 | Jul 2026 | 8.7142857142857 Weeks | Campus Internship</t>
  </si>
  <si>
    <t xml:space="preserve">BIM Professional </t>
  </si>
  <si>
    <t>P25700582</t>
  </si>
  <si>
    <t>GUNWANT</t>
  </si>
  <si>
    <t>GALANDE</t>
  </si>
  <si>
    <t>Sagar Gunwant Galande</t>
  </si>
  <si>
    <t>sagargalande.sg@gmail.com</t>
  </si>
  <si>
    <t>p25700582@student.nicmar.ac.in</t>
  </si>
  <si>
    <t>8204 5771 8557</t>
  </si>
  <si>
    <t>RAJSHRI</t>
  </si>
  <si>
    <t>FLAT NO. 103, KESHAV KUNJ, PLOT NO. 11, SECTOR 26, TALOJA PHASE-2</t>
  </si>
  <si>
    <t>V &amp; C PATEL ENGLISH SCHOOL</t>
  </si>
  <si>
    <t>CBSE ANAND</t>
  </si>
  <si>
    <t>ANANDALAYA</t>
  </si>
  <si>
    <t>WALCHAND INSTITUTE OF TECHNOLOGY</t>
  </si>
  <si>
    <t>Shapoorji Pallonji and Company Private Limited | GET | Mulund  | Aug 2023 | Feb 2024 | 0Y 5M | 3.75</t>
  </si>
  <si>
    <t>RCM INFRASTRUCTURE | Intern | Paithan, Maharashtra | Jul 2022 | Aug 2022 | 2 Weeks
B.G. Shirke | Intern | Taloja, Mumbai | Jan 2022 | Feb 2022 | 2.2857142857143 Weeks</t>
  </si>
  <si>
    <t>P25700583</t>
  </si>
  <si>
    <t>LABDHE</t>
  </si>
  <si>
    <t>Mihir Bharat Labdhe</t>
  </si>
  <si>
    <t>mihirlabdhe0@gmail.com</t>
  </si>
  <si>
    <t>p25700583@student.nicmar.ac.in</t>
  </si>
  <si>
    <t>5368 2836 2222</t>
  </si>
  <si>
    <t>MEDHA</t>
  </si>
  <si>
    <t>Ap.Shirgaon , Tal.Chiplun , Dist.Ratnagiri</t>
  </si>
  <si>
    <t>ALORE HIGHSCHOOL ALORE</t>
  </si>
  <si>
    <t>MAHARASHTRA  STATE BOARD OF SECONDARY AND HIGHER SECONDARY EDUCATION PUNE / MAHARASHTRA</t>
  </si>
  <si>
    <t>SHIRGAON SECONDARY AND HIGHER SECONDARY SCHOOL</t>
  </si>
  <si>
    <t>AJEENKYA DY PATIL SCHOOL OF ENGINEERING , PUNE / MAHARASHTRA</t>
  </si>
  <si>
    <t>AutoCAD,MS Project,Revit</t>
  </si>
  <si>
    <t>Sobha Limited | Procurement Auditing Intern | Banglore | May 2026 | Jul 2026 | 9 Weeks | Campus Internship
KNOW HOW SCHOOLS | INTERN | PUNE | Feb 2023 | Mar 2023 | 4 Weeks
RUMAS CONSULTANCY AND INFRA | INTERN | CHIPLUN,RATNAGIRI | Jul 2024 | May 2025 | 47.714285714286 Weeks</t>
  </si>
  <si>
    <t>P25700585</t>
  </si>
  <si>
    <t>N C</t>
  </si>
  <si>
    <t>Girish . N C</t>
  </si>
  <si>
    <t>girishnc2001@gmail.com</t>
  </si>
  <si>
    <t>p25700585@student.nicmar.ac.in</t>
  </si>
  <si>
    <t>09-Sep-2001</t>
  </si>
  <si>
    <t>ENGLISH, HINDI, KANNADA</t>
  </si>
  <si>
    <t>8168 1094 0814</t>
  </si>
  <si>
    <t>CHANDRAPPA N H</t>
  </si>
  <si>
    <t>FDAA</t>
  </si>
  <si>
    <t>LINGAMMA M</t>
  </si>
  <si>
    <t>#213/15 SHIVA PRAVATHI BADAVANE, SHAMNUR DAVANAGERE.</t>
  </si>
  <si>
    <t>SRI SOMASHWARA VIDYALAYA</t>
  </si>
  <si>
    <t>KARNATAKA SCHOOL EXAMINATION AND ASSESSMENT BOARD</t>
  </si>
  <si>
    <t>G M POLYTECHNIC, DAVANAGERE, KARNATAKA</t>
  </si>
  <si>
    <t>G M INSTITUTE OF TECHNOLOGY , DAVANAGERE, KARNATAKA.</t>
  </si>
  <si>
    <t>AutoCAD,MS Office,MS Project,REVIT ARCHITECTURE,STAAD PRO</t>
  </si>
  <si>
    <t>SOBHA LIMITED | Planning Department | BANGALORE | May 2026 | Jul 2026 | 9 Weeks | Campus Internship
MY TECH TRAINING INSTITUTE | INPLANT TRAINING PROGRAM | DAVANAGERE | Jan 2020 | Jan 2020 | 1.5714285714286 Weeks
MISSION AMRIT SAROVAR JAL DHAROHAR SANRAKSHAN INTERNSHIP | SITE ENGINEER | MUSSAFIRKHANA AND HONDA ,SANTHEBENNUR, DAVANAGERE. | Jul 2022 | Aug 2022 | 5 Weeks
RNS Infrastructure limited | Site Engineer | Chitradurga  | Jul 2022 | Sep 2022 | 8.8571428571429 Weeks</t>
  </si>
  <si>
    <t>AUTOCAD 2D AND 3D
FINANCE FOR NON FINANCIAL MANAGERS
DIGI QC ACADEMY</t>
  </si>
  <si>
    <t>P25700586</t>
  </si>
  <si>
    <t>VAIBHAVI</t>
  </si>
  <si>
    <t>SAKHALKAR</t>
  </si>
  <si>
    <t>Vaibhavi Vinod Sakhalkar</t>
  </si>
  <si>
    <t>vaibhavi1051@gmail.com</t>
  </si>
  <si>
    <t>p25700586@student.nicmar.ac.in</t>
  </si>
  <si>
    <t>9006 6189 0194</t>
  </si>
  <si>
    <t>VINOD GAJANAN SAKHALKAR</t>
  </si>
  <si>
    <t>SHRUTI VINOD SAKAHLKAR</t>
  </si>
  <si>
    <t>B/701 FAITH SOCIETY, FAITH SOCIETY ROAD,BALEWADI</t>
  </si>
  <si>
    <t>B/701 Madhuban Chs Oppo Vitthal Mandir Dahisar West</t>
  </si>
  <si>
    <t>VPM'S VIDYA MANDIR SCHOOL</t>
  </si>
  <si>
    <t>SAMTA VIDYA MANDIR, KANDIVALI EAST</t>
  </si>
  <si>
    <t>THAKUR SCHOOL OF ARCHITECTURE AND PLANNING, MUMBAI MAHARASHTRA</t>
  </si>
  <si>
    <t>AutoCAD,MS Office,MS Project,Photoshop</t>
  </si>
  <si>
    <t>Embassy Developments Limited  | Business strategy and operations  | Prabhadevi ,Mumbai  | May 2026 | Jul 2026 | 8.7142857142857 Weeks | Campus Internship
MAULI ENTERPRISES | ARCHITECTURAL INTERN | BORIVALI, MUMBAI MAHARASHTRA | Nov 2022 | Feb 2023 | 15 Weeks</t>
  </si>
  <si>
    <t>Certificate of participation for Solar Decathlon India, 2021-'22.
Certificate of participation in the Indian Conclave's Janvaad: Astihiva Edition, 2023.
Certificate for the workshop,'Research Paper and Writing and Publication Masterclass' organized by Kaarwan,2023.
Certificate of completion, Explore Human Resources Job Simulations,2025.
Certificate on McKinsey.org Forward Program, 2025.</t>
  </si>
  <si>
    <t>P25700587</t>
  </si>
  <si>
    <t>VARUN</t>
  </si>
  <si>
    <t>SHARAD</t>
  </si>
  <si>
    <t>Varun Sharad Deshmukh</t>
  </si>
  <si>
    <t>varund1155@gmail.com</t>
  </si>
  <si>
    <t>p25700587@student.nicmar.ac.in</t>
  </si>
  <si>
    <t>14-Jun-2002</t>
  </si>
  <si>
    <t>7821 3416 0412</t>
  </si>
  <si>
    <t>SHARAD S. DESHMUKH</t>
  </si>
  <si>
    <t>NANDINI SHARAD DESHMUKH</t>
  </si>
  <si>
    <t>Flat No. B/4, Sawali Apartment, Tapadiya Nagar, Near Maa Hospital, Akola.</t>
  </si>
  <si>
    <t>BAL SHIVAJI HIGH SCHOOL, JATHARPETH, AKOLA. 444005</t>
  </si>
  <si>
    <t>SHRI SHIVAJI JUNIOR COLLEGE, NIMBA, TQ. BALAPUR, DIST. AKOLA.</t>
  </si>
  <si>
    <t>SAVITRIBAI PHULE UNIVERSITY, PUNE.</t>
  </si>
  <si>
    <t>JSPM NARHE TECHNICAL CAMPUS, PUNE.</t>
  </si>
  <si>
    <t>AutoCAD,MS Office,MS Project,Excel,CostX</t>
  </si>
  <si>
    <t>Ahluwalia Contracts India Limited | Project Management Intern | Sion,Mumbai | May 2026 | Jul 2026 | 8.7142857142857 Weeks | Campus Internship
VEDNIRMITEE projects | Intern | pune | Jul 2024 | Feb 2025 | 33.285714285714 Weeks</t>
  </si>
  <si>
    <t>P25700588</t>
  </si>
  <si>
    <t>JAHNAVI</t>
  </si>
  <si>
    <t>VIJAYA PRAKASH</t>
  </si>
  <si>
    <t>Jahnavi Vijaya Prakash</t>
  </si>
  <si>
    <t>jahnavivijayaprakash@gmail.com</t>
  </si>
  <si>
    <t>p25700588@student.nicmar.ac.in</t>
  </si>
  <si>
    <t>23-Jan-2001</t>
  </si>
  <si>
    <t>8122 8290 0772</t>
  </si>
  <si>
    <t>DR . VIJAYA PRAKASH A M</t>
  </si>
  <si>
    <t>GEETHA S</t>
  </si>
  <si>
    <t>#18 , 6th Cross , 6th Block , 2nd Stage , Nagarbhavi _x000D_
Bengaluru - 72</t>
  </si>
  <si>
    <t>NATIONAL PUBLIC SCHOOL , YESHWANTHPUR</t>
  </si>
  <si>
    <t>DEEKSHA CENTER FOR LEARNING</t>
  </si>
  <si>
    <t>GOVT. OF KARNATAKA</t>
  </si>
  <si>
    <t>SJB SCHOOL FOR ARCHITECTURE AND PLANNING , KENGERI/KARNATAKA</t>
  </si>
  <si>
    <t>AutoCAD,MS Office,MS Project,Primavera,Sketchup,Lumion,Enscape,D5,Revit,Adobe Photoshop,MS Power Point,MS Excel,CostX</t>
  </si>
  <si>
    <t>STUDIO 9 ARCHITECTURE | ARCHITECT  | BENGALURU  | Sep 2024 | Jun 2025 | 0Y 9M | 2.5</t>
  </si>
  <si>
    <t>Adrianse India Pvt Ltd | Project Management  | Bengaluru | May 2026 | Jul 2026 | 8.5714285714286 Weeks | Campus Internship
ASHWIN ARCHITECTS | Intern  | Bengaluru  | Jan 2024 | Apr 2024 | 15.714285714286 Weeks</t>
  </si>
  <si>
    <t>TERI â€“ Building Performance Simulation Certification
Autodesk Navisworks Certification
EDGE â€“ Green Building Certification (IFC / World Bank Group)
UDL Photoshop Cetification
Council of Architecture (COA) â€“ Registered Architect</t>
  </si>
  <si>
    <t>P25700589</t>
  </si>
  <si>
    <t>CHATURVEDI</t>
  </si>
  <si>
    <t>Shubham Chaturvedi</t>
  </si>
  <si>
    <t>shubhamchaturvedi244@gmail.com</t>
  </si>
  <si>
    <t>p25700589@student.nicmar.ac.in</t>
  </si>
  <si>
    <t>14-Dec-1999</t>
  </si>
  <si>
    <t>5285 2468 9797</t>
  </si>
  <si>
    <t>DINESH KUMAR CHATURVEDI</t>
  </si>
  <si>
    <t>KAMLESH CHATURVEDI</t>
  </si>
  <si>
    <t>HN 299, Shanti Nagar B Gujar Ki Thadi, Mansarover, Jaipur, 302019</t>
  </si>
  <si>
    <t>ST SOLDIER'S PUB SCHOOL B D ROAD JAIPUR RAJ</t>
  </si>
  <si>
    <t>CBSE JAIPUR/RAJASTHAN</t>
  </si>
  <si>
    <t>BLUE HEAVEN VIDYALAYA SFS,MANSAROVAR JAIPUR</t>
  </si>
  <si>
    <t>CBSE JAIPUR / RAJASTHAN</t>
  </si>
  <si>
    <t>MANIPAL UNIVERSITY JAIPUR , JAIPUR / RAJASTHAN</t>
  </si>
  <si>
    <t>AutoCAD,MS Office,Primavera,APMS (Adani project management system )</t>
  </si>
  <si>
    <t>Adani Green energy limited | Assitsant Manager in project management and assurance group (PMAG ) | Ahemdabad | Jul 2022 | Aug 2023 | 1Y 0M | 6.5</t>
  </si>
  <si>
    <t>Goa State Infrastruture Development Corporation Limited (GSIDC) | Site Execution Intern  | Goa medical college ,Bambolim ,goa  | May 2026 | Jul 2026 | 8.7142857142857 Weeks | Campus Internship
JAIPUR INTERNATIONAL AIRPORT LIMITED | INTERN AT PROJECTS DEPARTMENT  | JAIPUR | Feb 2022 | May 2022 | 16.857142857143 Weeks</t>
  </si>
  <si>
    <t>P25700590</t>
  </si>
  <si>
    <t>Chinmay Kumar Das</t>
  </si>
  <si>
    <t>chinmaydas03@gmail.com</t>
  </si>
  <si>
    <t>p25700590@student.nicmar.ac.in</t>
  </si>
  <si>
    <t>07-Aug-1998</t>
  </si>
  <si>
    <t>5156 7593 7315</t>
  </si>
  <si>
    <t>PABITRA RANJAN DAS</t>
  </si>
  <si>
    <t>SUSMITA DAS</t>
  </si>
  <si>
    <t>C/O Pabitra Ranjan Das, Salandi Colony, Near Salandi Bypass</t>
  </si>
  <si>
    <t>Bhadrak</t>
  </si>
  <si>
    <t>RANGE SCHOOL</t>
  </si>
  <si>
    <t>CBSE BALASORE/ODISHA</t>
  </si>
  <si>
    <t>VEER SURENDRA SAI UNIVERSITY OF TECHNOLOGY BURLA/ODISHA</t>
  </si>
  <si>
    <t>SOBHA | Site Execution (Under Planning Department) | Banglore  | May 2026 | Jul 2026 | 9 Weeks | Campus Internship
UltraTech Cement | Technical Intern | Bhubaneshwar, Odisha, India | May 2023 | Jun 2023 | 4.2857142857143 Weeks</t>
  </si>
  <si>
    <t>ESG Virtual Experience Program</t>
  </si>
  <si>
    <t>P25700591</t>
  </si>
  <si>
    <t>ADHYAYAN</t>
  </si>
  <si>
    <t>ARVIND</t>
  </si>
  <si>
    <t>ALTEKAR</t>
  </si>
  <si>
    <t>Adhyayan Arvind Altekar</t>
  </si>
  <si>
    <t>altekaradhyayan44@gmail.com</t>
  </si>
  <si>
    <t>p25700591@student.nicmar.ac.in</t>
  </si>
  <si>
    <t>08-Mar-2001</t>
  </si>
  <si>
    <t>English,Hindi, Marathi,Kannada</t>
  </si>
  <si>
    <t>7906 7200 1693</t>
  </si>
  <si>
    <t>ARVIND NARAYAN ALTEKAR</t>
  </si>
  <si>
    <t>B.COM</t>
  </si>
  <si>
    <t>GAYATRI ARVIND ALTEKAR</t>
  </si>
  <si>
    <t>B.A</t>
  </si>
  <si>
    <t>Plot No 40 Jadhav Park Rama Nand Nagar Kolhapur</t>
  </si>
  <si>
    <t>SM LOHIYA HIGH SCHOOL KOLHAPUR</t>
  </si>
  <si>
    <t>NEW COLLEGE KOLHAPUR</t>
  </si>
  <si>
    <t>NEW POLYTECHNIC KOLHAPUR</t>
  </si>
  <si>
    <t>DYPATIL COLLEGE OF ENGINEERING AND TECHNOLOGY KOLHAPUR</t>
  </si>
  <si>
    <t>AutoCAD,MS Office,MS Project,MS EXCELS POWER POINT</t>
  </si>
  <si>
    <t>Atal Real Tech Limited | Junior Engineer | Pune | Jun 2024 | May 2025 | 0Y 11M | 3</t>
  </si>
  <si>
    <t>New consolidated construction company limited  | Site and planning intern | Alibaug ,Maharashtra  | May 2026 | Jul 2026 | 8.7142857142857 Weeks | Campus Internship
SHUBHAM EPC PVT LTD | GRADUATE ENGINEERING TRAINEE | PUNE | Dec 2023 | May 2024 | 21.571428571429 Weeks</t>
  </si>
  <si>
    <t>P25700592</t>
  </si>
  <si>
    <t>Prathmesh Singh</t>
  </si>
  <si>
    <t>prathmesh080thakur@gmail.com</t>
  </si>
  <si>
    <t>p25700592@student.nicmar.ac.in</t>
  </si>
  <si>
    <t>04-May-2002</t>
  </si>
  <si>
    <t>2271 1307 4331</t>
  </si>
  <si>
    <t>DINESH SINGH</t>
  </si>
  <si>
    <t>KUSUM</t>
  </si>
  <si>
    <t>WARD SISTER</t>
  </si>
  <si>
    <t>ROOM NO. 704 NICMAR UNIVERSITY PUNE</t>
  </si>
  <si>
    <t>House No 13a/5 Chatrokhri Sundernagar Mandi (175018)</t>
  </si>
  <si>
    <t>DAYANAND ANGLO VEDIC PUBLIC SCHOOL SUNDERNAGAR MANDI HP</t>
  </si>
  <si>
    <t>HIMACHAL PRADESH TECHNICAL UNIVERSITY</t>
  </si>
  <si>
    <t>JAWAHAR LAL NEHRU GOVERNMENT ENGINEERING COLLEGE</t>
  </si>
  <si>
    <t>SOBHA Ltd | Project Management Trainee | Gurugram | May 2026 | Jul 2026 | 9 Weeks | Campus Internship
Satluj Jal Vidyut Nigam | Intern | Rampur, HP | Aug 2022 | Sep 2022 | 4.2857142857143 Weeks
BEE GEE BUILTECH | INTERN | MOHALI | Feb 2023 | Jun 2023 | 17 Weeks</t>
  </si>
  <si>
    <t>P25700593</t>
  </si>
  <si>
    <t>DHRUV</t>
  </si>
  <si>
    <t>CHALODE</t>
  </si>
  <si>
    <t>Dhruv Rajendra Chalode</t>
  </si>
  <si>
    <t>dhruvchalode@gmail.com</t>
  </si>
  <si>
    <t>p25700593@student.nicmar.ac.in</t>
  </si>
  <si>
    <t>19-Dec-2001</t>
  </si>
  <si>
    <t>MARATHI, HINDI, ENGLISH.</t>
  </si>
  <si>
    <t>2309 3981 9204</t>
  </si>
  <si>
    <t>RAJENDRA CHALODE</t>
  </si>
  <si>
    <t>SHOBHA PARANJE</t>
  </si>
  <si>
    <t>EX ADMINISTRATIVE OFFICER AT TECHNICAL EDUCATION DEPARTMENT MAHARASHTRA</t>
  </si>
  <si>
    <t>Whispering Winds Phase 1,Wing -A, Flat No.6 Baner Pashan Link Road -411021</t>
  </si>
  <si>
    <t>RIVERDALE HIGH SCHOOL</t>
  </si>
  <si>
    <t>AURANGABAD, MAHARASHTRA</t>
  </si>
  <si>
    <t>RJ INTERNATIONAL</t>
  </si>
  <si>
    <t>MARATHWADA MITRA MANDAL COLLEGE OF ARCHITECTURE</t>
  </si>
  <si>
    <t>AutoCAD,MS Office,MS Project,Primavera,Autodesk Sketchbook,Sketchup,Enscape,Revit,Photoshop,Excel,CostX,Procreate,Canva</t>
  </si>
  <si>
    <t>Basil Decor | Project Manager | Pune | May 2026 | Jul 2026 | 9.2857142857143 Weeks | Campus Internship
MVK associates | Architectural Intern  | Aurangabad, Maharashtra  | Jun 2024 | Sep 2024 | 17 Weeks</t>
  </si>
  <si>
    <t>Heritage and Documentation Workshop</t>
  </si>
  <si>
    <t>P25700594</t>
  </si>
  <si>
    <t>SHRIYA</t>
  </si>
  <si>
    <t>BAGARIA</t>
  </si>
  <si>
    <t>Shriya Bagaria</t>
  </si>
  <si>
    <t>shriyabagaria@gmail.com</t>
  </si>
  <si>
    <t>p25700594@student.nicmar.ac.in</t>
  </si>
  <si>
    <t>23-Nov-2000</t>
  </si>
  <si>
    <t>5165 8383 6125</t>
  </si>
  <si>
    <t>RAJESH BAGARIA</t>
  </si>
  <si>
    <t>RASHMI BAGARIA</t>
  </si>
  <si>
    <t>C-9, Third Floor, Power Emperia Rise, Laluram Colony, TP Nagar</t>
  </si>
  <si>
    <t>Korba</t>
  </si>
  <si>
    <t>DELHI PUBLIC SCHOOL, NTPC, JAMNIPALI, KORBA</t>
  </si>
  <si>
    <t>INSTITUTE OF DESIGN EDUCATION AND ARCHITECTURAL STUDIES, NAGPUR</t>
  </si>
  <si>
    <t>AutoCAD,MS Project,Report Writing,MS Excel,Sketchup</t>
  </si>
  <si>
    <t>Homelane | Design Associate | Mumbai | Feb 2025 | Jul 2025 | 0Y 4M | 3.45</t>
  </si>
  <si>
    <t>Ahluwalia Contracts India Limited | Summer Intern | Delhi, India | May 2026 | Jul 2026 | 8.7142857142857 Weeks | Campus Internship
Scarlett Design Private Limited | Architectural Intern | Ahmedabad, Gujrat | Jul 2022 | Oct 2022 | 16.142857142857 Weeks
Design Cell | Architectural Intern | Raipur, Chhattisgarh | Mar 2022 | May 2022 | 11.428571428571 Weeks</t>
  </si>
  <si>
    <t>P25700595</t>
  </si>
  <si>
    <t>VIDHI</t>
  </si>
  <si>
    <t>SHET</t>
  </si>
  <si>
    <t>Vidhi Sanjay Shet</t>
  </si>
  <si>
    <t>vidhishet09@gmail.com</t>
  </si>
  <si>
    <t>p25700595@student.nicmar.ac.in</t>
  </si>
  <si>
    <t>English, Hindi, Marathi &amp; Konkani</t>
  </si>
  <si>
    <t>7895 5949 5045</t>
  </si>
  <si>
    <t>SANJAY SHET</t>
  </si>
  <si>
    <t>VANDANA SHET</t>
  </si>
  <si>
    <t>G-5, Saraswati Apartment ,Near Kamat Nursing Home , Durga-bhat, Ponda -Goa.</t>
  </si>
  <si>
    <t>A . J . DE ALMEIDA HIGH SCHOOL</t>
  </si>
  <si>
    <t>GOA BOARD OF SECONDARY AND HIGHER SECONDARY EDUCATION ,GOA</t>
  </si>
  <si>
    <t>ADARSH HIGHER SECONDARY</t>
  </si>
  <si>
    <t>GOA UNIVERSITY</t>
  </si>
  <si>
    <t>GOA COLLEGE OF ENGINEERING ,GOA</t>
  </si>
  <si>
    <t>Sobha Limited | Site Execution | Banglore | May 2026 | Jul 2026 | 9 Weeks | Campus Internship
Raj Housing Development Private Limited | Site Engineer | Ponda ,Goa | Jul 2023 | Sep 2023 | 7.7142857142857 Weeks</t>
  </si>
  <si>
    <t>Autocad</t>
  </si>
  <si>
    <t>P25700596</t>
  </si>
  <si>
    <t>SUSHMA</t>
  </si>
  <si>
    <t>Sushma Prasad Bhat</t>
  </si>
  <si>
    <t>sushmabhat1100@gmail.com</t>
  </si>
  <si>
    <t>p25700596@student.nicmar.ac.in</t>
  </si>
  <si>
    <t>9227 9172 6912</t>
  </si>
  <si>
    <t>PRASAD BHAT</t>
  </si>
  <si>
    <t>SULAKSHANA BHAT</t>
  </si>
  <si>
    <t>Flat No-B2-202, Empire Estate, Pimpri Chinchwad, Near Old Pune-Mumbai Highway.</t>
  </si>
  <si>
    <t>KAMALNAYAN BAJAJ HIGH SCHOOL</t>
  </si>
  <si>
    <t>MAHARASHTRA STATE BOARD OF SECONDARY &amp; HIGHER SECONDARY EDUCATION, PUNE</t>
  </si>
  <si>
    <t>JAYSHREE PERIWAL HIGH SCHOOL</t>
  </si>
  <si>
    <t>S.B PATIL COLLEGE OF ARCHITECTURE &amp; DESIGN, PUNE, MAHARASHTRA</t>
  </si>
  <si>
    <t>MS Project, Primavera, MS Office, Revit, ACC ( Autodesk Construction cloud ), BIM Coordination, Sketchup, Lumion, Figma, Photoshop, AutoCAD</t>
  </si>
  <si>
    <t>Morphogenesis | Project Architect | Pune, Maharashtra | Jul 2023 | Jun 2025 | 1Y 11M | 5.78</t>
  </si>
  <si>
    <t>Cushman &amp; Wakefield | Project Management Intern | Pune, Maharashtra, India | May 2026 | Jul 2026 | 8.7142857142857 Weeks | Campus Internship
Sandeep Shikre &amp; Associates | Trainee Architect | Pune, Maharashtra, India | Jun 2022 | Dec 2022 | 26.714285714286 Weeks</t>
  </si>
  <si>
    <t>Advanced Revit &amp; BIM Certification Course
IGBC AP Associate
Microsoft project
B.Arch 4th Year-Academic topper
Architectural Thesis  Competition 2024-Shortlisted in TOP 20
BIM + Revit Workshop-1 Day
Advance Graphic Design Course for Architects
9 Day Advance Portfolio and Presentation Design Course for Architects
Facade Design
Landscape Design for Architects
Site analysis &amp; Climate study
Sketchup Modelling
2 Day Parametric Modelling
Architectural Thesis workshop</t>
  </si>
  <si>
    <t>P25700597</t>
  </si>
  <si>
    <t>SAHANA</t>
  </si>
  <si>
    <t>VILASKUMAR</t>
  </si>
  <si>
    <t>MASHETTY</t>
  </si>
  <si>
    <t>Sahana Vilaskumar Mashetty</t>
  </si>
  <si>
    <t>sahanamashetty24@gmail.com</t>
  </si>
  <si>
    <t>p25700597@student.nicmar.ac.in</t>
  </si>
  <si>
    <t>24-Jan-2001</t>
  </si>
  <si>
    <t>5066 1168 2047</t>
  </si>
  <si>
    <t>RTD ENGINEER</t>
  </si>
  <si>
    <t>VIJAYLAXMI</t>
  </si>
  <si>
    <t>H No 1-1495/43/2_x000D_
MSK Mill Road_x000D_
Behind Central Bustand_x000D_
Bhagwati Nagar_x000D_
House Name - "Vilas Nivas"_x000D_
585102 - Pincode_x000D_
Plot No - 22_x000D_
Gulbarga, Karnataka</t>
  </si>
  <si>
    <t>SHARANABASAVESWAR RES. HIGH SCHOOL KALABURAGI</t>
  </si>
  <si>
    <t>KARNATAKA SECONDARY EDUCATION EXAMINATION BOARD KARNATAKA</t>
  </si>
  <si>
    <t>SBASAVESHWAR RESI PU COL, SHARANA NAGAR, GULBARGA 585103</t>
  </si>
  <si>
    <t>GOVT OF KARNATAKA</t>
  </si>
  <si>
    <t>POOJYA DODDAPPA APPA COLLEGE OF ENGINEERING, KALABURAGI</t>
  </si>
  <si>
    <t>AutoCAD,MS Office,MS Project,Primavera,MS Excel,MS Powerpoint,Lumion,Sketch up,Revit,Adobe photoshop</t>
  </si>
  <si>
    <t>RAINEO ARCHITECTS | ARCHITECT  | BANGLORE  | Jan 2024 | Jun 2025 | 1Y 5M | 3.01</t>
  </si>
  <si>
    <t>J Kumar Infraprojects | Project Coordination | Chennai | May 2026 | Jul 2026 | 9.7142857142857 Weeks | Campus Internship
SHOBHA &amp; MAHESH ASSOCIATES | INTERN  | BANGLORE | Aug 2022 | Jan 2023 | 18 Weeks</t>
  </si>
  <si>
    <t>P25700598</t>
  </si>
  <si>
    <t>DHEERAJ</t>
  </si>
  <si>
    <t>MAHAJAN</t>
  </si>
  <si>
    <t>Dheeraj Satish Mahajan</t>
  </si>
  <si>
    <t>dhirajmahajan444@gmail.com</t>
  </si>
  <si>
    <t>p25700598@student.nicmar.ac.in</t>
  </si>
  <si>
    <t>7381 4685 2362</t>
  </si>
  <si>
    <t>AUTO DRIVER</t>
  </si>
  <si>
    <t>KARLA ROAD SWAGAT  COLONY SABDALE LAYOUT WARDHA</t>
  </si>
  <si>
    <t>AGRAGAMIHIGH SCHOOL WARDHA</t>
  </si>
  <si>
    <t>WARDHA/MAHARASHTRA</t>
  </si>
  <si>
    <t>VITHALRAO CHAMAT HIGH  SCHOOL NAGPUR</t>
  </si>
  <si>
    <t>NAGPUR /MAHARASHTRA</t>
  </si>
  <si>
    <t>DR BABASAHEB AMBEDKAR TECHNOLOGICAL  UNIVERSITY LONERE RAIGADH</t>
  </si>
  <si>
    <t>BAJAJ INSTITUTE OF TECHNOLOGY WARDHA /MAHARASHTRA</t>
  </si>
  <si>
    <t>P25700599</t>
  </si>
  <si>
    <t>RISHIKA</t>
  </si>
  <si>
    <t>Rishika Menon</t>
  </si>
  <si>
    <t>rishikamenon27@gmail.com</t>
  </si>
  <si>
    <t>p25700599@student.nicmar.ac.in</t>
  </si>
  <si>
    <t>English, Hindi, Bengali, Malayalam</t>
  </si>
  <si>
    <t>5755 1234 0060</t>
  </si>
  <si>
    <t>SADANANDA MANOJ KUMAR</t>
  </si>
  <si>
    <t>INDU MENON</t>
  </si>
  <si>
    <t>NICMAR, POST OFFICE, 25/1, NICMAR UNIVERSITY, N.I.A, BALEWADI RD, RAM NAGAR, BANER, PUNE, MAHARASHTRA 411045</t>
  </si>
  <si>
    <t>Flat No 2-D, Srinibas Mansion, Riverside Road, Burnpur, Asansol, West Bengal- 713325_x000D_</t>
  </si>
  <si>
    <t>Paschim Bardhaman</t>
  </si>
  <si>
    <t>BURNPUR RIVERSIDE SCHOOL</t>
  </si>
  <si>
    <t>CENTRAL BOARD OF SECONDARY EDUCATION, ASANSOL/WEST BENGAL</t>
  </si>
  <si>
    <t>SCHOOL OF PLANNING AND ARCHITECTURE, VIJAYAWADA/ANDHRA PRADESH</t>
  </si>
  <si>
    <t>AutoCAD,MS Office,MS Project,sketchup,revit,photoshop</t>
  </si>
  <si>
    <t>Agami Realty | Site Execution and Control | Bandra, Mumbai | May 2026 | Jul 2026 | 7.8571428571429 Weeks | Campus Internship
Milestone Design Studio | Junior Architect | Bengalurtu | Sep 2023 | Dec 2023 | 10.428571428571 Weeks
Between Spaces | Junior Architect | Bangaluru | Jun 2023 | Sep 2023 | 15.571428571429 Weeks</t>
  </si>
  <si>
    <t>P25700600</t>
  </si>
  <si>
    <t>DHANAVATHULA</t>
  </si>
  <si>
    <t>UDAY SAI</t>
  </si>
  <si>
    <t>Dhanavathula Uday Sai Naik</t>
  </si>
  <si>
    <t>sainaik939@gmail.com</t>
  </si>
  <si>
    <t>p25700600@student.nicmar.ac.in</t>
  </si>
  <si>
    <t>4538 2100 8563</t>
  </si>
  <si>
    <t>DHANAVATHULA SRINIVAS</t>
  </si>
  <si>
    <t>RAILWAY EMPLOYEE</t>
  </si>
  <si>
    <t>DHANAVATHULA PATHINI BAI</t>
  </si>
  <si>
    <t>POORNANDAM PETA ,MOHAMMED BAIG STREET,VIJAYAWADA, ANDHRA PRDESH</t>
  </si>
  <si>
    <t>Krishna</t>
  </si>
  <si>
    <t>SRI CHAITANYA</t>
  </si>
  <si>
    <t>SRI CHAITANYA JR COLLAGE</t>
  </si>
  <si>
    <t>VELAGAPUDI RAMAKRISHNA SIDDHARTHA ENGINEERING COLLAGE</t>
  </si>
  <si>
    <t>AutoCAD,MS Office,MS Project,Primavera,ARC GIS,QGIS</t>
  </si>
  <si>
    <t>GARUDALYTICS PRIVATE LIMITED | GIS TRAINING /INTERNSHIP PROGRAM | VIJAYAWADA | Jul 2022 | Aug 2022 | 7.2857142857143 Weeks</t>
  </si>
  <si>
    <t>P25700601</t>
  </si>
  <si>
    <t>SUMUKH</t>
  </si>
  <si>
    <t>VATS</t>
  </si>
  <si>
    <t>Sumukh Vats</t>
  </si>
  <si>
    <t>sumukhvats788@gmail.com</t>
  </si>
  <si>
    <t>p25700601@student.nicmar.ac.in</t>
  </si>
  <si>
    <t>03-Jun-2002</t>
  </si>
  <si>
    <t>3021 0980 7245</t>
  </si>
  <si>
    <t>MANOJ VATS</t>
  </si>
  <si>
    <t>BUILDER</t>
  </si>
  <si>
    <t>MEENU VATS</t>
  </si>
  <si>
    <t>HNO 15 VPO MITRAON VILLAGE, NAJAFGARGH, SOUTH WEST DELHI</t>
  </si>
  <si>
    <t>MAXFORT SCHOOL</t>
  </si>
  <si>
    <t>SACHDEVA GLOBAL SCHOOL</t>
  </si>
  <si>
    <t>SHREE GURU GOBIND SINGH TRICENTENARY UNIVERSITY,GURUGRAM</t>
  </si>
  <si>
    <t>SHREE GURU GOBIND SINGH TRICENTENARY UNIVERSITY, GURUGRAM</t>
  </si>
  <si>
    <t>AutoCAD,MS Office,MS Project,MSP,ETABS,STAAD PRO</t>
  </si>
  <si>
    <t>Cushman and Wakefield  | Project Management Intern  | DLF CyberHub (Gurugram, Haryana) | May 2026 | Jul 2026 | 8.7142857142857 Weeks | Campus Internship
ACE Infracity Developers Pvt Ltd. | Site Trainee | Noida , sector 150 | Feb 2024 | Jun 2024 | 18.285714285714 Weeks
AIRPORT AUTHORITY OF INDIA. | Site trainee | New Delhi | Jul 2023 | Aug 2023 | 6 Weeks</t>
  </si>
  <si>
    <t>Construction Project Management
Construction Cost Estimating and Cost Control
EPFL- Smart Cities â€“ Management of Smart Urban
Investment Risk Management
Business Analysis &amp; Process Management
Google-Foundations Data, Data, Everywhere
The Construction Industry The Way Forward
Mastering bitumen for better roads and innovative</t>
  </si>
  <si>
    <t>P25700602</t>
  </si>
  <si>
    <t>Riya Singh</t>
  </si>
  <si>
    <t>riyasingh41911@gmail.com</t>
  </si>
  <si>
    <t>p25700602@student.nicmar.ac.in</t>
  </si>
  <si>
    <t>16-Dec-2001</t>
  </si>
  <si>
    <t>ENGLISH AND HINDI</t>
  </si>
  <si>
    <t>5339 2470 4706</t>
  </si>
  <si>
    <t>SANJAY SINGH</t>
  </si>
  <si>
    <t>SIYA SINGH</t>
  </si>
  <si>
    <t>WHITE HOUSE PG HINJEWADI PHASE 1</t>
  </si>
  <si>
    <t>Ward No 2 Infront Of Balram Ice Factory</t>
  </si>
  <si>
    <t>ST. ALOYSIUS HIGH SCHOOL, SHAHDOL</t>
  </si>
  <si>
    <t>BOARD OF SECONDARY EDUCATION, MADHYA PRADESH, BHOPAL</t>
  </si>
  <si>
    <t>DAV BURHAR PUBLIC SCHOOL PAKARIA BURHAR SHAHDOL, M.P.</t>
  </si>
  <si>
    <t>LAKSHMI NARAIN COLLEGE OF TECHNOLOGY, BHOPAL</t>
  </si>
  <si>
    <t>AutoCAD,MS Office,Ms excel,QGIS,Google earth Pro</t>
  </si>
  <si>
    <t>Sombansi Enviro Engg. Pvt. Ltd. | Graduate Engineer Trainee | Ghaziabad (U.P.) | May 2023 | Nov 2023 | 0Y 5M | 2.4
Deccan Technical Consultant LLP | Engineer- Projects | Bhopal (M.P.) | Dec 2023 | Jul 2025 | 1Y 7M | 3</t>
  </si>
  <si>
    <t>Primark associate  | Project coordination and management  | Pune | May 2026 | Jul 2026 | 9.2857142857143 Weeks | Campus Internship</t>
  </si>
  <si>
    <t>P25700603</t>
  </si>
  <si>
    <t>DIVYANSH</t>
  </si>
  <si>
    <t>Divyansh Gupta</t>
  </si>
  <si>
    <t>divyanshtushar11@gmail.com</t>
  </si>
  <si>
    <t>p25700603@student.nicmar.ac.in</t>
  </si>
  <si>
    <t>11-Apr-2001</t>
  </si>
  <si>
    <t>2044 4439 7245</t>
  </si>
  <si>
    <t>RAJESH KUMAR GUPTA</t>
  </si>
  <si>
    <t>PRAMILA GUPTA</t>
  </si>
  <si>
    <t>Choubey Colony Near Family Super Store</t>
  </si>
  <si>
    <t>Chhatarpur</t>
  </si>
  <si>
    <t>MARIA MATA CONVENT HIGH SCHOOL</t>
  </si>
  <si>
    <t>CENTRAL BOARD OF SECONDARY EDUCATION CHHATARPUR/MADHYA PRADESH</t>
  </si>
  <si>
    <t>MEDI-CAPS UNIVERSITY</t>
  </si>
  <si>
    <t>Sobha Limited  | Project Planning  | Gurugram  | May 2026 | Jul 2026 | 9 Weeks | Campus Internship
PATH HIGHWAYS | Trainee | Indore | Jan 2021 | Jan 2021 | 2 Weeks
RS Associate's | Civil Engineer | Indore | Oct 2023 | Oct 2024 | 52.285714285714 Weeks
Public Work Department | Intern | Chhatarpur | Jan 2022 | Apr 2022 | 17 Weeks</t>
  </si>
  <si>
    <t>P25700604</t>
  </si>
  <si>
    <t>MAHESHWARI</t>
  </si>
  <si>
    <t>AHIRE</t>
  </si>
  <si>
    <t>Maheshwari Ahire</t>
  </si>
  <si>
    <t>mhshwriahr01@gmail.com</t>
  </si>
  <si>
    <t>p25700604@student.nicmar.ac.in</t>
  </si>
  <si>
    <t>6790 8127 3141</t>
  </si>
  <si>
    <t>ASHOK AHIRE</t>
  </si>
  <si>
    <t>NAYANA</t>
  </si>
  <si>
    <t>64, NAYAN VILLA, RENUKA NAGAR, WADIBHOKAR ROAD, DHULE, MAHARASHTRA, 424002</t>
  </si>
  <si>
    <t>A/P Borvihir, Dhule, Maharashtra, 424311</t>
  </si>
  <si>
    <t>JAI HIND HIGH SCHOOL &amp; JUNIOR COLLEGE, DHULE</t>
  </si>
  <si>
    <t>SHRI NANASAHEB ZULAL BHILAJIRAO PATIL HIGHER SECONDARY SCHOOL, DHULE</t>
  </si>
  <si>
    <t>VEERMATA JIJABAI TECHNOLOGICAL INSTITUTE, MATUNGA, MUMBAI,400019</t>
  </si>
  <si>
    <t>Jones Lang LaSalle | Project Engineer | Mumbai | Jul 2023 | Dec 2024 | 1Y 5M | 4.5</t>
  </si>
  <si>
    <t>Suryapriya Construction pvt lmt  | Project Planning | Banglore, Karnataka  | May 2026 | Jul 2026 | 8.7142857142857 Weeks | Campus Internship
K H CONSTRUCTION, MUMBAI | INTERN | MUMBAI | Jun 2022 | Jul 2022 | 8.5714285714286 Weeks</t>
  </si>
  <si>
    <t>P25700605</t>
  </si>
  <si>
    <t>ARYAN</t>
  </si>
  <si>
    <t>ABHIJIT</t>
  </si>
  <si>
    <t>DIGHOLE</t>
  </si>
  <si>
    <t>Aryan Abhijit Dighole</t>
  </si>
  <si>
    <t>aryandighole@gmail.com</t>
  </si>
  <si>
    <t>p25700605@student.nicmar.ac.in</t>
  </si>
  <si>
    <t>07-Sep-2000</t>
  </si>
  <si>
    <t>2712 6145 7842</t>
  </si>
  <si>
    <t>VRUSHALI</t>
  </si>
  <si>
    <t>A-303, ASHTAVINAYAK TOWER, BEHIND HDFC BANK, THATTE NAGAR, GANGAPUR ROAD, NASHIK</t>
  </si>
  <si>
    <t>PLOT NO. 53, AKSHAY BUNGALOW, OPPOSITE YES BANK, KULKARNI BAUG, COLLEGE ROAD, NASHIK</t>
  </si>
  <si>
    <t>SYMBIOSIS SCHOOL</t>
  </si>
  <si>
    <t>CENTRAL BOARD OF SECONDARY EDUCATION, MAHARASHTRA</t>
  </si>
  <si>
    <t>K.V.N NAIK COLLEGE OF ARTS, COMMERCE AND SCIENCE</t>
  </si>
  <si>
    <t>HIGHER SECONDARY EDUCATION, MAHARASHTRA</t>
  </si>
  <si>
    <t>K.K. WAGH COLLEGE OF ENGINEERING EDUCATION AND RESEARCH</t>
  </si>
  <si>
    <t>AutoCAD, MS Office, MS Project, Primavera P6</t>
  </si>
  <si>
    <t>SOBHA LIMITED | SITE EXECUTION | SOBHA ATLANTIS, KOCHI, KERALA | May 2026 | Jul 2026 | 9 Weeks | Campus Internship</t>
  </si>
  <si>
    <t>Estimation and Costing
AUTOCAD
Finance for Non-finance managers</t>
  </si>
  <si>
    <t>P25700606</t>
  </si>
  <si>
    <t>BABARAOJI</t>
  </si>
  <si>
    <t>Gunjan Babaraoji Khandare</t>
  </si>
  <si>
    <t>khandaregunjankhandare@gmail.com</t>
  </si>
  <si>
    <t>p25700606@student.nicmar.ac.in</t>
  </si>
  <si>
    <t>24-Dec-1998</t>
  </si>
  <si>
    <t>6191 7004 0445</t>
  </si>
  <si>
    <t>SITE SUPERVISOR</t>
  </si>
  <si>
    <t>MAYAWATI</t>
  </si>
  <si>
    <t>SANT TUKDOJI WARD PIMPALGAON ROAD BEHIND COTTAGE HOSPITAL HINGANGHAT DISTRICT WARDHA</t>
  </si>
  <si>
    <t>MAHESH GYANPEETH HIGH SCHOOL</t>
  </si>
  <si>
    <t>GOVERNMENT POLYTECHNIC, JALGAON</t>
  </si>
  <si>
    <t>PROF RAM MEGHE COLLEGE OF ENGINEERING &amp; MANAGEMENT, BADNERA</t>
  </si>
  <si>
    <t>AutoCAD,MS Office,MS Project,Primavera,Advanced Excel Certification.,CERTIFIED POWER BI PROFESSIONAL (CBIP).</t>
  </si>
  <si>
    <t>PRAMUKH REAL ESTATE LLP | GRADUATE ENGINEER TRAINEE | VAPI | Dec 2021 | Sep 2024 | 2Y 9M | 1.44
SILVERBELL REALTY | PROJECT ENGINEER | VAPI | Nov 2024 | Feb 2025 | 0Y 3M | 3.12
DREAMBOAT PARTNERS | CHIEF PROJECT ENGINEER | VAPI | Feb 2025 | Jun 2025 | 0Y 3M | 5.28</t>
  </si>
  <si>
    <t>P25700607</t>
  </si>
  <si>
    <t>GREGORY</t>
  </si>
  <si>
    <t>JOHN</t>
  </si>
  <si>
    <t>Gregory John</t>
  </si>
  <si>
    <t>gregoyjohn911@gmail.com</t>
  </si>
  <si>
    <t>p25700607@student.nicmar.ac.in</t>
  </si>
  <si>
    <t>09-Nov-2003</t>
  </si>
  <si>
    <t>English, Tamil , Malayalam</t>
  </si>
  <si>
    <t>7911 1484 8347</t>
  </si>
  <si>
    <t>JOHN MATHEN</t>
  </si>
  <si>
    <t>JILLY JOHN</t>
  </si>
  <si>
    <t>108, Government Arts College Road, Race Course, Coimbatore, Tamil Nadu</t>
  </si>
  <si>
    <t>STANES ANGLO INDIAN HIGHER SECONDARY SCHOOL</t>
  </si>
  <si>
    <t>TAMIL NADU STATE BOARD</t>
  </si>
  <si>
    <t>AMRITA SCHOOL OF ENGINEERING</t>
  </si>
  <si>
    <t>J Kumar Infra Projects | Intern- Site Execution | Chennai | May 2026 | Jun 2026 | 7.8571428571429 Weeks | Campus Internship
Josmi Constructions | Trainee Engineer | Coimbatore | Jan 2025 | Jun 2025 | 25.714285714286 Weeks
URC Construction Private Limited | Intern | Chennai | Jun 2024 | Jun 2024 | 2.4285714285714 Weeks</t>
  </si>
  <si>
    <t>Sustainable Design Of Buildings
Principles Of Construction Management</t>
  </si>
  <si>
    <t>P25700608</t>
  </si>
  <si>
    <t>ISHITA</t>
  </si>
  <si>
    <t>SARAGADA</t>
  </si>
  <si>
    <t>Ishita Saragada</t>
  </si>
  <si>
    <t>ishitasaragada@gmail.com</t>
  </si>
  <si>
    <t>p25700608@student.nicmar.ac.in</t>
  </si>
  <si>
    <t>ENGLISH, TELUGU</t>
  </si>
  <si>
    <t>7910 2573 1200</t>
  </si>
  <si>
    <t>SURESH REDDY SARAGADA LATE</t>
  </si>
  <si>
    <t>EX-SERVICEMEN (NAVY)</t>
  </si>
  <si>
    <t>JAYA LAKSHMI SARAGADA</t>
  </si>
  <si>
    <t>BANK EMPLOYEE</t>
  </si>
  <si>
    <t>D. No 53-7-7/2, Atchi Vari Street_x000D_
Maddilapalem,Visakhapatnam</t>
  </si>
  <si>
    <t>SRI PRAKSH VIDYANIKETAN</t>
  </si>
  <si>
    <t>ANDHRA UNIVERSITY</t>
  </si>
  <si>
    <t>ANIL NEERUKONDA INSTITUTE OF TECHNOLOGY AND SCIENCES, VISAKHAPATNAM, ANDHRA PRADESH</t>
  </si>
  <si>
    <t>ASIAN PAINTS | Summer Intern - Project Sales | Chennai, Tamil Nadu | May 2026 | Jul 2026 | 8.7142857142857 Weeks | Campus Internship
SHAPOORJI PALLONJI CONSTRUCTION PRIVATE LIMITED | Intern â€“ Project Controls &amp; Commercial Operations at IIM Visakhapatnam  | VISAKHAPATNAM | Jul 2024 | Aug 2024 | 4.2857142857143 Weeks</t>
  </si>
  <si>
    <t>P25700609</t>
  </si>
  <si>
    <t>SURESHKUMAR</t>
  </si>
  <si>
    <t>Shubham Sureshkumar Prasad</t>
  </si>
  <si>
    <t>shubhamprasad338@gmail.com</t>
  </si>
  <si>
    <t>p25700609@student.nicmar.ac.in</t>
  </si>
  <si>
    <t>3106 9386 1891</t>
  </si>
  <si>
    <t>SURESHKUMAR PRASAD</t>
  </si>
  <si>
    <t>REETA PRASAD</t>
  </si>
  <si>
    <t>Tiranga Society, C-8, 3-16, Sector 25, Juinagar, Navi Mumbai</t>
  </si>
  <si>
    <t>CENTRAL BOARD OF SECONDARY EDUCATION ( CBSE )</t>
  </si>
  <si>
    <t>TERNA ENGINEERING COLLEGE, NERUL, NAVI-MUMBAI</t>
  </si>
  <si>
    <t>RIB CostX, Excel, AutoCAD, MS Project, Primavera, Revit</t>
  </si>
  <si>
    <t>BOXOFFICE SPACE | INTERN | Pune | May 2026 | Jul 2026 | 8.7142857142857 Weeks | Campus Internship
DIRECTORATE OF CONSTRUCTION, SERVICES AND ESTATE MANAGEMENT, DEPARTMENT OF ATOMIC ENERGY, GOVERNMENT OF INDIA | INTERN | MUMBAI | Dec 2022 | Jan 2023 | 4 Weeks
VIKAS CONSTRUCTION | Estimation &amp; Costing intern | Mumbai | Jan 2025 | Apr 2025 | 12.857142857143 Weeks</t>
  </si>
  <si>
    <t>Construction Cost Estimating and Cost Control 
Data Analysis
Project Planning and Execution Management
Project - Monitoring and Control
Project Management - Initiation and Planning
Project Management in  Construction</t>
  </si>
  <si>
    <t>P25700610</t>
  </si>
  <si>
    <t>LLOYD</t>
  </si>
  <si>
    <t>ALBAN</t>
  </si>
  <si>
    <t>MORAES</t>
  </si>
  <si>
    <t>Lloyd Alban Moraes</t>
  </si>
  <si>
    <t>lloydmrs007@gmail.com</t>
  </si>
  <si>
    <t>p25700610@student.nicmar.ac.in</t>
  </si>
  <si>
    <t>11-Dec-1996</t>
  </si>
  <si>
    <t>4347 9465 4807</t>
  </si>
  <si>
    <t>ABC</t>
  </si>
  <si>
    <t>LORRENE</t>
  </si>
  <si>
    <t>A-101,EMERALD,MAHAVIR UNIVERSE,OPP. DMART,CHILHAR ROAD,BOISAR(E)</t>
  </si>
  <si>
    <t>MORAES LLOYD ALBAN</t>
  </si>
  <si>
    <t>TARAPUR VIDYA MANDIR</t>
  </si>
  <si>
    <t>2015-Feb</t>
  </si>
  <si>
    <t>ST.JOHN COLLEGE OF ENGINEERING AND MANAGEMENT,PALGHAR/MAHARSHTRA</t>
  </si>
  <si>
    <t>AGAMI REALTY | SITE ENGINEER | BANDRA,MUMBAI | Dec 2020 | May 2025 | 4Y 5M | 4.2</t>
  </si>
  <si>
    <t>4 Years 6 Months</t>
  </si>
  <si>
    <t>Cherry Hill Interiors Pvt. Ltd. | Project Management Trainee | Banglore | May 2026 | Jul 2026 | 8.5714285714286 Weeks | Campus Internship
ADHIKARI RMC | QA/QC | BOISAR,MAHARASHTRA | Jun 2019 | Jul 2019 | 6.8571428571429 Weeks
K K BUILDERS | TRAINEE | PALGHAR,MAHARASHTRA | May 2016 | Jun 2016 | 4.2857142857143 Weeks</t>
  </si>
  <si>
    <t>APTECH MSP CERTIFICATION</t>
  </si>
  <si>
    <t>P25700611</t>
  </si>
  <si>
    <t>WAMAN</t>
  </si>
  <si>
    <t>Omkar Santosh Waman</t>
  </si>
  <si>
    <t>omkar.waman99@gmail.com</t>
  </si>
  <si>
    <t>p25700611@student.nicmar.ac.in</t>
  </si>
  <si>
    <t>9611 4444 4338</t>
  </si>
  <si>
    <t>SANTOSH RAMBHAU WAMAN</t>
  </si>
  <si>
    <t>SUREKHA SANTOSH WAMAN</t>
  </si>
  <si>
    <t>301/10,Celebration KH4,Sector 17,Kharghar,Navi Mumbai</t>
  </si>
  <si>
    <t>I.E.S.V.N.SULE GURUJI ENGLISH MEDIUM SCHOOL</t>
  </si>
  <si>
    <t>MAHARASHTRA STATE BOARD ,MUMBAI/MAHARSHTRA</t>
  </si>
  <si>
    <t>MAHARSHI DAYANAND COLLEGE OF ARTS, COMMERCE AND SCIENCE</t>
  </si>
  <si>
    <t>ANJUMAN-I-ISLAMS M.H.SABOO SIDDIK COLLEGE OF ENGINEERING,MUMBAI/MAHARASHTRA</t>
  </si>
  <si>
    <t>GIRISH ENTERPRISES PRIVATE LIMITED | TRAINEE CIVIL ENGINEER | Taloja, Navi Mumbai | Nov 2024 | Jun 2025 | 0Y 6M | 3</t>
  </si>
  <si>
    <t>SOBHA LIMITED | Project Management Intern | GIFT City, Ahmedabad | May 2026 | Jul 2026 | 9 Weeks | Campus Internship
CITY AND INDUSTRIAL DEVLOPMENT CORPORATION OF MAHARASHTRA LIMITED | INTERN | TALOJA, NAVI MUMBAI | Jun 2023 | Jun 2023 | 4.1428571428571 Weeks</t>
  </si>
  <si>
    <t>P25700612</t>
  </si>
  <si>
    <t>SANGMESHWAR</t>
  </si>
  <si>
    <t>SHAMBHU</t>
  </si>
  <si>
    <t>JALKOTE</t>
  </si>
  <si>
    <t>Sangmeshwar Shambhu Jalkote</t>
  </si>
  <si>
    <t>jalkotesangmeshwar@gmail.com</t>
  </si>
  <si>
    <t>p25700612@student.nicmar.ac.in</t>
  </si>
  <si>
    <t>3490 0542 7678</t>
  </si>
  <si>
    <t>SHAMBHU JALKOTE</t>
  </si>
  <si>
    <t>MAHADEVI JALKOTE</t>
  </si>
  <si>
    <t>R1/6 Ramesh Wande Nagar Near Mari Aai Mandir, Upper Village Kolshet</t>
  </si>
  <si>
    <t>KENDRIYA VIDYALA AFS THANE</t>
  </si>
  <si>
    <t>KENDRIYA VIDYALAYA AFS THANE</t>
  </si>
  <si>
    <t>A.P SHAH INSTITUTE OF TECHNOLOGY THANE</t>
  </si>
  <si>
    <t>AutoCAD,MS Office,MS Project,Primavera,BIM,Market Research &amp; Feasibility Support,Tender Documentation &amp; Vendor Coordination</t>
  </si>
  <si>
    <t>Asian Paints Limited | Project Sales | Mumbai, Navi Mumbai | May 2026 | Jul 2026 | 8.7142857142857 Weeks | Campus Internship
HARSH CONSTRUCTION PVT LTD | INTERN | THANE | May 2023 | Jul 2023 | 7.4285714285714 Weeks
ADITIYA ENTERPRISES | INTERN | MUMBAI | Dec 2021 | Jan 2023 | 57.857142857143 Weeks
GUBBI CIVIL ENGINEERS | INTERN | MUMBAI | Jun 2024 | Jun 2025 | 56.285714285714 Weeks</t>
  </si>
  <si>
    <t>Professional Drafting and Presentation
Universal Human Values
Finance for non Finance mangers
Six Sigma</t>
  </si>
  <si>
    <t>P25700613</t>
  </si>
  <si>
    <t>SARUMATHI</t>
  </si>
  <si>
    <t>Sarumathi C</t>
  </si>
  <si>
    <t>sarumathichinnaiyan32@gmail.com</t>
  </si>
  <si>
    <t>p25700613@student.nicmar.ac.in</t>
  </si>
  <si>
    <t>ENGLISH,TAMIL,HINDI</t>
  </si>
  <si>
    <t>2607 5741 3904</t>
  </si>
  <si>
    <t>CHINNAIYAN.S</t>
  </si>
  <si>
    <t>RAMAMIRTHAM.C</t>
  </si>
  <si>
    <t>615,SOUTH STREET,THIRUMANGALAKKOTAI WEST,ORATHANADU(TK),THANJAVUR(DT)</t>
  </si>
  <si>
    <t>BRINDHAVAN HIGHER SECONDARY SCHOOL</t>
  </si>
  <si>
    <t>STATE BOARD OF SCHOOL EXAMINATIONS,TAMILNADU</t>
  </si>
  <si>
    <t>SASTRA DEEMED TO BE UNIVERSITY,THANJAVUR</t>
  </si>
  <si>
    <t>AutoCAD, MS Office, MS Project, Primavera, Excel, ArcGIS, Power BI</t>
  </si>
  <si>
    <t>DRA HOMES AND DEVELOPERS | GET-CONTRACTS &amp; QS | CHENNAI | Jul 2024 | Feb 2025 | 0Y 6M | 2.16</t>
  </si>
  <si>
    <t>BECHTEL INDIA PRIVATE LIMITED | PROJECT CONTROLS | Gurgaon, HaryanaGurgaon,Haryana | May 2026 | Jul 2026 | 7.5714285714286 Weeks | Campus Internship
CHENNAI METROPOLITIAN DEVELOPMENT AUTHORITY-CMDA | SUMMER INTERN | CHENNAI | Dec 2023 | Mar 2024 | 14.857142857143 Weeks</t>
  </si>
  <si>
    <t>Shaping Urban Futures
Renewable Energy and Green Building  Entrepreneurship</t>
  </si>
  <si>
    <t>P25700614</t>
  </si>
  <si>
    <t>OKTE</t>
  </si>
  <si>
    <t>Ayush Okte</t>
  </si>
  <si>
    <t>ayushokte76@gmail.com</t>
  </si>
  <si>
    <t>p25700614@student.nicmar.ac.in</t>
  </si>
  <si>
    <t>06-Jul-2002</t>
  </si>
  <si>
    <t>Hindi,English or Marathi</t>
  </si>
  <si>
    <t>2187 4952 9582</t>
  </si>
  <si>
    <t>RATNAKAR OKTE</t>
  </si>
  <si>
    <t>SUNITA OKTE</t>
  </si>
  <si>
    <t>HOUSHE WIFE</t>
  </si>
  <si>
    <t>CM. RISE HIGH SCHOOL KE PAS GURAIYA USHARIYA WARD NO.20 CHHINDWARA</t>
  </si>
  <si>
    <t>GOVERNMENT HIGHER SECONDARY SCHOOL GURRAIYA CHHINDWARA</t>
  </si>
  <si>
    <t>GOVT. ADARSH MULTI PURPOSH HIGHER SECONDARY EXCELLENCE SCHOOL, CHHINDWARA</t>
  </si>
  <si>
    <t>RAJIV GANDHI PROUDYOGIKI VISHWAVIDYALAYA BHOPAL</t>
  </si>
  <si>
    <t>MALWA INSTITUTE OF TECHNOLOGY,INDORE MADHYA PRADESH</t>
  </si>
  <si>
    <t>DEV BHOOMI DEVELOPERS | SITE ENGINEER | CHHINDWARA | Jun 2023 | Dec 2023 | 0Y 6M | 1.8</t>
  </si>
  <si>
    <t>Goa State Infrastructure Development Corporation Limited | Site execution |  Construction of Panchayat Ghar and Shopping Complex along with Community Hall at Bazar Shiroda in the Property of V.P. Shiroda.  | May 2026 | Jul 2026 | 8.7142857142857 Weeks | Campus Internship</t>
  </si>
  <si>
    <t>P25700615</t>
  </si>
  <si>
    <t>PANICKER</t>
  </si>
  <si>
    <t>Vishnu Sunil Panicker</t>
  </si>
  <si>
    <t>vishnus8005@gmail.com</t>
  </si>
  <si>
    <t>p25700615@student.nicmar.ac.in</t>
  </si>
  <si>
    <t>18-May-2001</t>
  </si>
  <si>
    <t>ENGLISH, HINDI, MARATHI, MALAYALAM</t>
  </si>
  <si>
    <t>8824 4047 2522</t>
  </si>
  <si>
    <t>SUNIL KUMAR C PANICKER</t>
  </si>
  <si>
    <t>SIMMY SUNIL PANICKER</t>
  </si>
  <si>
    <t>104, B-4 Nandkishor CHS LTD, Vrindavan Complex, Sukapur, New Panvel</t>
  </si>
  <si>
    <t>CHANGU KHANA THAKUR VIDYALAYA &amp; JR. COLLEGE</t>
  </si>
  <si>
    <t>PILLAI HOC COLLEGE OF ENGINEERING AND TECHNOLOGY, RASAYANI, MAHARASHTRA.</t>
  </si>
  <si>
    <t>Ajwani Infrastructure Pvt Ltd | Assistant resident Engineer | Navade, Taloja, Maharashtra | Dec 2023 | Jun 2025 | 1Y 6M | 2.71</t>
  </si>
  <si>
    <t>Cherry Hill Pvt Ltd | Management Trainee | Pune | May 2026 | Jul 2026 | 8.7142857142857 Weeks | Campus Internship
SIMSA Infraprojects PVT LTD | Jr. Engineer | Rasayani, Maharashtra  | Jun 2023 | Aug 2023 | 12.857142857143 Weeks
CITY AND INDUSTRIAL DEVELOPMENT CORPORATION OF MAHARASHTRA | INTERNSHIP TRAINEE | TALOJA, MAHARASHTRA. BHAMANDONGIRI | Jun 2022 | Jul 2022 | 4.2857142857143 Weeks
THAKUR INFRAPROJECTS PVT LTD | CIVIL SUPERVISOR | JASAI, URAN | Dec 2021 | Jan 2022 | 3.5714285714286 Weeks</t>
  </si>
  <si>
    <t>P25700617</t>
  </si>
  <si>
    <t>KALAMBE</t>
  </si>
  <si>
    <t>Devanshu Vikas Kalambe</t>
  </si>
  <si>
    <t>kalambedevanshu@gmail.com</t>
  </si>
  <si>
    <t>p25700617@student.nicmar.ac.in</t>
  </si>
  <si>
    <t>4931 0718 4976</t>
  </si>
  <si>
    <t>VIKAS KALAMBE</t>
  </si>
  <si>
    <t>SHUBHANGI KALAMBE</t>
  </si>
  <si>
    <t>53/B, Ramna Maruti Nagar</t>
  </si>
  <si>
    <t>TEJASWINI VIDYAMANDIR</t>
  </si>
  <si>
    <t>WANI Projects &amp; Infra | Site Execution + Control Intern | PUNE | May 2026 | Jun 2026 | 8.1428571428571 Weeks | Campus Internship
Panacea Civil India Pvt. ltd. | Site Engineer Intern | Pune | Jan 2025 | Jun 2025 | 25.714285714286 Weeks</t>
  </si>
  <si>
    <t>P25700618</t>
  </si>
  <si>
    <t>ANKUR</t>
  </si>
  <si>
    <t>KOLTE</t>
  </si>
  <si>
    <t>Ankur Sanjay Kolte</t>
  </si>
  <si>
    <t>kolteankur28@gmail.com</t>
  </si>
  <si>
    <t>p25700618@student.nicmar.ac.in</t>
  </si>
  <si>
    <t>28-Apr-2002</t>
  </si>
  <si>
    <t>9834 5479 0283</t>
  </si>
  <si>
    <t>SANJAY KOLTE</t>
  </si>
  <si>
    <t>DEEPALI KOLTE</t>
  </si>
  <si>
    <t>C808,Palm Springs,SB Patil College Road,Ravet,PCMC,Pune</t>
  </si>
  <si>
    <t>SONA I ENGLISH MEDIUM HIGH SCHOOL,PUNE</t>
  </si>
  <si>
    <t>BHARATI VIDYAPEETH'S COLLEGE OF ENGINEERING,LAVALE,PUNE</t>
  </si>
  <si>
    <t>AutoCAD,MS Office,MS Project,Primavera,Quantity Surveying Building Estimation BBS with Excel &amp;CAD</t>
  </si>
  <si>
    <t>PSC Infracon Pvt. Ltd. | Junior Engineer | Wakad,Pune | Jul 2024 | May 2025 | 0Y 9M | 2.71</t>
  </si>
  <si>
    <t>EMBASSY DEVELOPMENTS LIMITED | BUSINESS DEVELOPMENT INTERN | Mumbai,Maharashtra | May 2026 | Jul 2026 | 8.2857142857143 Weeks | Campus Internship
VANCON ENGINEERS | INTERN | PUNE | Jan 2023 | Feb 2023 | 4.1428571428571 Weeks
KOLTE-PATIL DEVELOPERS LTD. | INTERN | UNDRI,PUNE | Sep 2021 | Nov 2021 | 12.857142857143 Weeks</t>
  </si>
  <si>
    <t>Real Estate Financial Modeling by CFI
Data Analysis
Quantity Surveying Building Estimation BBS with EXCEL and CAD
Finance for Non-Financial Managers</t>
  </si>
  <si>
    <t>P25700619</t>
  </si>
  <si>
    <t>Chirag Kumar</t>
  </si>
  <si>
    <t>chiragpratibha1997@gmail.com</t>
  </si>
  <si>
    <t>p25700619@student.nicmar.ac.in</t>
  </si>
  <si>
    <t>23-Jan-1997</t>
  </si>
  <si>
    <t>9690 4789 1076</t>
  </si>
  <si>
    <t>RAVINDRA KUMAR</t>
  </si>
  <si>
    <t>PRATIBHA KUMARI</t>
  </si>
  <si>
    <t>E-1008, Fusion Homes, TechZone 4, Greater Noida West</t>
  </si>
  <si>
    <t>DAV PUBLIC SCHOOL, VASANT KUNJ</t>
  </si>
  <si>
    <t>MANIPAL UNIVERSITY JAIPUR, RAJASTHAN</t>
  </si>
  <si>
    <t>Pidilite Industries Ltd. | Summer Intern | Delhi NCR | May 2026 | Jun 2026 | 7.5714285714286 Weeks | Campus Internship</t>
  </si>
  <si>
    <t>P25700620</t>
  </si>
  <si>
    <t>Aditya Agrawal</t>
  </si>
  <si>
    <t>aditya.agrawal.1930@gmail.com</t>
  </si>
  <si>
    <t>p25700620@student.nicmar.ac.in</t>
  </si>
  <si>
    <t>03-Jan-2002</t>
  </si>
  <si>
    <t>7279 9916 6529</t>
  </si>
  <si>
    <t>ROOPESH AGRAWAL</t>
  </si>
  <si>
    <t>MAMTA AGRAWAL</t>
  </si>
  <si>
    <t>T-49, Shalin-3, New Vavol</t>
  </si>
  <si>
    <t>Gandhinagar</t>
  </si>
  <si>
    <t>HILLWOODS SCHOOL</t>
  </si>
  <si>
    <t>CBSE GANDHINAGAR/GUJARAT</t>
  </si>
  <si>
    <t>AHMEDABAD PUBLIC SCHOOL INTERNATIONAL</t>
  </si>
  <si>
    <t>CENTRE FOR ENVIRONMENTAL PLANNING AND TECHNOLOGY</t>
  </si>
  <si>
    <t>CENTRE FOR ENVIRONMENTAL PLANNING AND TECHNOLOGY, AHMEDABAD, GUJARAT</t>
  </si>
  <si>
    <t>AutoCAD,MS Office,Sketchup,STAAD Pro,Photoshop,Enscape</t>
  </si>
  <si>
    <t>Masin Projects Pvt. Ltd. | Intern - Quantum Analysis | Gurugram | May 2026 | Jul 2026 | 8.7142857142857 Weeks | Campus Internship
Prajukti Consultants Pvt. Ltd. | Structural Design | Gurugram | Jan 2023 | Apr 2023 | 16.857142857143 Weeks</t>
  </si>
  <si>
    <t>Human Resources Management Essentials
Finance for Non-financial managers
Ethics in Engineering Practice
DIGI QC
Data Analysis
Construction Equipment Maintenance &amp; Safety</t>
  </si>
  <si>
    <t>P25700621</t>
  </si>
  <si>
    <t>RISHAV</t>
  </si>
  <si>
    <t>Rishav Raj</t>
  </si>
  <si>
    <t>rishav0013@gmail.com</t>
  </si>
  <si>
    <t>p25700621@student.nicmar.ac.in</t>
  </si>
  <si>
    <t>03-Jun-2003</t>
  </si>
  <si>
    <t>3413 6652 2703</t>
  </si>
  <si>
    <t>PRAMOD KUMAR</t>
  </si>
  <si>
    <t>SANGITA DEVI</t>
  </si>
  <si>
    <t>NICMAR UNIVERSITY</t>
  </si>
  <si>
    <t>A/54, Matru Sadan, Mitramandal Colony_x000D_</t>
  </si>
  <si>
    <t>VIDYA NIKETAN (BIRLA PUBLIC SCH) PILANI RAJ</t>
  </si>
  <si>
    <t>PILANI, RAJASTHAN</t>
  </si>
  <si>
    <t>P. P. M. SCHOOL VENKATESHWAR NAGER</t>
  </si>
  <si>
    <t>MOHALI, PUNJAB</t>
  </si>
  <si>
    <t>AutoCAD,MS Office,MS Project,Primavera,ARC GIS,Open Roads,Revit,CostX,QGIS,3DsMax</t>
  </si>
  <si>
    <t>REHLANI INFRATECH PVT. LTD. | PROJECT SUPERVISOR | AJMER | May 2024 | Jul 2024 | 6.1428571428571 Weeks</t>
  </si>
  <si>
    <t>Ethics in Engineering Practice
Finance for Non-Financial Managers
Application of GIS &amp; Remote Sensing in Civil Engineering</t>
  </si>
  <si>
    <t>P25700622</t>
  </si>
  <si>
    <t>KETAN</t>
  </si>
  <si>
    <t>UPASE</t>
  </si>
  <si>
    <t>Yash Ketan Upase</t>
  </si>
  <si>
    <t>yashupase02@gmail.com</t>
  </si>
  <si>
    <t>p25700622@student.nicmar.ac.in</t>
  </si>
  <si>
    <t>English, Marathi, Hindi, Kannada</t>
  </si>
  <si>
    <t>6532 2821 1497</t>
  </si>
  <si>
    <t>KETAN UPASE</t>
  </si>
  <si>
    <t>BHAGYASHREE</t>
  </si>
  <si>
    <t>HIREMATH HOUSE, BEHIND SHREE GURU INDEPENDENT PU COLLEGE, OZA LAYOUT</t>
  </si>
  <si>
    <t>House No 68, Om Nilaya, 5th Cross  Swami Vivekanand Nagar</t>
  </si>
  <si>
    <t>LITTLE FLOWER CONVENT HIGH SCHOOL, SOLAPUR</t>
  </si>
  <si>
    <t>PUNE DIVISIONAL BOARD, SOLAPUR, MAHARASHTRA</t>
  </si>
  <si>
    <t>SANGAMESHWAR COLLEGE, SOLAPUR</t>
  </si>
  <si>
    <t>SHARNBASVA UNIVERSITY</t>
  </si>
  <si>
    <t>SHARNBASVA UNIVERSITY, KALABURAGI, KARNATAKA</t>
  </si>
  <si>
    <t>Rodic Consultants Pvt Ltd | Business Development | New Delhi | May 2026 | Jul 2026 | 8.5714285714286 Weeks | Campus Internship
Sakshi Enterprises | Intern | Jejuri, Pune | Mar 2024 | May 2024 | 8.5714285714286 Weeks</t>
  </si>
  <si>
    <t>ICCRIP Conference Certificate (Hospitallity Management)
Finance for Non- Financial Managers</t>
  </si>
  <si>
    <t>P25700623</t>
  </si>
  <si>
    <t>TRIPATHI</t>
  </si>
  <si>
    <t>Sejal . Tripathi</t>
  </si>
  <si>
    <t>p25700623@student.nicmar.ac.in</t>
  </si>
  <si>
    <t>25-Feb-2002</t>
  </si>
  <si>
    <t>6396 8316 8116</t>
  </si>
  <si>
    <t>SANJAY TRIPATHI</t>
  </si>
  <si>
    <t>POONAM TRIPATHI</t>
  </si>
  <si>
    <t>Kasaridih Borsi Road Mukt Nagar Durg</t>
  </si>
  <si>
    <t>Durg</t>
  </si>
  <si>
    <t>SRI SANKARA VIDYALAYA SECTOR-X BHILAI DURG CG</t>
  </si>
  <si>
    <t>SHRI SHANKARACHARYA VIDYALAYA AMDI NGR BHILAI CG</t>
  </si>
  <si>
    <t>CHHATTISGARH SWAMI VIVEKANAND TECHNICAL UNIVERSITY, BHILAI</t>
  </si>
  <si>
    <t>SHRI  SHANKARACHARYA TECHNICAL CAMPUS, BHILAI CHHATTISGARH</t>
  </si>
  <si>
    <t>Suryapriya Construction Pvt Ltd | Project Planning | Banglore | May 2026 | Jul 2026 | 8.7142857142857 Weeks | Campus Internship
BHILAI STEEL PLANT | Civil Engineer Trainee | BHILAI CHHATTISGARH | Jul 2023 | Aug 2023 | 3.7142857142857 Weeks
DESIGN CONSULTANT | Civil Engineer Trainee | BHILAI CHHATTISGARH | Jun 2023 | Jul 2023 | 2.5714285714286 Weeks
WATER RESOURCE DEPARTMENT | Civil Engineer Trainee | BHILAI CHHATTISGARH | Jun 2022 | Jul 2022 | 4.1428571428571 Weeks</t>
  </si>
  <si>
    <t>P25700624</t>
  </si>
  <si>
    <t>BHARATI</t>
  </si>
  <si>
    <t>Gayatri Mohan Bharati</t>
  </si>
  <si>
    <t>gayatribharti9371@gmail.com</t>
  </si>
  <si>
    <t>p25700624@student.nicmar.ac.in</t>
  </si>
  <si>
    <t>8927 9835 7212</t>
  </si>
  <si>
    <t>MOHAN BHARTI</t>
  </si>
  <si>
    <t>RASHMI BHARTI</t>
  </si>
  <si>
    <t>STAMP VENDOR</t>
  </si>
  <si>
    <t>Near Balaji Book Depo Gandhi Chowk Ward No.2 Gadchandur</t>
  </si>
  <si>
    <t>HOLY FAMILY CONVENT SCHOOL</t>
  </si>
  <si>
    <t>CENTRAL BOARD OF SECONDARY EDUCATION MAHARASHTRA</t>
  </si>
  <si>
    <t>INSPIRE JR. COLLEGE OF SCIENCE</t>
  </si>
  <si>
    <t>SECONDARY AND HIGHER SECONDARY EDUCATION ,PUNE</t>
  </si>
  <si>
    <t>G.H RAISONI COLLEGE OF ENGINEERING ,NAGPUR</t>
  </si>
  <si>
    <t>AutoCAD,MS Office,MS Project,Primavera, cost x , Revit , Naviswork</t>
  </si>
  <si>
    <t>SOBHA | Planning intern | Bangalore | May 2026 | Jul 2026 | 9 Weeks | Campus Internship
R S CONSTRUCTION | TRAINEE | NAGPUR | Feb 2024 | Jun 2024 | 18.285714285714 Weeks</t>
  </si>
  <si>
    <t>P25700626</t>
  </si>
  <si>
    <t>Aishwarya P</t>
  </si>
  <si>
    <t>aishwaryapyarilal@gmail.com</t>
  </si>
  <si>
    <t>p25700626@student.nicmar.ac.in</t>
  </si>
  <si>
    <t>25-Sep-2001</t>
  </si>
  <si>
    <t>8931 7549 6390</t>
  </si>
  <si>
    <t>PYARILAL P</t>
  </si>
  <si>
    <t>SINDHU P</t>
  </si>
  <si>
    <t>Chithra Nivas, Chelambra, Malappuram</t>
  </si>
  <si>
    <t>NAVABHARATH CENT SCH PARAMBILPEEDIKA MALAPRM KL</t>
  </si>
  <si>
    <t>CENTRAL BOARD OF SECONDARY EDUCATION - KERALA</t>
  </si>
  <si>
    <t>GOVT. HIGHER SECONDARY SCHOOL CHELARI</t>
  </si>
  <si>
    <t>BOARD OF HIGHER SECONDARY EXAMINATIONS - KERALA</t>
  </si>
  <si>
    <t>FEDERAL INSTITUTE OF SCIENCE AND TECHNOLOGY - KERALA</t>
  </si>
  <si>
    <t xml:space="preserve">AutoCAD, MS Project, Primavera, ERP, Power BI, Revit </t>
  </si>
  <si>
    <t>Nina Percept Pvt Ltd ( A subsidiary of Pidilite Industries Ltd) | Executive - Project Planning, Monitoring &amp; Controls | Mumbai | Aug 2023 | Jun 2025 | 1Y 9M | 4.44</t>
  </si>
  <si>
    <t>Bechtel India Private Limited | Intern - Project Controls | Gurgaon | May 2026 | Jul 2026 | 7.5714285714286 Weeks | Campus Internship
Uralungal Labour Contract Co-operative Society (ULCCS) Ltd. | Trainee | Kerala | Oct 2022 | Oct 2022 | 1.2857142857143 Weeks</t>
  </si>
  <si>
    <t>AutoCAD: 2D and 3D
Waterproofing and Insulation
Quantity Surveying Elevate Course and Live Project
Leading AI Agents at Work</t>
  </si>
  <si>
    <t>P25700627</t>
  </si>
  <si>
    <t>SAURAV</t>
  </si>
  <si>
    <t>Saurav Sunil</t>
  </si>
  <si>
    <t>sauravsunil101@gmail.com</t>
  </si>
  <si>
    <t>p25700627@student.nicmar.ac.in</t>
  </si>
  <si>
    <t>ENGLISH,HINDI,MALAYALAM ,TAMIL</t>
  </si>
  <si>
    <t>7348 7884 5080</t>
  </si>
  <si>
    <t>SUNIL KUMAR VV</t>
  </si>
  <si>
    <t>SONA PV</t>
  </si>
  <si>
    <t>SREELAKAM _x000D_
Velippara Street No 4 , Karimbam (PO)_x000D_
Taliparamba.</t>
  </si>
  <si>
    <t>CHINMAYA VIDYALAYA  , TALIPARAMBA</t>
  </si>
  <si>
    <t>CENTRAL BOARD OF SECONDARY EDUCATION , KERALA</t>
  </si>
  <si>
    <t>MOOTHEDATH HIGHER SECONDARY SCHOOL , TALIPARAMBA</t>
  </si>
  <si>
    <t>VIMAL JYOTHI ENGINEERING COLLEGE , KERALA</t>
  </si>
  <si>
    <t>AutoCAD,MS Office,MS Project,Primavera,BIM,Revit,Navisworks</t>
  </si>
  <si>
    <t>MILLENNIUM ENGINEERS &amp; CONTRACTORS PVT. LTD. ( Project : Godrej Emerald Waters, Pune) | Summer Intern | Pimpri, Pune | May 2026 | Jul 2026 | 8.7142857142857 Weeks | Campus Internship
VR4BIM LLP | BIM MODELER - INTERN | KOCHI , KERALA | Dec 2024 | Feb 2025 | 12.571428571429 Weeks
ACADEMIC PROJECT | INFLUENCE OF SUGARCANE BAGASSE ASH IN SELF COMPACTING CONCRETE | KANNUR, KERALA | Jul 2023 | Jul 2024 | 52.285714285714 Weeks</t>
  </si>
  <si>
    <t>BIM LABS CERTIFIED BIM MODELLER IN ARCHITECTURE
Power Bi workshop</t>
  </si>
  <si>
    <t>P25700628</t>
  </si>
  <si>
    <t>KATA</t>
  </si>
  <si>
    <t>Ganesh Kumar Kata</t>
  </si>
  <si>
    <t>ganeshkumarkata@gmail.com</t>
  </si>
  <si>
    <t>p25700628@student.nicmar.ac.in</t>
  </si>
  <si>
    <t>16-Jan-2002</t>
  </si>
  <si>
    <t>4904 4786 3765</t>
  </si>
  <si>
    <t>KATA SIVAYYA</t>
  </si>
  <si>
    <t>KATA BHAGYA LAKSHMI</t>
  </si>
  <si>
    <t>Tarvanipeta, 4-10-20, Dr.B.R. Ambedkar Konaseema . Near Bus Stand.</t>
  </si>
  <si>
    <t>ST ANN'S (EM) HS MANDAPETA</t>
  </si>
  <si>
    <t>KAKINADA INSTITUTE OF ENGINEERING &amp; TECHNOLOGY KORANGI.</t>
  </si>
  <si>
    <t>JAWAHARLAL NEHRU TECHNOLOGICAL UNIVERSITY KAKINADA.</t>
  </si>
  <si>
    <t>ADITYA ENGINEERING COLLEGE SURAMPALEM</t>
  </si>
  <si>
    <t>AutoCAD,MS Office,MS Project,Primavera,Schedule &amp; Cost Awareness,Strategic Thinking,Presentation &amp; Reporting,Project Documentation,Stakeholder Coordination,Problem Solving,Project Planning,Project Monitoring &amp; Control</t>
  </si>
  <si>
    <t>Ap police housing corporation limited | Trainee  | Kakinada | Oct 2020 | Jan 2021 | 12.428571428571 Weeks
ULTRATECH CEMENT | INTERN | RAJAHMUNDRY  | Jul 2023 | Jul 2023 | 3 Weeks
WABAG | PLANNING  | CHENNAI | May 2026 | Jul 2026 | 7.8571428571429 Weeks</t>
  </si>
  <si>
    <t>Ethics in Engineering Practice ( NPTEL )
Finance for Non-Financial Managers ( Emory University )
ETABS Workshop by IIT Bombay
Primavera P6 Project Planning and Scheduling Masterclass
Associate Member Institute Of Engineers India ( AMIE )
21st Century Employability Skills Program - Advanced
Revit Architecture ( APSCHE )
Building Information Modelling ( L&amp;T EduTech )
Certified Associate In Project Management ( CAPM )
Lean Six Sigma Green Belt</t>
  </si>
  <si>
    <t>P25700629</t>
  </si>
  <si>
    <t>JINIA</t>
  </si>
  <si>
    <t>DUTTA</t>
  </si>
  <si>
    <t>Jinia Dutta</t>
  </si>
  <si>
    <t>jinia.slg@gmail.com</t>
  </si>
  <si>
    <t>p25700629@student.nicmar.ac.in</t>
  </si>
  <si>
    <t>25-Aug-1999</t>
  </si>
  <si>
    <t>English, Hindi and Bengali</t>
  </si>
  <si>
    <t>7735 1683 2431</t>
  </si>
  <si>
    <t>PRATIM DUTTA</t>
  </si>
  <si>
    <t>SOMA DUTTA</t>
  </si>
  <si>
    <t>Ward No.27,Biplabi Ganesh Ghosh Sarani, South Babupara ,Siliguri</t>
  </si>
  <si>
    <t>Darjeeling</t>
  </si>
  <si>
    <t>ST. JOSEPH'S HIGH SCHOOL , MATIGARA</t>
  </si>
  <si>
    <t>INDIAN CERTIFICATE OF SECONDARY EXAMINATION ,SILIGURI ,WEST BENGAL</t>
  </si>
  <si>
    <t>INDIAN SCHOOL CERTIFICATE , SILIGURI, WEST BENGAL</t>
  </si>
  <si>
    <t>BHARATI VIDYAPEETH (DEEMED TO BE UNIVERSITY)</t>
  </si>
  <si>
    <t>BHARATI VIDYAPEETH (DEEMED TO BE UNIVERSITY) COLLEGE OF ARCHITECTURE , PUNE ,MAHARASHTRA</t>
  </si>
  <si>
    <t>AutoCAD,MS Office,MS Project,Primavera P6, Revit,Navisworks,Sketchup,Lumion,Twinmotion,Adobe Photoshop,Adobe InDesign</t>
  </si>
  <si>
    <t>Green Architecture Consulting Engineers Pvt. Ltd. | Architect | Siliguri , West Bengal | Nov 2022 | Jun 2025 | 2Y 7M | 5.28</t>
  </si>
  <si>
    <t>Cherry Hill Interiors Pvt. Ltd. | Project Intern | Hyderabad | May 2026 | Jul 2026 | 8.5714285714286 Weeks | Campus Internship
Habib Modara Art and Architecture | Trainee Architect | Bahrain | Jul 2022 | Sep 2022 | 12.714285714286 Weeks
GREEN ARCHITECTURE CONSULTING ENGINEERS PVT. LTD. | TRAINEE ARCHITECT | SILIGURI, WEST BENGAL | Jul 2021 | Dec 2021 | 23.857142857143 Weeks</t>
  </si>
  <si>
    <t>Council of Architecture</t>
  </si>
  <si>
    <t>P25700630</t>
  </si>
  <si>
    <t>THAMBAN</t>
  </si>
  <si>
    <t>Navya Thamban</t>
  </si>
  <si>
    <t>navyathamban253@gmail.com</t>
  </si>
  <si>
    <t>p25700630@student.nicmar.ac.in</t>
  </si>
  <si>
    <t>ENGLISH,MALAYALAM,HINDI,TAMIL</t>
  </si>
  <si>
    <t>8300 4079 2816</t>
  </si>
  <si>
    <t>PV THAMBAN</t>
  </si>
  <si>
    <t>PWD CONTRACTOR</t>
  </si>
  <si>
    <t>GEETHA O</t>
  </si>
  <si>
    <t>KAVYA NIVAS , ONAKKUNNU, Karivellur, PO:Karivellur</t>
  </si>
  <si>
    <t>ST. MARY'S HIGH SCHOOL FOR GIRLS , PAYYANNUR</t>
  </si>
  <si>
    <t>BOARD OF PUBLIC EXAMINATIONS , KERALA</t>
  </si>
  <si>
    <t>AVS GOVT. HIGHER SECONDARY SCHOOL KARIVELLUR</t>
  </si>
  <si>
    <t>BOARD OF HIGHER SECONDARY EXAMINATIONS , KERALA</t>
  </si>
  <si>
    <t>COCHIN UNIVERSITY OF SCIENCE AND TECHNOLOGY , KERALA</t>
  </si>
  <si>
    <t>AutoCAD,MS Office,MS Project,Primavera,REVIT,SUMO,STAAD pro</t>
  </si>
  <si>
    <t>Sobha Limited | Summer Intern | Thiruvananthapuram, Kerala | May 2026 | Jul 2026 | 9 Weeks | Campus Internship
KSCSTE-NATPAC | Project Student-Traffic Management &amp; Transportation Planning | Ernakulam | Aug 2023 | Apr 2024 | 34.857142857143 Weeks
KOCHI MUNICIPAL CORPORATION | Intern | Ernakulam | May 2023 | May 2023 | 2 Weeks</t>
  </si>
  <si>
    <t>Course on AutoCAD Essential
Master Certification in BIM</t>
  </si>
  <si>
    <t>P25700631</t>
  </si>
  <si>
    <t>AVAGADDA</t>
  </si>
  <si>
    <t>LIKITH</t>
  </si>
  <si>
    <t>Avagadda Likith Karthikeya</t>
  </si>
  <si>
    <t>likithkarthikeya.avagadda@gmail.com</t>
  </si>
  <si>
    <t>p25700631@student.nicmar.ac.in</t>
  </si>
  <si>
    <t>06-Dec-2003</t>
  </si>
  <si>
    <t>ENGLISH ,TELUGU ,HINDI</t>
  </si>
  <si>
    <t>7885 7857 2155</t>
  </si>
  <si>
    <t>AVAGADDA SURYA RAO</t>
  </si>
  <si>
    <t>AVAGADDA JAMUNA</t>
  </si>
  <si>
    <t>DOOR NO. 39-8-36/5,MURALINAGAR,</t>
  </si>
  <si>
    <t>H No. 1-32,pulagalipalem,near Ramalayam,Pendhurthi</t>
  </si>
  <si>
    <t>APOORVA HIGH SCHOOL</t>
  </si>
  <si>
    <t>BOARD OF SECONDRY EDUCATION ANDHRA PRADESH</t>
  </si>
  <si>
    <t>ANDHRA UNIVERSITY COLLEGE OF ENGINEERING</t>
  </si>
  <si>
    <t>ANDHRA UNIVERSITY COLLEGE OF ENGINEERING ANDHRA PRADESH</t>
  </si>
  <si>
    <t>AutoCAD,MS Office,MS Project,Primavera,Staad.pro</t>
  </si>
  <si>
    <t>SB URBANSCAPES | Project Management Intern | Bengaluru, Karnataka | May 2026 | Jul 2026 | 8 Weeks | Campus Internship
VISHWANADH AVENUES  IND PVT,LTD | Intern | Visakhapatnam,Andhra Pradesh | May 2024 | Jun 2024 | 4.2857142857143 Weeks</t>
  </si>
  <si>
    <t>NATIONAL CADET CORPS
Total Station Training Program
AUTOCAD</t>
  </si>
  <si>
    <t>P25700632</t>
  </si>
  <si>
    <t>NIYATI</t>
  </si>
  <si>
    <t>VENUGOPAL</t>
  </si>
  <si>
    <t>Niyati Venugopal Shetty</t>
  </si>
  <si>
    <t>niyatishetty01@gmail.com</t>
  </si>
  <si>
    <t>p25700632@student.nicmar.ac.in</t>
  </si>
  <si>
    <t>21-Jan-2001</t>
  </si>
  <si>
    <t>English, Hindi, Marathi, Tulu</t>
  </si>
  <si>
    <t>9167 9551 6641</t>
  </si>
  <si>
    <t>VENUGOPAL SHIVANNA SHETTY</t>
  </si>
  <si>
    <t>SAPNA VENUGOPAL SHETTY</t>
  </si>
  <si>
    <t>4/57, Runwal Park, Near Marketyard Last Bus Depot. Jawaharlal Road, Gultekadi, Pune, Maharashtra</t>
  </si>
  <si>
    <t>ST. ANNE'S HIGH SCHOOL</t>
  </si>
  <si>
    <t>S.M. CHOKSEY HIGH SCHOOL AND JUNIOR COLLEGE</t>
  </si>
  <si>
    <t>MARATHWADA MITRA MANDAL'S COLLEGE OF ARCHITECTURE (MMCOA),MAHARASHTRA,PUNE</t>
  </si>
  <si>
    <t>AutoCAD, Revit, Navisworks, Archicad, Sketchup, Lumion, D5 Render, Primavera P6, MS Project, CostX, MS Office, Adobe Photoshop, Adobe InDesign, Adobe Illustrator</t>
  </si>
  <si>
    <t>Alkove-Design | Junior Architect | Pune | Sep 2024 | Jun 2025 | 0Y 9M | 2.52</t>
  </si>
  <si>
    <t>Cherry Hill Interiors Pvt. Ltd. | Site Execution - Project Management &amp; Coordination | Bengaluru | May 2026 | Jul 2026 | 8.5714285714286 Weeks | Campus Internship
d6thD design studio | Architectural Intern | Ahmedabad | Jun 2023 | Nov 2023 | 20.142857142857 Weeks</t>
  </si>
  <si>
    <t>P25700633</t>
  </si>
  <si>
    <t>KRITHIKA</t>
  </si>
  <si>
    <t>Krithika R</t>
  </si>
  <si>
    <t>p25700633@student.nicmar.ac.in</t>
  </si>
  <si>
    <t>English, Kannada, Tamil, Hindi</t>
  </si>
  <si>
    <t>8894 5206 7659</t>
  </si>
  <si>
    <t>RAJAN M</t>
  </si>
  <si>
    <t>APCQCO</t>
  </si>
  <si>
    <t>BANU T</t>
  </si>
  <si>
    <t>#625, 15th Cross, BDA Layout Lingarajapuram  Bangalore North,St Thomas Town, Bangalore-560084, Karnataka</t>
  </si>
  <si>
    <t>ST CHARLES HIGH SCHOOL</t>
  </si>
  <si>
    <t>ST ANNE'S GIRLS PU COLLEGE</t>
  </si>
  <si>
    <t>REVA UNIVERSITY, BENGALURU, KARNATAKA</t>
  </si>
  <si>
    <t>AutoCAD,MS Office,MS Project,Primavera,POWER BI,STAAD PRO</t>
  </si>
  <si>
    <t>VESTIAN GLOBAL WORKSPACE SERVICES PVT LTD | Graduate Engineer -Trainee  | Bangalore ,Karnataka | Aug 2023 | Jun 2025 | 1Y 10M | 4.6</t>
  </si>
  <si>
    <t>DEBRIQUE CREATIVE LABS PRIVATE LIMITED  | INTERN-Supply Chain Management Team | CHENNAI, TAMILNADU | May 2026 | Jul 2026 | 8.7142857142857 Weeks | Campus Internship
VESTIAN GLOBAL WORKSPACE SERVICES PVT LTD | INTERN  | BANGALORE, KARNATAKA  | Mar 2023 | Jul 2023 | 20 Weeks
L&amp;T CONSTRUCTION | INTERN  | BANGALORE  | Jul 2022 | Aug 2022 | 4.5714285714286 Weeks</t>
  </si>
  <si>
    <t>Coursera-Managing Project Risks and Changes
Coursera-Initiating and Planning Projects
Coursera-Budgeting and Scheduling Projects</t>
  </si>
  <si>
    <t>P25700634</t>
  </si>
  <si>
    <t>SAIRAJ</t>
  </si>
  <si>
    <t>Sairaj Ashish Kadam</t>
  </si>
  <si>
    <t>sairajkadam910@gmail.com</t>
  </si>
  <si>
    <t>p25700634@student.nicmar.ac.in</t>
  </si>
  <si>
    <t>19-Feb-2004</t>
  </si>
  <si>
    <t>9726 1023 0689</t>
  </si>
  <si>
    <t>ASHISH KADAM</t>
  </si>
  <si>
    <t>PRAJAKTA KADAM</t>
  </si>
  <si>
    <t>601; GAURISHANKAR BLDG ; SHANTIVAN ; BORIVALI EAST.</t>
  </si>
  <si>
    <t>B.D.D Chawl No.11; Room No. 50 ; Dr. G.M Bhosle Marg ; Near Jambori Maidan.</t>
  </si>
  <si>
    <t>NARAYANA E-TECHNO</t>
  </si>
  <si>
    <t>NARAYANA</t>
  </si>
  <si>
    <t>DR. VISHWANATH KARAD</t>
  </si>
  <si>
    <t>MIT-WPU PUNE / MAHARASHTRA</t>
  </si>
  <si>
    <t>Yash Constructions | Site execution  | Mumbai | May 2026 | Jul 2026 | 8.7142857142857 Weeks | Campus Internship
SHREE CONTRACTOR | JR. SITE ENGINEER  | MUMBAI | Jan 2025 | Jun 2025 | 22.714285714286 Weeks</t>
  </si>
  <si>
    <t>P25700635</t>
  </si>
  <si>
    <t>DETH</t>
  </si>
  <si>
    <t>Hari Deth</t>
  </si>
  <si>
    <t>harideth666@gmail.com</t>
  </si>
  <si>
    <t>p25700635@student.nicmar.ac.in</t>
  </si>
  <si>
    <t>31-May-2001</t>
  </si>
  <si>
    <t>English,Malayalam,Hindi,Tamil</t>
  </si>
  <si>
    <t>6388 6394 3968</t>
  </si>
  <si>
    <t>GURUDATHAN.V</t>
  </si>
  <si>
    <t>BANK MANAGER(CURRENTLY RETIRED)</t>
  </si>
  <si>
    <t>SUNITHA.V</t>
  </si>
  <si>
    <t>White Pearl,nellicode,vadasserikonam P.O Varkala</t>
  </si>
  <si>
    <t>HARIDETH</t>
  </si>
  <si>
    <t>CENTRAL BOARD OF SECONDARY EDUCATION-KERALA</t>
  </si>
  <si>
    <t>MARIAN ENGINEERING COLLEGE</t>
  </si>
  <si>
    <t>AutoCAD,MS Office,MS Project,Planswift,MS Excel</t>
  </si>
  <si>
    <t>Bond interiors International | Quantity surveyor-Estimator | Thiruvananthapuram  | Jul 2023 | Apr 2025 | 1Y 9M | 2.4</t>
  </si>
  <si>
    <t>Uralungal Labour Contract Co-operative Society (ULCCS) | Intern | Government Taluk Hospital, Varkala, Thiruvananthapuram, Kerala | May 2026 | Jul 2026 | 8 Weeks | Campus Internship</t>
  </si>
  <si>
    <t>P25700636</t>
  </si>
  <si>
    <t>FURQUANZIYA</t>
  </si>
  <si>
    <t>SHAKEEL</t>
  </si>
  <si>
    <t>Furquanziya Shakeel Shaikh</t>
  </si>
  <si>
    <t>furquanshaikh3130@gmail.com</t>
  </si>
  <si>
    <t>p25700636@student.nicmar.ac.in</t>
  </si>
  <si>
    <t>22-Nov-2001</t>
  </si>
  <si>
    <t>6959 9604 4285</t>
  </si>
  <si>
    <t>SHAKEEL SHAIKH</t>
  </si>
  <si>
    <t>PARVEEN SHAIKH</t>
  </si>
  <si>
    <t>FL-01 UTKARSH NAGAR, BEHIND SHAKUNTALA NIKAM UDYAN, GOKHALENAGAR, PUNE</t>
  </si>
  <si>
    <t>Behind National Enterprises, Methwada Road, Maheshwar</t>
  </si>
  <si>
    <t>Khargone</t>
  </si>
  <si>
    <t>D.A.V PUBLIC SCHOOL</t>
  </si>
  <si>
    <t>CBSE PUNE MAHARASHTRA</t>
  </si>
  <si>
    <t>CBSE ,PUNE, MAHARASHTRA</t>
  </si>
  <si>
    <t>MIT ACADEMY OF ENGINEERING, ALANDI, PUNE</t>
  </si>
  <si>
    <t>AutoCAD,MS Office,REVIT, MS Project, Primavera, CostX, Navisworks</t>
  </si>
  <si>
    <t>Pune Metro Rail Corporation | Site Execution | Pune | May 2026 | Jul 2026 | 9.7142857142857 Weeks | Campus Internship
CQRA PVT LTD | Management Trainee | Pune | Jan 2025 | Jun 2025 | 19.857142857143 Weeks
MIllennium Engineers and Contractors PVT LTD | Site Intern | Lohegoan, Pune | Jun 2024 | Jul 2024 | 4.1428571428571 Weeks</t>
  </si>
  <si>
    <t>NPTEL Air Pollution and Control
Basics of Financial Management
Revit for Architecture</t>
  </si>
  <si>
    <t>P25700637</t>
  </si>
  <si>
    <t>WAGHMARE</t>
  </si>
  <si>
    <t>Kunal Rajendra Waghmare</t>
  </si>
  <si>
    <t>kunalwaghmare.301091@gmail.com</t>
  </si>
  <si>
    <t>p25700637@student.nicmar.ac.in</t>
  </si>
  <si>
    <t>6038 5343 9663</t>
  </si>
  <si>
    <t>FLAT NO.1708. R16- A BUILDING REPUBLIC MULSHI PUNE MARUNGI</t>
  </si>
  <si>
    <t>Aatipati Ward, Allipur,</t>
  </si>
  <si>
    <t>ST. JOHN'S SCHOOL ALLIPUR</t>
  </si>
  <si>
    <t>ACHARYA SHRIMANNARAYAN POLYTECHNIC, PIPRI, WARDHA</t>
  </si>
  <si>
    <t>ST.VINCENT PALLOTTI COLLEGE OF ENGINEERING AND TECHNOLOGY , NAGPUR</t>
  </si>
  <si>
    <t>AutoCAD,MS Office,MS Project,Primavera,Naviswork,Revit Architecture,CostX</t>
  </si>
  <si>
    <t>Singaniya Buildcon | Planning, Site Execution &amp; Control, and Procurement | Raipur | May 2026 | Jul 2026 | 8.7142857142857 Weeks | Campus Internship
PLA PROJECT PRIVATE LIMITED | TRAINEE ENGINEER | NAGPUR | Dec 2024 | Apr 2025 | 19 Weeks</t>
  </si>
  <si>
    <t>Revit Architecture
Naviswork
Primavera,</t>
  </si>
  <si>
    <t>P25700638</t>
  </si>
  <si>
    <t>Vivek Dilip Deshmukh</t>
  </si>
  <si>
    <t>deshmukhvivek098@gmail.com</t>
  </si>
  <si>
    <t>p25700638@student.nicmar.ac.in</t>
  </si>
  <si>
    <t>4034 3937 2176</t>
  </si>
  <si>
    <t>GOVERMENT CONTRACTOR</t>
  </si>
  <si>
    <t>Sane Guruji Nagar, Khadki, Akola</t>
  </si>
  <si>
    <t>MOUNT CARMEL HIGH SCHOOL AKOLA</t>
  </si>
  <si>
    <t>MAHARASHTRA STATE BOARD OF SECONDARY AND HIGHER SECONDARY EDUCATION ,PUNE</t>
  </si>
  <si>
    <t>SUDHAKARRAO NAIK ART,SCIENCE &amp; UMASHANKAR KHETAN COMMERCE JR.COLLAGE AKOLA</t>
  </si>
  <si>
    <t>COLLAGE OF ENGINEERING AND TECHNOLOGY AKOLA/ MAHARASHTRA</t>
  </si>
  <si>
    <t>MS Office,MS Project,Primavera,Revit,CostX</t>
  </si>
  <si>
    <t>Chandrahas Technologies Private Limited  | Site Execution &amp; Planning  | Akola  | May 2026 | Jul 2026 | 8.7142857142857 Weeks | Campus Internship
SHRI.BRAHMACHAITANYA INFRASTRUCTURE PVT.LTD | INTERN  | AKOLA | May 2024 | Jun 2024 | 4.4285714285714 Weeks</t>
  </si>
  <si>
    <t>P25700639</t>
  </si>
  <si>
    <t>SUSHANT</t>
  </si>
  <si>
    <t>Sushant Manohar Mane</t>
  </si>
  <si>
    <t>03sushmane@gmail.com</t>
  </si>
  <si>
    <t>p25700639@student.nicmar.ac.in</t>
  </si>
  <si>
    <t>21-Mar-2003</t>
  </si>
  <si>
    <t>ENGLIS ,HINDI,MARATHI</t>
  </si>
  <si>
    <t>9115 0801 2367</t>
  </si>
  <si>
    <t>MANOHAR HARIBHAU MANE</t>
  </si>
  <si>
    <t>SANGITA MANOHAR MANE</t>
  </si>
  <si>
    <t>MANE  CHAL  ,NAGRAJ COLONEY ,100FT ROAD , VISHRAMBAG , SANGLI</t>
  </si>
  <si>
    <t>SAVARKAR SCHOOL , SANGLI</t>
  </si>
  <si>
    <t>WILLINGDONE COLLEGE OF SCINCE &amp; ART , SANGLI</t>
  </si>
  <si>
    <t>APPASAHEB COLLGE OF ARCHITECTURE ,SANGLI</t>
  </si>
  <si>
    <t>AutoCAD,MS Office,MS Project,SKETCHUP,V-RAY,PHOTOSHOP,LUMION,COSTX</t>
  </si>
  <si>
    <t>IMARAT ARCHITECT | INTERN ARCHITECT  | CHANDIGRAH | Jan 2024 | Apr 2024 | 13 Weeks</t>
  </si>
  <si>
    <t>P25700640</t>
  </si>
  <si>
    <t>SHELAR</t>
  </si>
  <si>
    <t>Vivek Deepak Shelar</t>
  </si>
  <si>
    <t>vivekshelar02@gmail.com</t>
  </si>
  <si>
    <t>p25700640@student.nicmar.ac.in</t>
  </si>
  <si>
    <t>English, Marathi &amp; Hindi</t>
  </si>
  <si>
    <t>5324 7042 4629</t>
  </si>
  <si>
    <t>DEEPAK SHELAR</t>
  </si>
  <si>
    <t>VARSHA SHELAR</t>
  </si>
  <si>
    <t>27, Laxmi Nagar, Abhay College Road, Behind Cotton Market Yard, Dhule</t>
  </si>
  <si>
    <t>JAI HIND HIGH SCHOOL, DHULE</t>
  </si>
  <si>
    <t>MAHARASTRA STATE BOARD OF SECONDARY AND HIGHER SECONDARY EDUCATION, PUNE</t>
  </si>
  <si>
    <t>BAPUSAHEB SHIVAJIRAO DEORE POLYTECHNIC, DHULE</t>
  </si>
  <si>
    <t>DEEMED TO BE UNIVERSITY, PUNE</t>
  </si>
  <si>
    <t>BHARATI VIDYAPEETH DEEMED TO BE UNIVERSITY COLLEGE OF ENGINEERING, KATRAJ, PUNE.</t>
  </si>
  <si>
    <t>AutoCAD,MS Office,MS Project,Primavera,Revit Architecture,cost X</t>
  </si>
  <si>
    <t>Bhate &amp; Raje Construction Co Pvt Ltd | Project Planning | Pune | May 2026 | Jul 2026 | 8.7142857142857 Weeks | Campus Internship
Jogeshwari Constrution, Dhule | Intern  | Dhule | Jun 2020 | Jul 2020 | 2.8571428571429 Weeks
Jogeshwari Construction, Dhule | Intern | Dhule | Jul 2024 | Feb 2025 | 34.142857142857 Weeks</t>
  </si>
  <si>
    <t>Primavera
Cost X Estimation &amp; Costing
AutoCad</t>
  </si>
  <si>
    <t>P25700641</t>
  </si>
  <si>
    <t>ALOK</t>
  </si>
  <si>
    <t>Alok Kumar</t>
  </si>
  <si>
    <t>alok31maykumar@gmail.com</t>
  </si>
  <si>
    <t>p25700641@student.nicmar.ac.in</t>
  </si>
  <si>
    <t>3012 8640 6461</t>
  </si>
  <si>
    <t>VIJAY KUMAR</t>
  </si>
  <si>
    <t>SANDHYA</t>
  </si>
  <si>
    <t>Hanuman Colony, Near Primary School, Ramnagar Road, Kashipur</t>
  </si>
  <si>
    <t>Udham Singh Nagar</t>
  </si>
  <si>
    <t>TULARAM RAJARAM SARASWATI VIDHYA MANDIR INTER COLLEGE</t>
  </si>
  <si>
    <t>BOARD OF SCHOOL EDUCATION UTTARAKHAND</t>
  </si>
  <si>
    <t>TEERTHANKAR MAHAVIR UNIVERSITY</t>
  </si>
  <si>
    <t>TEERTHANKAR MAHAVIR UNIVERSITY, MORADABAD (UTTAR PRADESH)</t>
  </si>
  <si>
    <t>MS Office,MS Project,Presentation Skill,Excellent Communication,Ability to work under pressure,Willingness to travel for project requirements</t>
  </si>
  <si>
    <t>Artius Interior Products Private Limited | Project Engineer  | Gurugram  | Sep 2023 | Jun 2025 | 1Y 9M | 3.8</t>
  </si>
  <si>
    <t>Cherry Hill Interiors Pvt. Ltd. | Site Execution  | Gurugram  | May 2026 | Jul 2026 | 8.7142857142857 Weeks | Campus Internship
EMAAR INDIA | INTERN  | GURUGRAM  | Jul 2022 | Sep 2022 | 10.571428571429 Weeks</t>
  </si>
  <si>
    <t>Data, Data, Everywhere
Foundation of Project Management</t>
  </si>
  <si>
    <t>P25700642</t>
  </si>
  <si>
    <t>Atul Krishna</t>
  </si>
  <si>
    <t>atulkrishna282001@gmail.com</t>
  </si>
  <si>
    <t>p25700642@student.nicmar.ac.in</t>
  </si>
  <si>
    <t>English, Hindi, Arabic, Malayalam</t>
  </si>
  <si>
    <t>4550 8669 4887</t>
  </si>
  <si>
    <t>K V SURESH KUMAR</t>
  </si>
  <si>
    <t>SALINI SURESH</t>
  </si>
  <si>
    <t>5A Vadakunatham Towers, Peringavu, Thrissur</t>
  </si>
  <si>
    <t>LEADERS PRIVATE SCHOOL, SHARJAH</t>
  </si>
  <si>
    <t>CENTRAL BOARD OF SECONDARY EDUCATION - DUBAI</t>
  </si>
  <si>
    <t>LEADERS PRIVATE SCHOOL</t>
  </si>
  <si>
    <t>FEDERAL INSTITUTE OF SCIENCE AND TECHNOLOGY</t>
  </si>
  <si>
    <t>SOBHA LIMITED | SITE EXECUTION INTERN | KERALA | May 2026 | Jul 2026 | 9 Weeks | Campus Internship
Saad Trading and Consultants FZC LLC | Site Engineer | Dubai | Mar 2025 | Jul 2025 | 20.857142857143 Weeks</t>
  </si>
  <si>
    <t>P25700643</t>
  </si>
  <si>
    <t>KABRA</t>
  </si>
  <si>
    <t>Pratik Dinesh Kabra</t>
  </si>
  <si>
    <t>pratikkabra26@gmail.com</t>
  </si>
  <si>
    <t>p25700643@student.nicmar.ac.in</t>
  </si>
  <si>
    <t>ENGLISH, HINDI, MARWARI, MARATHI</t>
  </si>
  <si>
    <t>5628 6365 9927</t>
  </si>
  <si>
    <t>DINESH KABRA</t>
  </si>
  <si>
    <t>SAVITRI KABRA</t>
  </si>
  <si>
    <t>'Pratik' House, Near Rampuri Scool, Camp Area, Gadchiroli</t>
  </si>
  <si>
    <t>PLATINUM JUBILEE SCHOOL AND JUNIOR COLLEGE</t>
  </si>
  <si>
    <t>MAHARASHTRA STATE BOARD SSC</t>
  </si>
  <si>
    <t>NIRALA JUNIOR COLLEGE</t>
  </si>
  <si>
    <t>MAHARASHTRA STATE BOARD HSC</t>
  </si>
  <si>
    <t>AutoCAD,MS Project,STAAD.Pro</t>
  </si>
  <si>
    <t>Sobha India Limited | Project Management Intern | Gurugram | May 2026 | Jul 2026 | 9 Weeks | Campus Internship
RamaCivil India Construction Pvt. Ltd. | Intern | Jaipur | May 2024 | Jun 2024 | 6.2857142857143 Weeks</t>
  </si>
  <si>
    <t>Finance for Non-Financial Managers
Construction Cost Estimating and Cost Control
Leadership and organizational behavior
NAVARITIH: Certificate Course on Innovative Construction Technologies</t>
  </si>
  <si>
    <t>P25700644</t>
  </si>
  <si>
    <t>Sahil Sunil Naik</t>
  </si>
  <si>
    <t>p25700644@student.nicmar.ac.in</t>
  </si>
  <si>
    <t>6751 4051 4223</t>
  </si>
  <si>
    <t>SUNIL NAIK</t>
  </si>
  <si>
    <t>VISHAKHA NAIK</t>
  </si>
  <si>
    <t>2204,TOWER 3, GODREJ HILLSIDE 2, MAHALUNGE, PUNE</t>
  </si>
  <si>
    <t>Naik House, Yavatmal, Maharashtra India</t>
  </si>
  <si>
    <t>FREE METHODIST ENGLISH MEDIUM SCHOOL, YAVATMAL, MAHARASHTRA INDIA</t>
  </si>
  <si>
    <t>SECONDARY STATE BOARD OF MAHARASHTRA</t>
  </si>
  <si>
    <t>SHRI NIRALA VIDYALAYA NAGPUR  MAHARASHTRA INDIA</t>
  </si>
  <si>
    <t>HIGHER SECONDARY BOARD OF MAHARASHTRA</t>
  </si>
  <si>
    <t>VISHWAKARMA INSTITUTE OF INFORMATION TECHNOLOGY PUNE MAHARASHTRA INDIA</t>
  </si>
  <si>
    <t>AutoCAD,MS Office,MS Project,Primavera,Live 3D homes,revit,Autocad</t>
  </si>
  <si>
    <t>Clancy Global | Project Coordinate | PUNE | May 2026 | Jul 2026 | 8.7142857142857 Weeks | Campus Internship
LOGASS CONSTRUCTIONS | CIVIL INTERN(SITE ENGINEER INTERN) | PUNE | Dec 2024 | May 2025 | 21.571428571429 Weeks</t>
  </si>
  <si>
    <t>P25700645</t>
  </si>
  <si>
    <t>Yash Manish Gandhi</t>
  </si>
  <si>
    <t>yashmgandhi99@gmail.com</t>
  </si>
  <si>
    <t>p25700645@student.nicmar.ac.in</t>
  </si>
  <si>
    <t>ENGLISH,HINDI,MARATHI,MARWADI</t>
  </si>
  <si>
    <t>3038 2071 8382</t>
  </si>
  <si>
    <t>FLAT NO 08, D1 BUILDING, SURYAPRABHA GARDENS, IN FRONT OF THE LIGHTHOUSE, BIBWEWADI, PUNE 37</t>
  </si>
  <si>
    <t>ASHISH SUPER MARKET, MARKET YARD ROAD,A/P-KADA, TALUKA-ASHTI, DIST-BEED.</t>
  </si>
  <si>
    <t>VARDHAMAN MAHAVIR ENGLISH SCHOOL KADA</t>
  </si>
  <si>
    <t>P M MUNOT JR. COLLEGE KADA</t>
  </si>
  <si>
    <t>BRACTS VISHWAKARMA INSTITUTE OF INFORMATION TECHNOLOGY, KONDHWA, PUNE</t>
  </si>
  <si>
    <t>Orbisoul Properties | Jr. Site Engineer | TMV Colony, Mukund Nagar, Swargate, Pune-411037 | Jun 2024 | Jun 2025 | 1Y 0M | 1.8</t>
  </si>
  <si>
    <t>KPMG GLOBAL SERVICES | Deal Advisory Trainee | Mumbai | May 2026 | Jul 2026 | 9.5714285714286 Weeks | Campus Internship
MAJESTIQUE LANDMARKS | JR. SITE ENGINEER | HANDEWADI, PUNE | Jul 2023 | Dec 2023 | 21.857142857143 Weeks</t>
  </si>
  <si>
    <t>P25700646</t>
  </si>
  <si>
    <t>GATTEPALLI</t>
  </si>
  <si>
    <t>Rohan Gattepalli</t>
  </si>
  <si>
    <t>rohangattepalli0402@gmail.com</t>
  </si>
  <si>
    <t>p25700646@student.nicmar.ac.in</t>
  </si>
  <si>
    <t>04-Feb-2002</t>
  </si>
  <si>
    <t>English, Hindi, Telugu and Tamil</t>
  </si>
  <si>
    <t>4571 5251 9133</t>
  </si>
  <si>
    <t>RAMANANDA SAGAR</t>
  </si>
  <si>
    <t>REAL ESTATE BUSINESS</t>
  </si>
  <si>
    <t>HEMA</t>
  </si>
  <si>
    <t>5-8-147, KISHANPURA</t>
  </si>
  <si>
    <t>TEJASWI HIGH SCHOOL</t>
  </si>
  <si>
    <t>SRI PREMNADH JUNIOR COLLEGE</t>
  </si>
  <si>
    <t>VNB CONSTRUCTIONS | In Plant Trainee | Kadapa, Andhra Pradesh | Aug 2022 | Sep 2022 | 2.5714285714286 Weeks
L&amp;T CONSTRUCTION | TRAINEE | CHENNAI | Jul 2023 | Aug 2023 | 1.5714285714286 Weeks</t>
  </si>
  <si>
    <t>P25700647</t>
  </si>
  <si>
    <t>AMMAR</t>
  </si>
  <si>
    <t>MOHAMMED IMRAN</t>
  </si>
  <si>
    <t>PARIHAR</t>
  </si>
  <si>
    <t>Ammar Mohammed Imran Parihar</t>
  </si>
  <si>
    <t>ammar.i.parihar@gmail.com</t>
  </si>
  <si>
    <t>p25700647@student.nicmar.ac.in</t>
  </si>
  <si>
    <t>4752 6837 2118</t>
  </si>
  <si>
    <t>MOHAMMED IMRAN PARIHAR</t>
  </si>
  <si>
    <t>TABASSUM PARIHAR</t>
  </si>
  <si>
    <t>Flat No 1401 Lodha Bel Air Tower C Patel Estate Road Jogeshwari West</t>
  </si>
  <si>
    <t>LEARNERS' ACADEMY BANDRA WEST MUMBAI</t>
  </si>
  <si>
    <t>ZAGDU SINGH CHARITABLE TRUST'S THAKUR POLYTECHNIC</t>
  </si>
  <si>
    <t>RIZVI COLLEGE OF ENGINEERING MUMBAI, MAHARASHTRA</t>
  </si>
  <si>
    <t>Contracts Management, Contracts Administration, Project Coordination, Stakeholder Management, Procurement Process, MS Project, Primavera, MS Office</t>
  </si>
  <si>
    <t>Mace Project and Cost Management Private Limited | Project Administrator (GET - Contracts and Procurement) | Mumbai  | Apr 2023 | Jun 2025 | 2Y 2M | 3.6</t>
  </si>
  <si>
    <t>Ahluwalia Contracts (India) Limited | Contracts | Mumbai  | May 2026 | Jun 2026 | 8.1428571428571 Weeks | Campus Internship
Mace Project and Cost Management Private Limited | Project Management  | Mumbai  | Nov 2022 | Apr 2023 | 23.285714285714 Weeks</t>
  </si>
  <si>
    <t>Course on MS Project
Proficient in AutoCAD for Civil Engineers and Architects</t>
  </si>
  <si>
    <t>P25700648</t>
  </si>
  <si>
    <t>ARNOV</t>
  </si>
  <si>
    <t>HITESH</t>
  </si>
  <si>
    <t>GOYAL</t>
  </si>
  <si>
    <t>Arnov Hitesh Goyal</t>
  </si>
  <si>
    <t>arnovgoyal04@gmail.com</t>
  </si>
  <si>
    <t>p25700648@student.nicmar.ac.in</t>
  </si>
  <si>
    <t>5906 4243 0438</t>
  </si>
  <si>
    <t>HITESH GOYAL</t>
  </si>
  <si>
    <t>BINDU GOYAL</t>
  </si>
  <si>
    <t>528, ULTIMA HOSTEL, NICMAR UNIVERSITY, N.I.A, BALEWADI RD, RAM NAGAR, BANER</t>
  </si>
  <si>
    <t>4A, Pragya Apartment, Ravishankar Sankul, Bhatar Char Rasta</t>
  </si>
  <si>
    <t>DELHI PUBLIC SCHOOL SURAT</t>
  </si>
  <si>
    <t>CENTRAL BOARD OF SECONDARY EDUCATION, SURAT, GUJARAT</t>
  </si>
  <si>
    <t>PANDIT DEENDAYAL ENERGY UNIVERSITY, GANDHINAGAR GUJARAT</t>
  </si>
  <si>
    <t>MS Office, MS Project, Primavera, Revit</t>
  </si>
  <si>
    <t>Impact Infraheight Pvt.Ltd | Site execution Intern | Pune | May 2026 | Jul 2026 | 8.7142857142857 Weeks | Campus Internship
Sardar Vallabhbhai National Institute of Technology | Intern | Surat | Jan 2025 | Apr 2025 | 17 Weeks</t>
  </si>
  <si>
    <t>P25700649</t>
  </si>
  <si>
    <t>YARAMATI</t>
  </si>
  <si>
    <t>Yaramati Gangadhar</t>
  </si>
  <si>
    <t>yaramatigangadhar3@gmail.com</t>
  </si>
  <si>
    <t>p25700649@student.nicmar.ac.in</t>
  </si>
  <si>
    <t>17-Nov-2003</t>
  </si>
  <si>
    <t>5207 4163 1031</t>
  </si>
  <si>
    <t>YARAMATI VENKATARAO</t>
  </si>
  <si>
    <t>YARAMATI VARALAKSHMI</t>
  </si>
  <si>
    <t>H NO:2-1,KORUPROLU VILLAGE,S RAYAVARAM MANDAL,ANAKAPALLE DISTRICT</t>
  </si>
  <si>
    <t>Anakapalli</t>
  </si>
  <si>
    <t>Z P HIGH SCHOOL - KORUPROLU,VISAKHAPATNAM DISTRICT</t>
  </si>
  <si>
    <t>BOARD OF SECONDARY EDUCATION ANDHRA PRADESH,INDIA</t>
  </si>
  <si>
    <t>SRI PRAKASH JUNIOR COLLEGE</t>
  </si>
  <si>
    <t>BOARD OF INTERMEDIATE EDUCATION ANDHRA PRADESH,INDIA</t>
  </si>
  <si>
    <t>JAWAHARLAL NEHRU TECHNOLOGY UNIVERSITY KAKINADA</t>
  </si>
  <si>
    <t>GAYATRI VIDYA PARISHAD COLLEGE OF ENGINEERING(AUTONOMOUS)</t>
  </si>
  <si>
    <t>AutoCAD,MS Office,MS Project,Primavera,REVIT,STAAD.Pro</t>
  </si>
  <si>
    <t>ZYETA INTERIORS PVT.LTD. | Project Management Intern | Bangalore | May 2026 | Jul 2026 | 8.5714285714286 Weeks | Campus Internship
ITD Cementation India Limited | INTERN | Rambilli,Visakhapatnam  Andhra Pradesh | Jun 2024 | Jun 2024 | 4.1428571428571 Weeks
PANCHAYAT RAJ DEPARTMENT | INTERN | PAYAKARAOPETA, ANDHRA PRADESH | May 2023 | Jun 2023 | 2.7142857142857 Weeks</t>
  </si>
  <si>
    <t>P25700650</t>
  </si>
  <si>
    <t>SURYAVANSHI</t>
  </si>
  <si>
    <t>Shubham Sanjay Suryavanshi</t>
  </si>
  <si>
    <t>suryavanshishubham459@gmail.com</t>
  </si>
  <si>
    <t>p25700650@student.nicmar.ac.in</t>
  </si>
  <si>
    <t>ENGLISH, HINDI &amp; MARATHI</t>
  </si>
  <si>
    <t>2849 7794 5799</t>
  </si>
  <si>
    <t>SANJAY VENKATI SURYAVANSHI</t>
  </si>
  <si>
    <t>KOMAL SANJAY SURYAVANSHI</t>
  </si>
  <si>
    <t>A WING 403 ATHARVA APPARMENT, NEAR DEEPANGAN TOWER, UMRALA ROAD, SAMEL PADA, NALLASOPARA WEST</t>
  </si>
  <si>
    <t>B WING 001 KAILASH DHAM, PLEASANT PARK, NEAR DON BOSCO HIGH SCHOOL, MIRA ROAD EAST</t>
  </si>
  <si>
    <t>SACRED HEART HIGH SCHOOL</t>
  </si>
  <si>
    <t>VIDHYAVARDHINI'S BHAUSAHEB VARTAK POLYTECHNIC,  VASAI WEST, MAHARASHTRA</t>
  </si>
  <si>
    <t>VIVA INSTITUTE OF TECHNOLOGY, VIRAR EAST, MAHARASHTRA</t>
  </si>
  <si>
    <t>LARSEN AND TOUBRO PVT LTD. (L&amp;T) | PLANNING INTERN | MUMBAI  | May 2026 | Jul 2026 | 8.7142857142857 Weeks</t>
  </si>
  <si>
    <t>P25700651</t>
  </si>
  <si>
    <t>THAWKAR</t>
  </si>
  <si>
    <t>SAWARI</t>
  </si>
  <si>
    <t>KHOGENDRA</t>
  </si>
  <si>
    <t>Thawkar Sawari Khogendra</t>
  </si>
  <si>
    <t>sawri3015@gmail.com</t>
  </si>
  <si>
    <t>p25700651@student.nicmar.ac.in</t>
  </si>
  <si>
    <t>8265 3418 1426</t>
  </si>
  <si>
    <t>MADHURI</t>
  </si>
  <si>
    <t>Sahara Nest, Damodar Colony, Bhangarwadi, Lonavala,</t>
  </si>
  <si>
    <t>AUXILIUM CONVENT HIGH SCHOOL</t>
  </si>
  <si>
    <t>MAHARASHTRA STATE EDUCATION BOARD</t>
  </si>
  <si>
    <t>RYEWOOD INTERNATIONAL  JUNIOR COLLEGE</t>
  </si>
  <si>
    <t>ADA'S MINERVA COLLEGE OF ARCHITECTURE</t>
  </si>
  <si>
    <t>AutoCAD,MS Office,Sketchup,Lumion,Photoshop,Canva</t>
  </si>
  <si>
    <t>Vconstruct  | Intern  | Hadapsar, Magarpatta City,pune  | May 2026 | Jul 2026 | 9.5714285714286 Weeks | Campus Internship
Associated  Planners Lonavala | Intern  | Lonavala | Jul 2024 | Oct 2024 | 17.428571428571 Weeks</t>
  </si>
  <si>
    <t>P25700652</t>
  </si>
  <si>
    <t>SHYAMENAHALLI</t>
  </si>
  <si>
    <t>POOJITHA</t>
  </si>
  <si>
    <t>NATARAJ</t>
  </si>
  <si>
    <t>Shyamenahalli Poojitha Nataraj</t>
  </si>
  <si>
    <t>poojithanataraj3222@gmail.com</t>
  </si>
  <si>
    <t>p25700652@student.nicmar.ac.in</t>
  </si>
  <si>
    <t>03-Feb-2002</t>
  </si>
  <si>
    <t>ENGLISH,HINDI,MARATHI AND KANNADA</t>
  </si>
  <si>
    <t>4205 1039 0395</t>
  </si>
  <si>
    <t>MAMATHA</t>
  </si>
  <si>
    <t>SANSKRUTI APPT FLAT NO 20 NEAR GOKUL HOTEL ABOVE SHIVAM GENERAL STORE</t>
  </si>
  <si>
    <t>ST.SEBASTIAN HIGH SCHOOL AND JR. COLLEGE</t>
  </si>
  <si>
    <t>SHREE MANGESH MEMORIAL COLLEGE</t>
  </si>
  <si>
    <t>PUNE / MAHARASTRA</t>
  </si>
  <si>
    <t>Godrej Properties  | Site Execution  | Mumbai HO  | May 2026 | Jul 2026 | 8.7142857142857 Weeks | Campus Internship
DESIGN ACCORD CONSULTANTS | INTERN ARCHITECT | DELHI | Jun 2024 | Oct 2024 | 21.285714285714 Weeks</t>
  </si>
  <si>
    <t>P25700653</t>
  </si>
  <si>
    <t>SNEHAL</t>
  </si>
  <si>
    <t>BABAR</t>
  </si>
  <si>
    <t>Snehal Santosh Babar</t>
  </si>
  <si>
    <t>snehalbabar9696@gmail.com</t>
  </si>
  <si>
    <t>p25700653@student.nicmar.ac.in</t>
  </si>
  <si>
    <t>8591 9157 6234</t>
  </si>
  <si>
    <t>PLOT AGENCY</t>
  </si>
  <si>
    <t>CHEF</t>
  </si>
  <si>
    <t>Ganesh Nagar, 3rd Lane, Ichalkaranji</t>
  </si>
  <si>
    <t>HIRA-RAM GIRLS HIGHSCHOOL</t>
  </si>
  <si>
    <t>SANJAY GHODAWAT POLYTECHNIC ,ATIGRE KOLHAPUR</t>
  </si>
  <si>
    <t>SHARAD INSTITUTE OF TECHNOLOGY COLLEGE OF ENGINEERING, YADRAV</t>
  </si>
  <si>
    <t>M/s. V. S. Lingras Roads &amp; Building Contractror | Trainee Engineer | Kolhapur | Nov 2024 | Jul 2025 | 0Y 7M | 1.2</t>
  </si>
  <si>
    <t>MAHABHARAT CONSTRUCTION CORPORATION | Civil Intern | Kolhapur | Dec 2023 | Apr 2024 | 17.714285714286 Weeks</t>
  </si>
  <si>
    <t>Auto Cad, Revit</t>
  </si>
  <si>
    <t>P25700654</t>
  </si>
  <si>
    <t>SOURAV</t>
  </si>
  <si>
    <t>Sourav Das</t>
  </si>
  <si>
    <t>sourav.das2025@hotmail.com</t>
  </si>
  <si>
    <t>p25700654@student.nicmar.ac.in</t>
  </si>
  <si>
    <t>08-Dec-1996</t>
  </si>
  <si>
    <t>English, Bengali, Hindi</t>
  </si>
  <si>
    <t>9866 3763 6001</t>
  </si>
  <si>
    <t>NIRMAL KANTI DAS</t>
  </si>
  <si>
    <t>MADHUMITA DAS</t>
  </si>
  <si>
    <t>49/23 Rabindra Sarani_x000D_
Rishra</t>
  </si>
  <si>
    <t>GOSPEL HOME SCHOOL</t>
  </si>
  <si>
    <t>2004-Mar</t>
  </si>
  <si>
    <t>ELITTE INSTITUTE OF ENGINEERING &amp; MANAGEMENT, GHOLA, KOLKATA</t>
  </si>
  <si>
    <t>MAULANA ABDUL KALAM AZAD UNIVERSITY OF TECHNOLOGY, WEST BENGAL</t>
  </si>
  <si>
    <t>SUPREME KNOWLEDGE FOUNDATION GROUP OF INSTITUTION, HOOGHLY, WEST BENGAL</t>
  </si>
  <si>
    <t>Oishi International | Junior Engineer | Odisha (Sonepur) | Mar 2022 | Mar 2024 | 2Y 0M | 2.8
BCPL Railway Infrastructure ltd. | Assistant Project Manager | Odisha (Anugul) | Apr 2024 | Jan 2025 | 0Y 9M | 3.85</t>
  </si>
  <si>
    <t>MASIN PROJECTS PRIVATE LIMITED | Delay/Quantum Department | Gurugram | May 2026 | Jul 2026 | 8.7142857142857 Weeks | Campus Internship
Royal Infraconstru ltd | Trainee | Birbhum (Ilambazar) | Jan 2019 | Jan 2019 | 1.8571428571429 Weeks</t>
  </si>
  <si>
    <t>P25700655</t>
  </si>
  <si>
    <t>SAMRUTWAR</t>
  </si>
  <si>
    <t>Samrutwar Pranay Ashok</t>
  </si>
  <si>
    <t>pranaysamrutwar130@gmail.com</t>
  </si>
  <si>
    <t>p25700655@student.nicmar.ac.in</t>
  </si>
  <si>
    <t>21-May-2002</t>
  </si>
  <si>
    <t>7944 3067 1864</t>
  </si>
  <si>
    <t>GOV. SERVANT</t>
  </si>
  <si>
    <t>SUDHA SAMRUTWARPLOT NO. 14</t>
  </si>
  <si>
    <t>Plot No.14,gopal Krishna Nagari,DP Road,Pandharkawada</t>
  </si>
  <si>
    <t>DR.YARDY ENGLISH HIGH SCHOOL,UMRI</t>
  </si>
  <si>
    <t>SECONDARY AND HIGHER SECONDARY EDUCATION,PUNE</t>
  </si>
  <si>
    <t>BDP COLLOGE OF SCIENCE,PARWA</t>
  </si>
  <si>
    <t>SAVITRIBAI PHULE PUNE UNIVERSITY ,PUNE</t>
  </si>
  <si>
    <t>AISSMS COLLOGE OF ENGINEERING ,PUNE</t>
  </si>
  <si>
    <t>ADVETKUNAL ENTERPRISES PVT . LTD | site engineering | pune | Dec 2022 | Jan 2023 | 4.1428571428571 Weeks</t>
  </si>
  <si>
    <t>P25700656</t>
  </si>
  <si>
    <t>BRAVIMRAJ</t>
  </si>
  <si>
    <t>BAJIRAO</t>
  </si>
  <si>
    <t>Bravimraj Bajirao Desai</t>
  </si>
  <si>
    <t>bravimraj05@gmail.com</t>
  </si>
  <si>
    <t>p25700656@student.nicmar.ac.in</t>
  </si>
  <si>
    <t>19-Oct-2001</t>
  </si>
  <si>
    <t>2356 5697 3119</t>
  </si>
  <si>
    <t>TRACK MAINTENANCE, ENGINEERING DEPARTMENT, INDIAN RAILWAYS</t>
  </si>
  <si>
    <t>BHAGYASHRI</t>
  </si>
  <si>
    <t>Row Bangalow No. 3, Anand Garden, Bapuram Nagar, Kalamba, Kolhapur.</t>
  </si>
  <si>
    <t>NEW ENGLISH MEDIUM SCHOOL KOLHAPUR</t>
  </si>
  <si>
    <t>Shree Datta Developers | Junior Site Engineer | Kolhapur | Jul 2024 | Jun 2025 | 0Y 11M | 1.08</t>
  </si>
  <si>
    <t>Cherry Hill Interiors Pvt. Ltd. | Site Execution and Control - Projects  | Gurugram, Haryana, India | May 2026 | Jul 2026 | 8.5714285714286 Weeks | Campus Internship</t>
  </si>
  <si>
    <t>P25700657</t>
  </si>
  <si>
    <t>YEOLE</t>
  </si>
  <si>
    <t>SURAJ</t>
  </si>
  <si>
    <t>Yeole Suraj Naresh</t>
  </si>
  <si>
    <t>surajnyeole89@gmail.com</t>
  </si>
  <si>
    <t>p25700657@student.nicmar.ac.in</t>
  </si>
  <si>
    <t>23-Nov-1994</t>
  </si>
  <si>
    <t>5883 3132 6190</t>
  </si>
  <si>
    <t>NARESH VASUDEORAO YEOLE</t>
  </si>
  <si>
    <t>HEMLATA NARESH YEOLE</t>
  </si>
  <si>
    <t>226B, Santoshi Nagar, Hudkeshwar Road</t>
  </si>
  <si>
    <t>MAHARASHTRA STATE BOARD, NAGPUR/MAHARASHTRA</t>
  </si>
  <si>
    <t>MAJOR HEMANT JAKATE VIDYANIKETAN</t>
  </si>
  <si>
    <t>2012-Feb</t>
  </si>
  <si>
    <t>GURU NANAK INSTITUTE OF ENGINEERING &amp; MANAGEMENT</t>
  </si>
  <si>
    <t>Vijay Nirman Company Pvt Ltd | Junior Engineer | Nanded and Washim Maharashtra  | Jan 2018 | Oct 2021 | 3Y 9M | 3
Delhi Integrated Multi Modal Transit System Ltd. (DIMTS) | Assistant Engineer | Surat Gujarat | Oct 2021 | Aug 2023 | 1Y 9M | 5</t>
  </si>
  <si>
    <t>5 Years 7 Months</t>
  </si>
  <si>
    <t>Hill International  | Intern | Mumbai (Thane) | May 2026 | Jul 2026 | 8.7142857142857 Weeks | Campus Internship</t>
  </si>
  <si>
    <t>Be 10X AI Course
BIM Professional Course for Civil Engineers</t>
  </si>
  <si>
    <t>P25700658</t>
  </si>
  <si>
    <t>PARDHI</t>
  </si>
  <si>
    <t>PRANAP</t>
  </si>
  <si>
    <t>SURYAPRAKASH</t>
  </si>
  <si>
    <t>Pardhi Pranap Suryaprakash</t>
  </si>
  <si>
    <t>pranappardhi05@gmail.com</t>
  </si>
  <si>
    <t>p25700658@student.nicmar.ac.in</t>
  </si>
  <si>
    <t>11-May-2002</t>
  </si>
  <si>
    <t>5639 2796 7865</t>
  </si>
  <si>
    <t>Appaji Nagar, Angur Bagicha Gondia</t>
  </si>
  <si>
    <t>VIVEK MANDIR HIGH SCHOOL GONDIA</t>
  </si>
  <si>
    <t>MAHARASTRA STATE BOARD OF SECONDARY AND HIGHER SECONDARY EDUCATION , PUNE</t>
  </si>
  <si>
    <t>GOVERMENT POLYTECHNIC ,NAGPUR</t>
  </si>
  <si>
    <t>AN AUTONOMOUS (AFILLATED TO RASHTRASANT TUKADOJI MAHARAJ NAGPUR UNIVERSITY , NAGPUR)</t>
  </si>
  <si>
    <t>G. H. RAISONI COLLEGE OF ENGINEERING AND MANAGMENT ,NAGPUR</t>
  </si>
  <si>
    <t xml:space="preserve"> MS Office, MS Project, PRIMAVERA , NAVISWORKS, COST X , REVIT , AUTOCAD </t>
  </si>
  <si>
    <t>Goa State Infrastructure Development Corporation Limited | Intern | Goa Medical College Bambolim Goa  | May 2026 | Jul 2026 | 8.7142857142857 Weeks | Campus Internship
M/s. MAYUR W. BODANE Govt Civil Contractor &amp; Building Material Suppliers | Graduate Engineer Trainee | Sakoli  | Dec 2024 | May 2025 | 21.571428571429 Weeks</t>
  </si>
  <si>
    <t xml:space="preserve">Excel Using AI Workshop
Certificate of Appreciation - Gh Raisoni Nagpur </t>
  </si>
  <si>
    <t>P25700659</t>
  </si>
  <si>
    <t>ADARSH NAIDU</t>
  </si>
  <si>
    <t>GADE</t>
  </si>
  <si>
    <t>Adarsh Naidu Gade</t>
  </si>
  <si>
    <t>gadeadarshnaidu@gmail.com</t>
  </si>
  <si>
    <t>p25700659@student.nicmar.ac.in</t>
  </si>
  <si>
    <t>3324 1014 2286</t>
  </si>
  <si>
    <t>GADE RAMU</t>
  </si>
  <si>
    <t>GADE PRASANTHI</t>
  </si>
  <si>
    <t>K JOGAMPETA VILLAGE GOLUGONDA POST GOLUGONDA MANDAL ANAKAPALLI DISTRICT ANDHRA PRADESH 531084</t>
  </si>
  <si>
    <t>SASI ENGLISH MEDIUM HIGH SCHOOL</t>
  </si>
  <si>
    <t>SASI NEW GEN JUNIOR COLLEGE</t>
  </si>
  <si>
    <t>BOARD OF INTERMEDIATE   EDUCATION ANDHRA PRADESH</t>
  </si>
  <si>
    <t>ANIL NEERKONDA INSTITUTE OF TECHNOLOGY AND SCIENCES ANDHRA PRADESH</t>
  </si>
  <si>
    <t>AutoCAD,MS Office,MS Project,Primavera,ARC GIS,REVIT,STAAD,CostX,BIM</t>
  </si>
  <si>
    <t>L V Naidu Constructions | Junior Site Engineer | Bheemunipatnam-Narsipatnam Road In Anakapalli District, ANDHRA PRADESH | May 2023 | May 2023 | 2.4285714285714 Weeks</t>
  </si>
  <si>
    <t>AutoCAD
A Two Week Value added Course on Building Information Modelling
NPTEL On Introduction to Civil Engineering Profession
Ethics in Engineering Practice
Construction Project Management
Project Management - Initiation and Planning
Finance for Non- Financial Managers</t>
  </si>
  <si>
    <t>P25700660</t>
  </si>
  <si>
    <t>KRANISHA</t>
  </si>
  <si>
    <t>Kranisha S</t>
  </si>
  <si>
    <t>keerthisuresh1504@gmail.com</t>
  </si>
  <si>
    <t>p25700660@student.nicmar.ac.in</t>
  </si>
  <si>
    <t>15-Apr-2004</t>
  </si>
  <si>
    <t>3379 5662 7041</t>
  </si>
  <si>
    <t>SURESH C</t>
  </si>
  <si>
    <t>SUGUNA N</t>
  </si>
  <si>
    <t>87/10H, Majeeth Teru, Harur.</t>
  </si>
  <si>
    <t>Dharmapuri</t>
  </si>
  <si>
    <t>JAYAM VIDHYALAYA MATRIC HR SEC SCHOOL HARUR DHARMAPURI</t>
  </si>
  <si>
    <t>SRI SIVASUBRAMANIYA NADAR COLLEGE OF ENGINEERING, TAMIL NADU</t>
  </si>
  <si>
    <t>AutoCAD,MS Office,MS Project,Primavera,BIM,Revit</t>
  </si>
  <si>
    <t>DLF HOME DEVELOPERS LIMITED | Trainee | Chennai,Tamil Nadu | May 2026 | Jun 2026 | 8.1428571428571 Weeks | Campus Internship
LARSEN &amp;TOUBRO LIMITED | Trainee | Chennai,Tamil Nadu | Jul 2024 | Jul 2024 | 4.2857142857143 Weeks</t>
  </si>
  <si>
    <t>P25700661</t>
  </si>
  <si>
    <t>SHASHANK</t>
  </si>
  <si>
    <t>Shashank N</t>
  </si>
  <si>
    <t>shashank.n.civil22@gmail.com</t>
  </si>
  <si>
    <t>p25700661@student.nicmar.ac.in</t>
  </si>
  <si>
    <t>14-Jun-2000</t>
  </si>
  <si>
    <t>ENGLISH, TAMIL , HINDI</t>
  </si>
  <si>
    <t>5571 9062 3818</t>
  </si>
  <si>
    <t>NAGANDRA BABU VS</t>
  </si>
  <si>
    <t>SUMATHI S</t>
  </si>
  <si>
    <t>No.3, 7th Floor, 3rd Block, Pace Prana Apartments, Padikuppam Road, Anna Nagar West, Chennai - 600040</t>
  </si>
  <si>
    <t>SMT. DURGADEVI CHOUDHARY VIVEKANANDA VIDYALAYA</t>
  </si>
  <si>
    <t>VELAMMAL MATRICULATION HIGHER SECONDARY SCHOOL</t>
  </si>
  <si>
    <t>RAJALAKSHMI ENGINEERING COLLEGE, TAMILNADU</t>
  </si>
  <si>
    <t>AutoCAD,MS Office,MS Project,Primavera,CostX,PowerBI</t>
  </si>
  <si>
    <t>Larsen &amp; Toubro Limited | Site Planning Engineer | Chennai, Tamil Nadu | Oct 2022 | Jun 2025 | 2Y 8M | 7.2</t>
  </si>
  <si>
    <t>KPMG Global Services Private Limited | Business Consulting - Capital Projects | Bangalore | May 2026 | Jul 2026 | 9.5714285714286 Weeks | Campus Internship
WATER RESOURCES DEPARTMENT, GOVERNMENT OF TAMILNADU | TRAINEE ENGINEER | CHENNAI | Nov 2019 | Nov 2019 | 0.57142857142857 Weeks
INTEGRAL COACH FACTORY, CHENNAI | JUNIOR SITE ENGINEER | CHENNAI | Oct 2021 | Oct 2021 | 1 Weeks</t>
  </si>
  <si>
    <t>NPTEL - Introduction to Civil Engineering profession
Indian Construction Project Management Fundamentals - Udemy
Essentials of Project Planning and Control (EPPC) 2.0' - L&amp;T programme
BCG - Introduction to Strategy Consulting Job Simulation
NPTEL - Ethics in Engineering Practice</t>
  </si>
  <si>
    <t>P25700662</t>
  </si>
  <si>
    <t>RANE</t>
  </si>
  <si>
    <t>Soham Ravindra Rane</t>
  </si>
  <si>
    <t>sohamrane8810@gmail.com</t>
  </si>
  <si>
    <t>p25700662@student.nicmar.ac.in</t>
  </si>
  <si>
    <t>25-Feb-2003</t>
  </si>
  <si>
    <t>5975 4417 1691</t>
  </si>
  <si>
    <t>RAVINDRA VASANT RANE</t>
  </si>
  <si>
    <t>POONAM RAVINDRA RANE</t>
  </si>
  <si>
    <t>At Pohi Post Kalamb Tal Karjat Dist Raigad Neral</t>
  </si>
  <si>
    <t>L.A.E.S ENGLISH HIGH SCHOOL</t>
  </si>
  <si>
    <t>MAHARASHTRA STATE BOARD OF  SECONDARY AND  HIGHER SECONDARY EDUCATION PUNE</t>
  </si>
  <si>
    <t>G.V ACHARYA POLYTECHNIC SHELU MAHARASHTRA</t>
  </si>
  <si>
    <t>PILLAI HOC OF ENGINEERING AND TECHNOLOGY</t>
  </si>
  <si>
    <t>AutoCAD,MS Office,MS Project,Primavera,Revit Structure,Stadpro</t>
  </si>
  <si>
    <t>Pyramid Lifestyle  | Assistant Site Manager | Balewadi  | May 2026 | Jul 2026 | 0Y 1M</t>
  </si>
  <si>
    <t>0 Years 1 Month</t>
  </si>
  <si>
    <t>Pyramid lifestyle Limited  | Assistant Site Manager  | Pune  Balewadi  | May 2026 | Jul 2026 | 8.1428571428571 Weeks | Campus Internship
CIDCO Mass Housing Project | Site Engineer | Taloja | Jun 2022 | Aug 2022 | 8.7142857142857 Weeks</t>
  </si>
  <si>
    <t>P25700663</t>
  </si>
  <si>
    <t>SHIRSAT</t>
  </si>
  <si>
    <t>Omkar Dilip Shirsat</t>
  </si>
  <si>
    <t>shirsatomkar2220@yahoo.com</t>
  </si>
  <si>
    <t>p25700663@student.nicmar.ac.in</t>
  </si>
  <si>
    <t>30-Aug-2025</t>
  </si>
  <si>
    <t>3839 5845 9603</t>
  </si>
  <si>
    <t>DILIP SHIRSAT</t>
  </si>
  <si>
    <t>VAISHALI SHIRSAT</t>
  </si>
  <si>
    <t>HOUSE  WIFE</t>
  </si>
  <si>
    <t>Patil Vasti, Ranmala, Uruli Kanchan, Haveli, Pune</t>
  </si>
  <si>
    <t>MAHATMA GANDHI VIDHYALAYA, URULI KANCHAN, PUNE.</t>
  </si>
  <si>
    <t>MAHARASTRA STATE BOARD OF SECONDARY AND HIGHER EDUCATION, PUNE</t>
  </si>
  <si>
    <t>CUSROW WADIA INSTITUE OF TECHNOLOGY</t>
  </si>
  <si>
    <t>DR. D Y PATIL SCHOOL OF ENGINEERING AND TECHNOLOGY , CHARHOLI BK., LOHEGAON, PUNE.</t>
  </si>
  <si>
    <t>SJ Contracts Private Limited | Planning Intern | Chhatrapati Sambhajinagar  | May 2026 | Jun 2026 | 7.7142857142857 Weeks | Campus Internship
Ucon PT Structural System Private Limited | Junior Engineer | Pune | Jan 2025 | Apr 2025 | 16.285714285714 Weeks
SAI CONSTRUCTION |  TRAINEE ENGINEER | PUNE | Jan 2024 | Jan 2024 | 4.2857142857143 Weeks
Nirman Civil Engineers | Junior Site Engineer | Pune | Sep 2021 | Oct 2022 | 56.428571428571 Weeks</t>
  </si>
  <si>
    <t>P25700664</t>
  </si>
  <si>
    <t>SRIVAS</t>
  </si>
  <si>
    <t>SAMA</t>
  </si>
  <si>
    <t>Srivas Sama Reddy</t>
  </si>
  <si>
    <t>srivvass.reddy@gmail.com</t>
  </si>
  <si>
    <t>p25700664@student.nicmar.ac.in</t>
  </si>
  <si>
    <t>22-Sep-2002</t>
  </si>
  <si>
    <t>english, telugu, hindi</t>
  </si>
  <si>
    <t>8210 9569 3952</t>
  </si>
  <si>
    <t>RAJPAL REDDY</t>
  </si>
  <si>
    <t>SARASWATHI REDDY</t>
  </si>
  <si>
    <t>2-4-14/A, Upperpally, Rajendra Nagar, 500048</t>
  </si>
  <si>
    <t>OAKRIDGE INTERNATIONAL SCHOOL</t>
  </si>
  <si>
    <t>CBSE, HYDERABAD</t>
  </si>
  <si>
    <t>CBSE ,HYDERABAD</t>
  </si>
  <si>
    <t>VELLORE INSTITUTE OF TECHNOLOGY CHENNAI</t>
  </si>
  <si>
    <t>MS Project,Primavera, Autocad, MS Office, Revit, Cost X</t>
  </si>
  <si>
    <t>M Arunachalam projects and infrastructure | PM - intern  | chennai | May 2026 | Jul 2026 | 8.2857142857143 Weeks | Campus Internship</t>
  </si>
  <si>
    <t>primnavera</t>
  </si>
  <si>
    <t>P25700665</t>
  </si>
  <si>
    <t>PRIYANSHI</t>
  </si>
  <si>
    <t>VISHWANG</t>
  </si>
  <si>
    <t>MEHTA</t>
  </si>
  <si>
    <t>Priyanshi Vishwang Mehta</t>
  </si>
  <si>
    <t>mehta.priyanshi01@gmail.com</t>
  </si>
  <si>
    <t>p25700665@student.nicmar.ac.in</t>
  </si>
  <si>
    <t>17-Sep-2001</t>
  </si>
  <si>
    <t>ENGLISH, HINDI, GUJARATI, MARATHI</t>
  </si>
  <si>
    <t>6681 5815 1380</t>
  </si>
  <si>
    <t>SONIYA</t>
  </si>
  <si>
    <t>Siddhi ABC Chsl, Vasant Nagri, Vasai Road East 401208.</t>
  </si>
  <si>
    <t>SHETH VIDYA MANDIR ENGLISH HIGH SCHOOL AND JUNIOR COLLEGE OF SCIENCE AND COMMERCE</t>
  </si>
  <si>
    <t>MAHARASHTRA STATE BOARD OF SECONDARY AND HIGHER EDUCATION, VASAI, MAHARASHTRA</t>
  </si>
  <si>
    <t>SARDAR VALLABHBHAI PATEL JUNIOR COLLEGE OF SCIENCE AND COMMERCE</t>
  </si>
  <si>
    <t>MAHARASHTRA STATE BOARD OF SECONDARY AND HIGHER EDUCATION, MUMBAI, MAHARASHTRA</t>
  </si>
  <si>
    <t>THAKUR SCHOOL OF ARCHITECTURE AND PLANNING, MUMBAI, MAHARASHTRA</t>
  </si>
  <si>
    <t>AutoCAD,MS Office,MS Project,Primavera,BIM revit,Earned Value Management (EVM),Project Co-ordination,Quantity Estimation using Cost X,Canva,Adobe Creative Suite,SketchUp,Lumion</t>
  </si>
  <si>
    <t>REZA KABUL ARCHITECTS |  Architect | Design Planning, Project Co-ordination and Consulting | Bandra, Mumbai. | May 2024 | Jun 2025 | 1Y 0M | 3.36</t>
  </si>
  <si>
    <t>Masters Management Consultants (India) Private Limited | Project Management Intern | Mumbai | May 2026 | Jul 2026 | 8.5714285714286 Weeks | Campus Internship
KNS ARCHITECTS | Intern, Architecture Student | ANDHERI AND WORLI, MUMBAI | Nov 2022 | May 2023 | 24 Weeks</t>
  </si>
  <si>
    <t>National Quiz by The Times of India
Ms office - MSCIT
TSAP - EPOCH - Art Installation
Sustainable practice Workshop at IDAC Expo, Mumbai
HIRAY - TARASH - Project Design Competition
MU Ideas Interior Design Competition by Mumbai University
National Workshop cum Training on Project Management from IIT Kharagpur using Primavera P6
NICMAR- UDHBAV- IDENTITY Logo Design
Coursera _ Finance for Non-Financial Managers
NPTEL course _ Ethics in Engineering Pratice</t>
  </si>
  <si>
    <t>P25700666</t>
  </si>
  <si>
    <t>KANKALE</t>
  </si>
  <si>
    <t>Om Sanjay Kankale</t>
  </si>
  <si>
    <t>omkankale2004@gmail.com</t>
  </si>
  <si>
    <t>p25700666@student.nicmar.ac.in</t>
  </si>
  <si>
    <t>17-Feb-2004</t>
  </si>
  <si>
    <t>3547 7240 3142</t>
  </si>
  <si>
    <t>SANJAY KANKALE</t>
  </si>
  <si>
    <t>PRITI KANKALE</t>
  </si>
  <si>
    <t>Rathinagar, Amravati, In Front Of Water Tank</t>
  </si>
  <si>
    <t>CBSE, AMRAVATI, MAHARASHTRA</t>
  </si>
  <si>
    <t>BHAGYASHRI JUNIOR COLLEGE, AMRAVATI, MAHARASHTRA</t>
  </si>
  <si>
    <t>HSC, AMRAVATI, MAHARASHTRA</t>
  </si>
  <si>
    <t>DR. VISHWANATH KARAD MIT - WORLD PEACE UNIVERSITY</t>
  </si>
  <si>
    <t>DR. VISHWANATH KARAD MIT - WORLD PEACE UNIVERSITY, KOTHRUD, PUNE, MAHARASHTRA</t>
  </si>
  <si>
    <t>AutoCAD,MS Project,Primavera,Revit</t>
  </si>
  <si>
    <t>MILLENNIUM ENGINEERS &amp; CONTRACTORS PVT. LTD. (Project : Godrej Emerald Waters, Pune) | SUMMER INTERN | PUNE | May 2026 | Jul 2026 | 8.7142857142857 Weeks | Campus Internship
Shree Govinda Infra | Site Engineer | Amravati | Jan 2025 | Apr 2025 | 14.571428571429 Weeks
KRISHNARPAN ENGINEERS, BUILDERS &amp; LAND DEVELOPERS | Site Engineer &amp; Auto CAD Software Technician  | AMRAVATI | Jun 2023 | Aug 2023 | 9.1428571428571 Weeks</t>
  </si>
  <si>
    <t>P25700667</t>
  </si>
  <si>
    <t>NANDALAL</t>
  </si>
  <si>
    <t>BAGAL</t>
  </si>
  <si>
    <t>Devendra Nandalal Bagal</t>
  </si>
  <si>
    <t>devendranbagal2003@gmail.com</t>
  </si>
  <si>
    <t>p25700667@student.nicmar.ac.in</t>
  </si>
  <si>
    <t>06-Feb-2003</t>
  </si>
  <si>
    <t>2732 7396 4167</t>
  </si>
  <si>
    <t>BHAVANA</t>
  </si>
  <si>
    <t>Plot No. 41, Chandraprabha, Audumber Colony, Dondaicha, Dist. Dhule.</t>
  </si>
  <si>
    <t>ROTARY ENGLISH SCHOOL</t>
  </si>
  <si>
    <t>GOVERNMENT POLYTECHNIC DHULE, DHULE</t>
  </si>
  <si>
    <t>AutoCAD,STAAD.Pro,3ds Max</t>
  </si>
  <si>
    <t>LJR Constructions LLP | Construction Management Intern | Dhayari, Pune | May 2026 | Jul 2026 | 8.7142857142857 Weeks | Campus Internship
Infraking Consulting Engineers Pvt. Ltd. | Civil Engineering Intern | Mundhwa, Pune | Dec 2023 | Jan 2024 | 4.4285714285714 Weeks</t>
  </si>
  <si>
    <t>P25700668</t>
  </si>
  <si>
    <t>KIRTAN</t>
  </si>
  <si>
    <t>Kirtan Haresh Patel</t>
  </si>
  <si>
    <t>kirtanp081998@gmail.com</t>
  </si>
  <si>
    <t>p25700668@student.nicmar.ac.in</t>
  </si>
  <si>
    <t>18-Aug-1998</t>
  </si>
  <si>
    <t>English, Hindi, Gujarati, Marathi</t>
  </si>
  <si>
    <t>7337 0289 5516</t>
  </si>
  <si>
    <t>HARESH PATEL</t>
  </si>
  <si>
    <t>DHARMISTHA PATEL</t>
  </si>
  <si>
    <t>C/22, Laxmi Krupa Bldg., Daftary Road, Pushpa Park, Malad -(East)</t>
  </si>
  <si>
    <t>MAHARASHTRA STATE BOARD OF SECONDARY AND HIGHER SECONDARY EDUCATION, PUNE/    MUMBAI DIVISIONAL BOARD</t>
  </si>
  <si>
    <t>K. J. SOMAIYA POLYTECHNIC,  MUMBAI/ MAHARASHTRA</t>
  </si>
  <si>
    <t>DATTA MEGHE COLLEGE OF ENGINEERING,  NAVI MUMBAI/  MAHARASHTRA</t>
  </si>
  <si>
    <t>AutoCAD,MS Office,MS Project,ETabs,Revit</t>
  </si>
  <si>
    <t>Dev Construction | Jr. Site Engineer | Kalwa, Thane | Jun 2024 | Jun 2025 | 1Y 0M | 2.52</t>
  </si>
  <si>
    <t>Hiranandani Group | Site Engineer  | Panvel | May 2026 | Jul 2026 | 8.7142857142857 Weeks | Campus Internship
RRC Ventures Private Limited | Site Supervisor | Mumbai | Dec 2022 | Jan 2023 | 4.4285714285714 Weeks
City And Industrial Development Corporation of Maharashtra Limited, CIDCO | Site Supervisor | Navi Mumbai | Jun 2022 | Jul 2022 | 7 Weeks</t>
  </si>
  <si>
    <t>P25700669</t>
  </si>
  <si>
    <t>DEBI</t>
  </si>
  <si>
    <t>JENA</t>
  </si>
  <si>
    <t>Debi Prasad Jena</t>
  </si>
  <si>
    <t>debiprasad.dpj@gmail.com</t>
  </si>
  <si>
    <t>p25700669@student.nicmar.ac.in</t>
  </si>
  <si>
    <t>12-Apr-1999</t>
  </si>
  <si>
    <t>4057 5674 4660</t>
  </si>
  <si>
    <t>AKSHYAYA KUMAR JENA</t>
  </si>
  <si>
    <t>ODISHA TRANSPORT DEPARTMENT</t>
  </si>
  <si>
    <t>LATE SOVARANI JENA</t>
  </si>
  <si>
    <t>Plot No 10,Phase 2, Sweety Housing Complex ,Ganganagar ,Unit6</t>
  </si>
  <si>
    <t>ST.XAVIER'S HIGH SCHOOL</t>
  </si>
  <si>
    <t>MOTHER'S PUBLIC SCHOOL</t>
  </si>
  <si>
    <t>AutoCAD,MS Office,MS Project,Primavera,Solidworks,Python,SQL</t>
  </si>
  <si>
    <t>Asian Paints Ltd | Sales Engineering Intern |  Bhubaneswar,Odisha | May 2026 | Jul 2026 | 8.7142857142857 Weeks | Campus Internship
RAJPUTANA CUSTOM MOTORCYCLES | TRAINEE | JAIPUR,RAJASTHAN | Jun 2019 | Jun 2019 | 0.71428571428571 Weeks
Hindustan Coca-Cola Beverages Pvt.Ltd | Trainee | Khorda, Odisha | Dec 2018 | Dec 2018 | 4 Weeks
SAIL Rourkela Steel Plant | Trainee | Rourkela,Odisha | Jun 2019 | Jun 2019 | 2 Weeks</t>
  </si>
  <si>
    <t>P25700670</t>
  </si>
  <si>
    <t>BASAVARAJA</t>
  </si>
  <si>
    <t>B T</t>
  </si>
  <si>
    <t>Basavaraja B T</t>
  </si>
  <si>
    <t>basavarajbt333@gmail.com</t>
  </si>
  <si>
    <t>p25700670@student.nicmar.ac.in</t>
  </si>
  <si>
    <t>7202 4228 7915</t>
  </si>
  <si>
    <t>B THIPPESHA</t>
  </si>
  <si>
    <t>PADMAVATHI</t>
  </si>
  <si>
    <t>K E B Badavane Near Welcome Board,Nayakanahatti,challekere Taluk,chitradurga District</t>
  </si>
  <si>
    <t>SRI BHUVANENDRA RESIDENTIAL SCHOOL ,KARKALA,UDUPI(DIST),KARNATAKA</t>
  </si>
  <si>
    <t>CENTRAL BOARD OF SECONDARY EDUCATION,KARKALA</t>
  </si>
  <si>
    <t>S R PU COLLEGE,HEBRI,KARNATAKA</t>
  </si>
  <si>
    <t>DEPARTMENT OF PRE-UNIVERSITY EDUCATION,KARNATAKA</t>
  </si>
  <si>
    <t>ST JOSEPH ENGINNERING COLLEGE,VAMANJOOR,MANGALURU,KARNATAKA</t>
  </si>
  <si>
    <t>AutoCAD,MS Office,MS Project,Primavera,Auto plotter,QGIS,REVIT,STAADPRO</t>
  </si>
  <si>
    <t>Sai shloka infra pvt Ltd  | Site execution  | Vapi,valsad district,Gujurat | May 2026 | Jun 2026 | 8.1428571428571 Weeks | Campus Internship
ROTER LEHMANN PARTNER PVT.LTD. | GEOSPATIAL ENGINEER | BANGLORE | Apr 2025 | May 2025 | 2.7142857142857 Weeks
INFRA SUPPORT ENGINEERING CONSULTANTS PVT.LTD | 3rd Party Inspection | HUBLI,DHARWAD | Feb 2025 | Apr 2025 | 8.4285714285714 Weeks</t>
  </si>
  <si>
    <t>COURSERA IN MUNCIPAL SOLID WASTE MANAGEMENT IN DEVELOPING COUNTRIES</t>
  </si>
  <si>
    <t>P25700671</t>
  </si>
  <si>
    <t>NANDHA KUMARAN</t>
  </si>
  <si>
    <t>Nandha Kumaran S</t>
  </si>
  <si>
    <t>dgnandy88063@gmail.com</t>
  </si>
  <si>
    <t>p25700671@student.nicmar.ac.in</t>
  </si>
  <si>
    <t>23-Aug-2004</t>
  </si>
  <si>
    <t>Tamil,English</t>
  </si>
  <si>
    <t>7282 3645 9804</t>
  </si>
  <si>
    <t>SUNDARAMOORTHY R</t>
  </si>
  <si>
    <t>SUBASHINI S</t>
  </si>
  <si>
    <t>No.192 , 4th Street , Nehru Nagar , Anna Nagar , Ch-600040</t>
  </si>
  <si>
    <t>ANNA UNIVERSITY , TAMILNADU</t>
  </si>
  <si>
    <t>SRI SAI RAM ENGINEERING COLLEGE , TAMILNADU</t>
  </si>
  <si>
    <t>AutoCAD,REVIT,SKETCHUP</t>
  </si>
  <si>
    <t>Prestige Estates Projects Ltd | Site Execution + Control | Banglore | May 2026 | Jul 2026 | 8.5714285714286 Weeks | Campus Internship
LEXI CREW ENTERPRISES | SOFTWARE TRAINER  | MEDAVAKKAM,CHENNAI | May 2024 | Jun 2024 | 4.4285714285714 Weeks
VASIYAM HOMES PVT LTD | Site Supervisor | Medavakkam,Chennai | Feb 2024 | Feb 2024 | 2.2857142857143 Weeks</t>
  </si>
  <si>
    <t>P25700672</t>
  </si>
  <si>
    <t>SHEFALI</t>
  </si>
  <si>
    <t>SHAILENDRA</t>
  </si>
  <si>
    <t>Shefali Shailendra Gaikwad</t>
  </si>
  <si>
    <t>shefaligaikwad6@gmail.com</t>
  </si>
  <si>
    <t>p25700672@student.nicmar.ac.in</t>
  </si>
  <si>
    <t>09-Apr-2000</t>
  </si>
  <si>
    <t>8171 4575 4279</t>
  </si>
  <si>
    <t>SHARMILA</t>
  </si>
  <si>
    <t>D-9 Mohit Building, Barlota Nagar, Mamurdi, Dehuroad Pune</t>
  </si>
  <si>
    <t>ST. JUDE HIGH SCHOOL</t>
  </si>
  <si>
    <t>PUNE MAHARASHTRA</t>
  </si>
  <si>
    <t>DR D Y PATIL PRATISHTHAN'S Y.B PATIL POLYTECHNIC AKURDI PUNE</t>
  </si>
  <si>
    <t>PIMPRI CHINCHWAD COLLEGE OF ENGINEERING AND RESEARCH,RAVET PUNE</t>
  </si>
  <si>
    <t>AutoCAD,MS Office,MS Project,Primavera,3D MAX,Autodesk Civil 3D,BIM,REVIT</t>
  </si>
  <si>
    <t>Clancy Global - AKG Building Consultant Pvt Ltd.  | Project Co-ordination | Pune  | May 2026 | Jul 2026 | 8.7142857142857 Weeks | Campus Internship
VIJAY CONSTRUCTION | SITE ENGINEER | DEHUROAD PUNE  | Oct 2022 | Nov 2022 | 4.7142857142857 Weeks
NP Venture | Site Engineer | Pune | Dec 2019 | Dec 2019 | 0.85714285714286 Weeks</t>
  </si>
  <si>
    <t>Basics of Remote Sensing and GIS
NPTEL Ethics in Engineering Practice
Coursera Finance for Non finance Manager</t>
  </si>
  <si>
    <t>P25700673</t>
  </si>
  <si>
    <t>NEELAPALA</t>
  </si>
  <si>
    <t>ANANTHA SAI</t>
  </si>
  <si>
    <t>Neelapala Anantha Sai Ganesh</t>
  </si>
  <si>
    <t>neelapalagani@gmail.com</t>
  </si>
  <si>
    <t>p25700673@student.nicmar.ac.in</t>
  </si>
  <si>
    <t>31-May-2002</t>
  </si>
  <si>
    <t>3935 4551 3614</t>
  </si>
  <si>
    <t>NEELAPALA CHANDRA SEKHAR</t>
  </si>
  <si>
    <t>CENTRAL GOVERNMENT EMPLOYEE</t>
  </si>
  <si>
    <t>NEELAPALA GEETHA</t>
  </si>
  <si>
    <t>1/1720 YERRAMUKKAPALLI, KADAPA, Andhra Pradesh</t>
  </si>
  <si>
    <t>BOARD OF SECONDARY EDUCATION KADAPA ANDHRA PRADESH</t>
  </si>
  <si>
    <t>BOARD OF INTERMEDIATE EDUCATION KADAPA ANDHRA PRADESH</t>
  </si>
  <si>
    <t>AutoCAD,MS Office,MS Project,Primavera,Sketch Up,revit</t>
  </si>
  <si>
    <t>KCVR INFRA PROJECT PRIVATE LIMITED | SITE SUPERVISOR INTERN | ANANTAPUR | Aug 2022 | Sep 2022 | 4.1428571428571 Weeks</t>
  </si>
  <si>
    <t>RURAL WATER RESOURCES MANAGEMENT BY NPTEL
SAFETY IN CONSTRUCTION BY NPTEL</t>
  </si>
  <si>
    <t>P25700674</t>
  </si>
  <si>
    <t>Abhishek Atul Deshmukh</t>
  </si>
  <si>
    <t>abhishekcoc1994@gmail.com</t>
  </si>
  <si>
    <t>p25700674@student.nicmar.ac.in</t>
  </si>
  <si>
    <t>23-Feb-2004</t>
  </si>
  <si>
    <t>7113 7199 3172</t>
  </si>
  <si>
    <t>ATUL DESHMUKH</t>
  </si>
  <si>
    <t>MANISHA DESHMUKH</t>
  </si>
  <si>
    <t>BEHIND SHANTI MARKET, SAHYADRI COLONY, ROOM NO.34, ULHASNAGAR-1, 421001</t>
  </si>
  <si>
    <t>CENTURY RAYON HIGH SCHOOL, SHAHAD</t>
  </si>
  <si>
    <t>S. H. JONDHALE POLYTECHNIC, DOMBIVLI (W)</t>
  </si>
  <si>
    <t>J. Kumar Infraprojects Ltd. | Intern | Mumbai | May 2026 | Jul 2026 | 9.7142857142857 Weeks | Campus Internship</t>
  </si>
  <si>
    <t>P25700675</t>
  </si>
  <si>
    <t>GOKULA KRISHNAN</t>
  </si>
  <si>
    <t>Gokula Krishnan . K</t>
  </si>
  <si>
    <t>gokuldsk@gmail.com</t>
  </si>
  <si>
    <t>p25700675@student.nicmar.ac.in</t>
  </si>
  <si>
    <t>19-Apr-2001</t>
  </si>
  <si>
    <t>ENGLISH, TAMIL</t>
  </si>
  <si>
    <t>3127 7308 8444</t>
  </si>
  <si>
    <t>KARUNAKARAN DS</t>
  </si>
  <si>
    <t>REPORTER</t>
  </si>
  <si>
    <t>SHANTHI K</t>
  </si>
  <si>
    <t>35,kaspa A Main Road, Ambur</t>
  </si>
  <si>
    <t>Vellore</t>
  </si>
  <si>
    <t>BETHEL MATRIC HIGHER SECONDARY SCHOOL</t>
  </si>
  <si>
    <t>ADHIYAMAAN COLLEGE OF ENGINEERING,HOSUR</t>
  </si>
  <si>
    <t>AutoCAD,MS Office,sketchup,photoshop,enscape</t>
  </si>
  <si>
    <t>CRR ARCHITECTS | JUNIOR ARCHITECT | CHENNAI | Sep 2023 | Jul 2025 | 1Y 10M | 0.2</t>
  </si>
  <si>
    <t>Stiffeners Property Valuers &amp; Consultants India Pvt. Ltd. | Valuation  Engineer - Intern | Chennai | May 2026 | Jul 2026 | 9.4285714285714 Weeks | Campus Internship
Vivacious Designs | Intern | Jaipur | Jul 2022 | Nov 2022 | 16.857142857143 Weeks</t>
  </si>
  <si>
    <t>P25700676</t>
  </si>
  <si>
    <t>PRAJWAL</t>
  </si>
  <si>
    <t>VINAYAK</t>
  </si>
  <si>
    <t>KHADE</t>
  </si>
  <si>
    <t>Prajwal Vinayak Khade</t>
  </si>
  <si>
    <t>prajwal7027@gmail.com</t>
  </si>
  <si>
    <t>p25700676@student.nicmar.ac.in</t>
  </si>
  <si>
    <t>25-Jun-2003</t>
  </si>
  <si>
    <t>5261 5645 5581</t>
  </si>
  <si>
    <t>VINAYAK KHADE</t>
  </si>
  <si>
    <t>SUNITA KHADE</t>
  </si>
  <si>
    <t>Ambika Sadan, Wakeshwar Road ,Vaduj</t>
  </si>
  <si>
    <t>SEVAGIRI ENGLISH MEDIUM SCHOOL, VADUJ</t>
  </si>
  <si>
    <t>CHH. SHIVAJI JUNIOR COLLEGE, VADUJ</t>
  </si>
  <si>
    <t>SPPU UNIVERSITY</t>
  </si>
  <si>
    <t>VIDYA PRATISHTHAN, BARAMATI</t>
  </si>
  <si>
    <t>AutoCAD,MS Office,MS Project,Primavera,msexcel</t>
  </si>
  <si>
    <t>SHIR SHIRSAI BUILDERS &amp; DEVELOPERS | INTERN | JALOCHI ROAD BARAMATI | Jan 2024 | Feb 2024 | 5 Weeks</t>
  </si>
  <si>
    <t>P25700677</t>
  </si>
  <si>
    <t>PATE</t>
  </si>
  <si>
    <t>Saurav Dilip Pate</t>
  </si>
  <si>
    <t>saurav.pate99@gmail.com</t>
  </si>
  <si>
    <t>p25700677@student.nicmar.ac.in</t>
  </si>
  <si>
    <t>ENGLISH ,HINDI,MARATHI</t>
  </si>
  <si>
    <t>4386 1025 9285</t>
  </si>
  <si>
    <t>3,bhoite NAGAR JALGAON</t>
  </si>
  <si>
    <t>R.R. VIDYALAYA JALGAON</t>
  </si>
  <si>
    <t>SECONDARY AND HIGHER SECOUNDARY EDUCATION, PUNE</t>
  </si>
  <si>
    <t>M.J COLLAGE, JALGAON</t>
  </si>
  <si>
    <t>GOVERMENT COLLAGE OF ENGINEERING, JALGAON</t>
  </si>
  <si>
    <t>AutoCAD,MS Office,MS Project,Primavera,Sketchup,Lumion,Python,Excel,Tableau,Power bi</t>
  </si>
  <si>
    <t>MUKESH PATIL (Goverment Contractor) | Site Engineer  | Jalgaon | Sep 2023 | Jun 2025 | 1Y 9M | 1.6</t>
  </si>
  <si>
    <t>PUBLIC WORK DEPARTMENT GOVERMENT OF MAHARASHTRA | TRAINEE | JALGAON | Dec 2019 | Jan 2020 | 3.5714285714286 Weeks
GOVERMENT CONTRACTOR | TRAINEE | JALGAON | Apr 2022 | May 2022 | 5 Weeks
tejraj Group  | Engineering Department Intern (Contract &amp; Procurement, Site Execution &amp; Project Monitoring) | PUNE,MH  | May 2026 | Jul 2026 | 8.7142857142857 Weeks</t>
  </si>
  <si>
    <t>AutoCAD 2d
Geographic Information System (GIS)
Brilliance Foundation (Quantity Surveying,Biling and Autocad 2d)
GCOEJ (SPORTFORD CERTIFACATE WINNER BADMINTION)
Info PLANET (C Programming)
SUNBEAM CERTIFICATE (PreCat-Preparatory Course For Entrance)
CDAC (PG DIPLOMA IN BIG DATA ANALYTICS)</t>
  </si>
  <si>
    <t>P25700678</t>
  </si>
  <si>
    <t>HEMANT</t>
  </si>
  <si>
    <t>HINGE</t>
  </si>
  <si>
    <t>Purva Hemant Hinge</t>
  </si>
  <si>
    <t>hingepurva@gmail.com</t>
  </si>
  <si>
    <t>p25700678@student.nicmar.ac.in</t>
  </si>
  <si>
    <t>6335 4371 1284</t>
  </si>
  <si>
    <t>HEMANT HINGE</t>
  </si>
  <si>
    <t>NITA HINGE</t>
  </si>
  <si>
    <t>ASHIRWAD APPT NEAR HYDERABAD GARAGE JATHARPETH AKOLA.</t>
  </si>
  <si>
    <t>SCHOOL OF SCHOLARS.</t>
  </si>
  <si>
    <t>MAHARASHTRA STATE BOARD OF SECONDARY AND HIGHER SECONDARY EDUCATION , PUNE.</t>
  </si>
  <si>
    <t>BHARTI VIDYAPEETH JAWAHARLAL NEHRU INSTITUTE OF TECHNOLOGY AND SCIENCE ,PUNE.</t>
  </si>
  <si>
    <t>SINHGAD INSTITUTE OF TECHNOLOGY AND SCIENCE, PUNE.</t>
  </si>
  <si>
    <t>Primavera,REVIT,AutoCAD,MS Project,MS Office</t>
  </si>
  <si>
    <t>GODREJ PROPERTIES LTD. | Operations Intern. | Pune | May 2026 | Jul 2026 | 8.7142857142857 Weeks | Campus Internship
DBR STRUCTURES | TRAINEE | NAGPUR | Dec 2023 | Jan 2024 | 2.8571428571429 Weeks
SWASTIK DEVELOPERS | TRAINEE | PUNE | Aug 2021 | Sep 2021 | 5.5714285714286 Weeks</t>
  </si>
  <si>
    <t>P25700679</t>
  </si>
  <si>
    <t>SWARAJ</t>
  </si>
  <si>
    <t>BALWADKAR</t>
  </si>
  <si>
    <t>Swaraj Kiran Balwadkar</t>
  </si>
  <si>
    <t>swarajbalwadkar91@gmail.com</t>
  </si>
  <si>
    <t>p25700679@student.nicmar.ac.in</t>
  </si>
  <si>
    <t>03-Jul-2003</t>
  </si>
  <si>
    <t>4164 5358 7385</t>
  </si>
  <si>
    <t>KIRAN BALWADKAR</t>
  </si>
  <si>
    <t>CHHAYA BALWADKAR</t>
  </si>
  <si>
    <t>401 Vinayak Mohan Nagar Baner Pune 411045</t>
  </si>
  <si>
    <t>DR. AC HIGH SCHOOL</t>
  </si>
  <si>
    <t>LAXMANROA APTE</t>
  </si>
  <si>
    <t>MIT WPU PUNE MAHARASHTRA</t>
  </si>
  <si>
    <t>P25700680</t>
  </si>
  <si>
    <t>VEERESH</t>
  </si>
  <si>
    <t>NAVALGUNDMATH</t>
  </si>
  <si>
    <t>Veeresh P Navalgundmath</t>
  </si>
  <si>
    <t>veereshveeresh68015@gmail.com</t>
  </si>
  <si>
    <t>p25700680@student.nicmar.ac.in</t>
  </si>
  <si>
    <t>ENGLISH, KANNADA AND HINDI</t>
  </si>
  <si>
    <t>3481 3878 8645</t>
  </si>
  <si>
    <t>PRABHURAJ B NAVALGUNDMATH</t>
  </si>
  <si>
    <t>SUNITA P NAVALGUNDMATH</t>
  </si>
  <si>
    <t>Veerapur Road Near Basav Mantap, Hubballi</t>
  </si>
  <si>
    <t>SUKRUTI PUBLIC SCHOOL, HUBBALLI</t>
  </si>
  <si>
    <t>KARNATAKA SECONDARY EDUCATION EXAMINATION BOARD, HUBBALLI</t>
  </si>
  <si>
    <t>C.I MUNAVALLI POLYTECHNIC , HUBBALLI</t>
  </si>
  <si>
    <t>KLE TECHNOLOGICAL UNIVERSITY, HUBBALLI</t>
  </si>
  <si>
    <t>KLE TECHNOLOGICAL UNIVERSITY, HUBALLI</t>
  </si>
  <si>
    <t>AutoCAD,MS Office,Primavera,Revit,3dsmax,Googlesketchup</t>
  </si>
  <si>
    <t>Bangalore Metro Rail Corporation Limited (BMRCL) | Construction Engineering Intern | Bangalore, Karnataka | May 2026 | Jun 2026 | 8.4285714285714 Weeks | Campus Internship
NHAI , R&amp;C COMPANY | INTERN | HUBBALLI NHAI 48 | Jan 2025 | Mar 2025 | 8.4285714285714 Weeks</t>
  </si>
  <si>
    <t>Google SketchUp
3dsmax
Revit
Auto CADD</t>
  </si>
  <si>
    <t>P25700681</t>
  </si>
  <si>
    <t>GANPAT</t>
  </si>
  <si>
    <t>KHODAKE</t>
  </si>
  <si>
    <t>Vaibhav Ganpat Khodake</t>
  </si>
  <si>
    <t>v.g.khodake@gmail.com</t>
  </si>
  <si>
    <t>p25700681@student.nicmar.ac.in</t>
  </si>
  <si>
    <t>25-May-2001</t>
  </si>
  <si>
    <t>5967 8169 8309</t>
  </si>
  <si>
    <t>HEAD OF THE DEPARTMENT (PROFESSOR)</t>
  </si>
  <si>
    <t>S.NO. 22/1/8, BUCHADEWASTI Near BARNE CRUSHER</t>
  </si>
  <si>
    <t>LAXMIBAI NANDGUDE HIGHSCHOOL</t>
  </si>
  <si>
    <t>JSPM'S RAJARSHRI SHAHU COLLEGE OF ENGINEERING, TATHAWADE, PUNE</t>
  </si>
  <si>
    <t>Project Management, Infrastructure Project Management, Contract Documentation, Business Development, Operations Consultant, Construction Risk Assessment Primavera P6, Microsoft Project, AutoCAD, Revit Architecture, Revit Navisworks, Microsoft Excel, Micro</t>
  </si>
  <si>
    <t>Rodic Consultants Private Limited | Operations Intern (Chief Operating office Intern)  | Mumbai | May 2026 | Jul 2026 | 8.7142857142857 Weeks | Campus Internship</t>
  </si>
  <si>
    <t>NASSCOM
Professional diploma in Civil Cad
NATIONAL LEVEL POST GRADUATE RESEARCH SYMPOSIUM (NLPGRS)-2026 Certificate of Appreciation
Coursera Linear Regression &amp; Predictive Modeling with SPSS
Coursera Data Analysis
Coursera Finance for Non-Financial Managers</t>
  </si>
  <si>
    <t>P25700682</t>
  </si>
  <si>
    <t>SUMANTH</t>
  </si>
  <si>
    <t>VALLAPA</t>
  </si>
  <si>
    <t>Sumanth Pradeep Vallapa</t>
  </si>
  <si>
    <t>sumanthpv30@gmail.com</t>
  </si>
  <si>
    <t>p25700682@student.nicmar.ac.in</t>
  </si>
  <si>
    <t>ENGLISH,KANNADA,HINDI,TELUGU</t>
  </si>
  <si>
    <t>9222 1874 5379</t>
  </si>
  <si>
    <t>PRADEEP GANGAIAH</t>
  </si>
  <si>
    <t>RASHMI PRADEEP</t>
  </si>
  <si>
    <t>No. 492, Next To Dead End, 3rd Floor, Sir M Vishveshwaraiah Main Rd, Pattanagere, RR Nagar, Bengaluru, Karnataka</t>
  </si>
  <si>
    <t>NATIONAL PUBLIC SCHOOL, BANASHANKARI</t>
  </si>
  <si>
    <t>PARIVARTHANA SCHOOL AND PU COLLEGE,SRIRANGAPATNA</t>
  </si>
  <si>
    <t>SJB SCHOOL OF ARCHITECTURE AND PLANNING, BENGALURU</t>
  </si>
  <si>
    <t>AutoCAD,SKETCHUP,LUMION,ENSCAPE,REVIT</t>
  </si>
  <si>
    <t>Purvankara Limited | Construction Management Intern – Project Execution &amp; Cross-Functional Operations | Bengaluru | May 2026 | Jul 2026 | 8.2857142857143 Weeks | Campus Internship
Genesis Architecture | Intern as Junior Architect  | BTM layout, Bengaluru  | Jan 2025 | Apr 2025 | 15.428571428571 Weeks</t>
  </si>
  <si>
    <t>P25700683</t>
  </si>
  <si>
    <t>CHETAN</t>
  </si>
  <si>
    <t>Chetan Mahesh Patil</t>
  </si>
  <si>
    <t>chetancmpatil@gmail.com</t>
  </si>
  <si>
    <t>p25700683@student.nicmar.ac.in</t>
  </si>
  <si>
    <t>3418 0868 9933</t>
  </si>
  <si>
    <t>MAHESH LALCHAND PATIL</t>
  </si>
  <si>
    <t>AARTI MAHESH PATIL</t>
  </si>
  <si>
    <t>PLOT NO.7, WAGHULDE NAGAR, NEAR S.M.I.T COLLEGE</t>
  </si>
  <si>
    <t>H 48, Kathora</t>
  </si>
  <si>
    <t>PROGRESSIVE ENGLISH MEDIUM SCHOOL</t>
  </si>
  <si>
    <t>G.H.RAISONI INSTITUTE OF ENGINEERING AND MANAGEMENT, JALGAON, MAHARASHTRA.</t>
  </si>
  <si>
    <t>KAVAYITRI BAHINABAI CHAUDHARI NORTH MAHARASHTRA UNIVERSITY JALGAON, MAHARASHTRA.</t>
  </si>
  <si>
    <t>AutoCAD,MS Office,MS Project,Revit,Naviswork,Lumion,Enscape</t>
  </si>
  <si>
    <t>Indovance Pvt.Ltd | Design Engineer | pune | Sep 2024 | Mar 2025 | 0Y 5M | 3</t>
  </si>
  <si>
    <t>SOBHA LIMITED | Project Management Intern (Planning &amp; BIM) | Bengaluru, Karnataka | May 2026 | Jul 2026 | 9 Weeks | Campus Internship
UNIQUE CIVIL | INTERN BIM MODELER | PUNE | Apr 2024 | Sep 2024 | 21.857142857143 Weeks</t>
  </si>
  <si>
    <t>Naviswork
AutoCAD 2D &amp; 3D
Revit Architecture and Structure</t>
  </si>
  <si>
    <t>P25700684</t>
  </si>
  <si>
    <t>ELDHOSE</t>
  </si>
  <si>
    <t>MATHEW</t>
  </si>
  <si>
    <t>Eldhose K Mathew</t>
  </si>
  <si>
    <t>eldhosekmathew718@gmail.com</t>
  </si>
  <si>
    <t>p25700684@student.nicmar.ac.in</t>
  </si>
  <si>
    <t>10-Aug-2000</t>
  </si>
  <si>
    <t>ENGLISH,HINDI,MALAYALAM,TAMIL</t>
  </si>
  <si>
    <t>3631 9436 1614</t>
  </si>
  <si>
    <t>K.G.MATHEW</t>
  </si>
  <si>
    <t>RETIRED SECRETARY - COOPERATIVE BANK NEDUNGAPRA</t>
  </si>
  <si>
    <t>SAGILI ITTOOP</t>
  </si>
  <si>
    <t>RETIRED FIRST GRADE OVERSEER - KERALA IRRIGATION DEPARTMENT</t>
  </si>
  <si>
    <t>Kochery House Nedungapra P O, Perumbavoor</t>
  </si>
  <si>
    <t>JAWAHAR NAVODAYA VIDYALAYA NERIMANGALAM, ERNAKULAM</t>
  </si>
  <si>
    <t>CRESCENT PUBLIC SCHOOL ALUVA</t>
  </si>
  <si>
    <t>MUTHOOT INSTITUTE OF TECHNOLOGY AND SCIENCE</t>
  </si>
  <si>
    <t>AutoCAD,MS Office,MS Project,Primavera,Autodesk Revit,ETABS</t>
  </si>
  <si>
    <t>Sobha Limited | Planning Engineer | Bangalore | Dec 2022 | Jun 2025 | 2Y 5M | 3.44</t>
  </si>
  <si>
    <t>Deloitte | Intern- Audit &amp; Assurance - Controls Team | Mumbai | May 2026 | Jul 2026 | 8.5714285714286 Weeks | Campus Internship</t>
  </si>
  <si>
    <t>Advance Training Programme on Geographical
ETABS - Structural 3D Analysis
Revit &amp; Total Station</t>
  </si>
  <si>
    <t>P25700685</t>
  </si>
  <si>
    <t>PUJAN</t>
  </si>
  <si>
    <t>Pujan Tushar Patil</t>
  </si>
  <si>
    <t>pujanpatil1410@gmail.com</t>
  </si>
  <si>
    <t>p25700685@student.nicmar.ac.in</t>
  </si>
  <si>
    <t>14-Oct-2003</t>
  </si>
  <si>
    <t>2824 6292 4781</t>
  </si>
  <si>
    <t>54,Ram Vihar , Mayur Colony ,Deopur, Dhule</t>
  </si>
  <si>
    <t>CHAVARA HIGH SCHOOL</t>
  </si>
  <si>
    <t>NASHIK DIVISIONAL BORAD, MAHARASHTRA</t>
  </si>
  <si>
    <t>ZULAL BHILAJIRAO PATIL COLLEGE DHULE</t>
  </si>
  <si>
    <t>SHRI VILE PARLE KELAVANI MANDAL INSITITUTE OF TECHNOLOGY DHULE</t>
  </si>
  <si>
    <t>AutoCAD,MS Office,MS Project,3DSMax,Revit,VRay</t>
  </si>
  <si>
    <t>ANP Corp | Software Systems Intern – Design &amp; Coordination | Balewadi High Street, Baner, Pune, Maharashtra | May 2026 | Jul 2026 | 8.7142857142857 Weeks | Campus Internship
Indian Institute of Technology Indore | Intern | Geohazards Lab, IIT Indore, Simrol, Indore â€“ 453552, Madhya Pradesh | Mar 2025 | Jun 2025 | 12.571428571429 Weeks</t>
  </si>
  <si>
    <t>AutoCad Essentials
Revit Architecture
STAAD. Pro
Essential in Max of engineers for institutes</t>
  </si>
  <si>
    <t>P25700686</t>
  </si>
  <si>
    <t>SIDDHANT</t>
  </si>
  <si>
    <t>MOHEKAR</t>
  </si>
  <si>
    <t>Siddhant Pramod Mohekar</t>
  </si>
  <si>
    <t>mohekarsiddhant8@gmail.com</t>
  </si>
  <si>
    <t>p25700686@student.nicmar.ac.in</t>
  </si>
  <si>
    <t>17-Apr-1999</t>
  </si>
  <si>
    <t>7454 8201 6089</t>
  </si>
  <si>
    <t>PRAMOD MOHEKAR</t>
  </si>
  <si>
    <t>MADHURI MOHEKAR</t>
  </si>
  <si>
    <t>Ash 302, Rosalie Lx, Godrej Hill Road, Khadakpada, Kalyan West</t>
  </si>
  <si>
    <t>RCTS P.M.M ROTARY SCHOOL AMBERNATH</t>
  </si>
  <si>
    <t>NEW ENGLISH HIGH SCHOOL AND JUNIOR COLLEGE, ULHASNAGAR</t>
  </si>
  <si>
    <t>DILKAP RESEARCH INSTITUTE OF ENGINEERING, NERAL</t>
  </si>
  <si>
    <t>Biltrax Construction Data | Analyst | Navi Mumbai | Mar 2023 | Aug 2024 | 1Y 4M | 3</t>
  </si>
  <si>
    <t>Sribal Construction Company | Contracts and Procurement Engineer | Bangalore | May 2026 | Jul 2026 | 8.7142857142857 Weeks | Campus Internship</t>
  </si>
  <si>
    <t>P25700687</t>
  </si>
  <si>
    <t>DURGESH</t>
  </si>
  <si>
    <t>THAKUR</t>
  </si>
  <si>
    <t>Anand Durgesh Thakur</t>
  </si>
  <si>
    <t>adthak98@gmail.com</t>
  </si>
  <si>
    <t>p25700687@student.nicmar.ac.in</t>
  </si>
  <si>
    <t>03-Jun-1998</t>
  </si>
  <si>
    <t>9682 5233 0184</t>
  </si>
  <si>
    <t>DURGESH DEVIDAS THAKUR</t>
  </si>
  <si>
    <t>GRADUATE</t>
  </si>
  <si>
    <t>RATNA DURGESH THAKUR</t>
  </si>
  <si>
    <t>GOKUL NAGAR NANDURA ROAD KHAMGAON</t>
  </si>
  <si>
    <t>AK NATIONAL HEIGH SCHOOL KHAMGAON</t>
  </si>
  <si>
    <t>THE MAHARASHTRA STATE BOARD OF SECONDARY AND HIGHER SECONDARY EDUCATION</t>
  </si>
  <si>
    <t>MAULI JR COLLEGE SHEGAON</t>
  </si>
  <si>
    <t>SINHGAD COLLEGE OF ENGINEERING PUNE</t>
  </si>
  <si>
    <t>Asian paints LTD | Sales management intern | Sambhaji nagar Maharashtra  | May 2026 | Jul 2026 | 8.7142857142857 Weeks | Campus Internship
GURU CONSTRUCTIONS | SITE ENGINEER | KHAMGAON  | Jul 2021 | Aug 2023 | 112.57142857143 Weeks</t>
  </si>
  <si>
    <t>P25700688</t>
  </si>
  <si>
    <t>Abhishek Gokul Thakur</t>
  </si>
  <si>
    <t>abhishekgokulthakur@gmail.com</t>
  </si>
  <si>
    <t>p25700688@student.nicmar.ac.in</t>
  </si>
  <si>
    <t>8552 3289 6053</t>
  </si>
  <si>
    <t>Plot No.112, Lane No.7, Surewadi, Jadhavwadi, Harsul, Aurangabad</t>
  </si>
  <si>
    <t>SENT LAWRENCE MARATHI HIGH SCHOOL, AURANGABAD</t>
  </si>
  <si>
    <t>SHRI SHIVAJI SCIENCE COLLEGE, AMRAVATI</t>
  </si>
  <si>
    <t>Sobha Limited | Site execution intern | Bengaluru  | May 2026 | Jul 2026 | 9 Weeks | Campus Internship
Jogeshwari Construction | Civil Intern | Dhule, Maharashtra | Sep 2024 | Mar 2025 | 29.285714285714 Weeks</t>
  </si>
  <si>
    <t>P25700689</t>
  </si>
  <si>
    <t>ROSHAN</t>
  </si>
  <si>
    <t>SHIKHARE</t>
  </si>
  <si>
    <t>Roshan Suresh Shikhare</t>
  </si>
  <si>
    <t>roshanshikhare084@gmail.com</t>
  </si>
  <si>
    <t>p25700689@student.nicmar.ac.in</t>
  </si>
  <si>
    <t>3289 3982 0672</t>
  </si>
  <si>
    <t>SURESH SHIKHARE</t>
  </si>
  <si>
    <t>Near Desai Wada, Gandhi Chowk, Minche</t>
  </si>
  <si>
    <t>SHRI BALVANTRAO YADAV HIGH SCHOOL, PETH VADGAON</t>
  </si>
  <si>
    <t>SANJAY GHODAWAT POLYTECHNIC, ATIGRE</t>
  </si>
  <si>
    <t>TATYASAHEB KORE INSTITUTE OF ENGINEERING AND TECHNOLOGY, WARANANAGAR</t>
  </si>
  <si>
    <t>AutoCAD,MS Office,MS Project,Primavera,Staad pro,Etaab,CostX</t>
  </si>
  <si>
    <t>Vaishnavi Developers And Builders |  Site Execution and Planning | Pune | May 2026 | Jul 2026 | 8.7142857142857 Weeks | Campus Internship
SSPA Consulting Engineers |  Structural Design Intern | Pune, Kothrud | Jan 2025 | Apr 2025 | 12.857142857143 Weeks</t>
  </si>
  <si>
    <t>Revit and Staad pro
NSPC
coursera certificate</t>
  </si>
  <si>
    <t>P25700690</t>
  </si>
  <si>
    <t>ARSHAD</t>
  </si>
  <si>
    <t>AYYUB</t>
  </si>
  <si>
    <t>MULANI</t>
  </si>
  <si>
    <t>Arshad Ayyub Mulani</t>
  </si>
  <si>
    <t>mulaniaaofficial@gmail.com</t>
  </si>
  <si>
    <t>p25700690@student.nicmar.ac.in</t>
  </si>
  <si>
    <t>07-Apr-2003</t>
  </si>
  <si>
    <t>6831 7647 6505</t>
  </si>
  <si>
    <t>RETIRED GOVERNMENT DEPUTY ENGINEER</t>
  </si>
  <si>
    <t>AFROJ</t>
  </si>
  <si>
    <t>FLAT NO.H - 303 _x000D_
THIRD FLOOR_x000D_
AMIT BLOOMFIELD_x000D_
BLOCK SECTOR NEAR NAWALE HOSPITAL ROAD, PUNE - BANGLORE HIGHWAY _x000D_
AMBEGAON BK _x000D_</t>
  </si>
  <si>
    <t>Plot No.15,16, Survey No.65/1, Padmavati Nagar Road, Near Airport, Bhadkamkar Nagar, Phaltan -415523</t>
  </si>
  <si>
    <t>MUDHOJI HIGH SCHOOL AND JUNIOR COLLEGE, PHALTAN</t>
  </si>
  <si>
    <t>KOLHAPUR DIVISIONAL BOARD</t>
  </si>
  <si>
    <t>RIZVI COLLEGE OF ARCHITECTURE, MUMBAI, MAHARASHTRA</t>
  </si>
  <si>
    <t>AutoCAD,MS Office,MS Project,Primavera,SketchUp,Rhinoceros 3D,Revit,Archicad,Grasshopper,Dynamo,Lumion,Twinmotion,Enscape,V-Ray,D5 Render,Adobe Photoshop,Adobe Illustrator,Adobe InDesign,Canva,Velux Daylight Visualizer,Model making (physical),CostX</t>
  </si>
  <si>
    <t>Raisoni Corp. | Project Controls Intern | Office Plot No. 5 A 1 CTS 6 &amp; 7, Lotus House, Lane E, North Main Road, Koregaon Park, Pune-411001, Maharashtra, India. | May 2026 | Jul 2026 | 9.7142857142857 Weeks | Campus Internship
AGORA Designers Pvt. Ltd. | Intern Architect | Deccan Gymkhana, Pune | Jan 2024 | May 2024 | 17.571428571429 Weeks</t>
  </si>
  <si>
    <t>Completed â€œShared Heritageâ€ program, Rizvi College of Architecture, Mumbai
Completed â€œProject Admin (Scholar)â€, digiQC Academy â€“ Focus on project administration, documentation, and quality processes
Completed â€œHuman Resources Management Essentialsâ€, Coursera (Johns Hopkins University)
Completed â€œFinance for Non-Financial Managersâ€, Coursera (Emory University)
Completed â€œData Analysisâ€, Coursera (SP Jain Institute of Management &amp; Research)
Completed â€œBusiness Analytics with Excel: Elementary to Advanced Excelâ€, Coursera (Johns Hopkins University)</t>
  </si>
  <si>
    <t>P25700691</t>
  </si>
  <si>
    <t>DHARMENDRA</t>
  </si>
  <si>
    <t>AHIR</t>
  </si>
  <si>
    <t>Vedant Dharmendra Ahir</t>
  </si>
  <si>
    <t>ar.ahirvedant@gmail.com</t>
  </si>
  <si>
    <t>p25700691@student.nicmar.ac.in</t>
  </si>
  <si>
    <t>28-Sep-2002</t>
  </si>
  <si>
    <t>8684 2174 4261</t>
  </si>
  <si>
    <t>DEVELOPER, CIVIL CONTRACTOR.</t>
  </si>
  <si>
    <t>A-302, Jai Sai Dham Society, Sodawala Lane, Borivali West, Mumbai-400092</t>
  </si>
  <si>
    <t>SWAMI VIVEKANAND INTERNATIONAL SCHOOL &amp; JR. COLLEGE.</t>
  </si>
  <si>
    <t>MAHARASHTRA STATE BOARD OF SECONDARY AND HIGHER SECONDARY EDUCATION, MUMBAI DIVISIONAL BOARD, MAHARASHTRA.</t>
  </si>
  <si>
    <t>NIRMALA MEMORIAL FOUNDATION JUNIOR COLLEGE OF COMMERCE &amp; SCIENCE</t>
  </si>
  <si>
    <t>THAKUR SCHOOL OF ARCHITECTURE &amp; PLANNING</t>
  </si>
  <si>
    <t>AutoCAD,MS Office,MS Project,Primavera,Revit,Photoshop,Endscape,Twinmotion,Sketchup</t>
  </si>
  <si>
    <t>Goa State Infrastructure Development Corporation Ltd. (GSIDC)  | Intern-Site Execution | Goa | May 2026 | Jul 2026 | 8.7142857142857 Weeks | Campus Internship
A+ Architects +Planners | Intern Architect | Borivali East, Mumbai | Jan 2024 | Jun 2024 | 25.857142857143 Weeks</t>
  </si>
  <si>
    <t>P25700692</t>
  </si>
  <si>
    <t>MOUNIKA</t>
  </si>
  <si>
    <t>KURMA</t>
  </si>
  <si>
    <t>Mounika Kurma</t>
  </si>
  <si>
    <t>kurma.mounikaaa@gmail.com</t>
  </si>
  <si>
    <t>p25700692@student.nicmar.ac.in</t>
  </si>
  <si>
    <t>2884 3353 5250</t>
  </si>
  <si>
    <t>MOSES KURMA</t>
  </si>
  <si>
    <t>SIRISHA KURMA</t>
  </si>
  <si>
    <t>F - 603, VTP BELAIR, BLUEWATERS TOWNSHIP, PUNE, MAHARASHTRA</t>
  </si>
  <si>
    <t>21-11-61/A, G3, M S Towers, 3rd Lane, Beside SBI ATM, Madhuranagar, Vijayawada, NTR District, Andhra Pradesh</t>
  </si>
  <si>
    <t>SEVENTH DAY ADVENTIST HIGH SCHOOL</t>
  </si>
  <si>
    <t>ANDHRA LOYOLA COLLEGE</t>
  </si>
  <si>
    <t>CHRIST ( DEEMED TO BE UNIVERSITY)</t>
  </si>
  <si>
    <t>CHRIST ( DEEMED TO BE UNIVERSITY), BANGALORE, KARNATAKA</t>
  </si>
  <si>
    <t>AutoCAD,MS Office,MS Project,Primavera,Adobe Photoshop,canva</t>
  </si>
  <si>
    <t>Kamala Farms | Project Operations Intern | Hyderabad | May 2026 | Jul 2026 | 8.7142857142857 Weeks | Campus Internship
Manipal Health Enterprises Private Limited | Project Management &amp; Project Controls | Bangalore | Dec 2023 | Jul 2024 | 30.428571428571 Weeks
S V Associates | Site Execution + Control | Guntur | May 2023 | Jun 2023 | 4.2857142857143 Weeks
S V K CONSTRUCTIONS | Site Execution + Control | Vijayawada | May 2022 | Jun 2022 | 4.1428571428571 Weeks</t>
  </si>
  <si>
    <t>P25700693</t>
  </si>
  <si>
    <t>Vedant Pandharinath Gunjal</t>
  </si>
  <si>
    <t>gunjalvedant5@gmail.com</t>
  </si>
  <si>
    <t>p25700693@student.nicmar.ac.in</t>
  </si>
  <si>
    <t>05-Apr-2002</t>
  </si>
  <si>
    <t>2616 2908 8058</t>
  </si>
  <si>
    <t>Gunjal Vasti, Kelwad KH, Taluka Rahata, Dist. Ahmadnagar.</t>
  </si>
  <si>
    <t>ABHINAV AADRASH HIGH SCHOOL</t>
  </si>
  <si>
    <t>P.DR.V.V.PATIL,POLYTECHNIC , LONI.</t>
  </si>
  <si>
    <t>AutoCAD,MS Office,MS Project,Primavera,sketchup,googleearthpro,Civil3D</t>
  </si>
  <si>
    <t>Goa State infrastructure development corporation  | Site execution  | Bambolim. Goa | May 2026 | Jul 2026 | 8.7142857142857 Weeks | Campus Internship
Aware Constructions | Site Engineer  | Ahmednagar | Jun 2022 | Dec 2022 | 26.142857142857 Weeks
Antariksh global pvt. Ltd. | Site execution  | Pune | Aug 2024 | Nov 2025 | 65.285714285714 Weeks
Harsh builders &amp; developers | Quantity surveying, estimation and billing | Ahmadnagar  | Dec 2024 | Jun 2025 | 26 Weeks</t>
  </si>
  <si>
    <t>P25700695</t>
  </si>
  <si>
    <t>BHAURAHA</t>
  </si>
  <si>
    <t>Durgesh Bhauraha</t>
  </si>
  <si>
    <t>durgeshmishra584@gmail.com</t>
  </si>
  <si>
    <t>p25700695@student.nicmar.ac.in</t>
  </si>
  <si>
    <t>15-Jul-1995</t>
  </si>
  <si>
    <t>4805 8932 3772</t>
  </si>
  <si>
    <t>ASHOK KUMAR</t>
  </si>
  <si>
    <t>2/38 Sector B Priyadarshini Coloney</t>
  </si>
  <si>
    <t>MONTFORT INTER COLLEGE</t>
  </si>
  <si>
    <t>BOARD OF HIGH SCHOOL AND INTERMEDIATE EDUCATION, U.P</t>
  </si>
  <si>
    <t>2010-Jul</t>
  </si>
  <si>
    <t>DR APJ ABDUL KALAM TECHNICAL UNIVERSITY</t>
  </si>
  <si>
    <t>KRISHNA INSTITUTE OF ENGINEERING AND TECHNOLOGY GHAJIABAD UTTARPRADESH</t>
  </si>
  <si>
    <t>MAA BHAVANI CONSTRUCTION | SITE ENGINEER | RAEBARELI UTTARPRADESH | Jun 2018 | Jan 2020 | 1Y 6M | 2.4
M/S JMD INFRASTRUCTURE | CONSULTING ENGINEER | AYODHYA AND RAEBARELI | Feb 2020 | Jun 2022 | 2Y 4M | 3.8</t>
  </si>
  <si>
    <t>3 Years 11 Months</t>
  </si>
  <si>
    <t>Prestige Estates Project Limited | Site Execution Intern. | INDIRAPURAM , GAZIABAD. | May 2026 | Jul 2026 | 8.5714285714286 Weeks | Campus Internship</t>
  </si>
  <si>
    <t>autocad ,revit ,staad.</t>
  </si>
  <si>
    <t>P25700696</t>
  </si>
  <si>
    <t>NITESH</t>
  </si>
  <si>
    <t>LAGASHETTY</t>
  </si>
  <si>
    <t>Nitesh A Lagashetty</t>
  </si>
  <si>
    <t>lagashettynitesh@gmail.com</t>
  </si>
  <si>
    <t>p25700696@student.nicmar.ac.in</t>
  </si>
  <si>
    <t>7635 3725 8985</t>
  </si>
  <si>
    <t>H NO 2-907-78-39 MG ROAD NEELAMBIKA NILAYA NEAR SGN COLLEGE LAXMI NAGAR MB NAGAR GULBARGA KALABURAGI</t>
  </si>
  <si>
    <t>KARNATAKA SECONDARY EDUCATION EXAMINATION BOARD, KALABURAGI, KARNATAKA.</t>
  </si>
  <si>
    <t>S BASAVESWAR RESI PU COLLEGE SHARANA NAGAR</t>
  </si>
  <si>
    <t>DEPARTMENT OF PRE-UNIVERSITY EDUCATION KALABURAGI KARNATAKA</t>
  </si>
  <si>
    <t>POOJYA DODDAPPA APPA COLLEGE OF ENGINEERING KALABURAGI KARNATAKA</t>
  </si>
  <si>
    <t>Suryapriya Construction Pvt Ltd | QA/QC intern | Bengaluru | May 2026 | Jul 2026 | 8.7142857142857 Weeks | Campus Internship
HARKUD SHREE BUILDERS | Site Engineer | JAMSHETTY LAYOUT AND NEAR SAI MANDIR KALBURAGI. | Feb 2025 | May 2025 | 12.714285714286 Weeks</t>
  </si>
  <si>
    <t>AUTOCAD CIVIL</t>
  </si>
  <si>
    <t>P25700697</t>
  </si>
  <si>
    <t>BANDE</t>
  </si>
  <si>
    <t>Ritesh Satish Bande</t>
  </si>
  <si>
    <t>riteshbande32@gmail.com</t>
  </si>
  <si>
    <t>p25700697@student.nicmar.ac.in</t>
  </si>
  <si>
    <t>20-Aug-2003</t>
  </si>
  <si>
    <t>ENGLISH,HINDI,MARATHI,KANNADA</t>
  </si>
  <si>
    <t>9250 0918 8353</t>
  </si>
  <si>
    <t>SATISH BANDE</t>
  </si>
  <si>
    <t>RUPALI BANDE</t>
  </si>
  <si>
    <t>32, KuberLaxmi Vihar Near IMS School Jule Solapur</t>
  </si>
  <si>
    <t>EXTERNAL STUDENT (FORM 17)</t>
  </si>
  <si>
    <t>MAHARASHTRA STATE BOARD OF SECONDARY AND HIGHER EDUCATION,PUNE,MAHARASHTRA</t>
  </si>
  <si>
    <t>DIPLOMA IN CIVIL  ENGINEERING</t>
  </si>
  <si>
    <t>A.G.PATIL POLYTECHNIC INSTITUTE , SOLAPUR</t>
  </si>
  <si>
    <t>WALCHAND  INSTITUTE OF TECHNOLOGY</t>
  </si>
  <si>
    <t>PARANJPE SCHEMES (CONSTRUCTION)  LIMITED | INTERN | FOREST TRIALS TOWNSHIP "RIVOLO",PUNE   | May 2026 | Jul 2026 | 8.7142857142857 Weeks | Campus Internship
RATNAKAR BIRAJDAR ENGINEERS. |  INTERN PROJECT MANAGER | SOLAPUR | Dec 2024 | Apr 2025 | 20 Weeks
Sponsored by Punyashlok Ahilyadevi Holkar Solapur University ,Solapur | Traffic Surveyor | Solapur | Dec 2023 | Feb 2024 | 8.8571428571429 Weeks</t>
  </si>
  <si>
    <t>P25700698</t>
  </si>
  <si>
    <t>KSHITIJ</t>
  </si>
  <si>
    <t>JALGAONKAR</t>
  </si>
  <si>
    <t>Kshitij Manohar Jalgaonkar</t>
  </si>
  <si>
    <t>kshitijjalgaonkar@gmail.com</t>
  </si>
  <si>
    <t>p25700698@student.nicmar.ac.in</t>
  </si>
  <si>
    <t>23-Dec-1999</t>
  </si>
  <si>
    <t>5134 7059 9837</t>
  </si>
  <si>
    <t>MANSEE</t>
  </si>
  <si>
    <t>House No. 582 Rohidas Wadi, Umbarle, Tal- Dapoli, Dist- Ratnagiri</t>
  </si>
  <si>
    <t>ALFRED GADNEY HIGH SCHOOL, DAPOLI</t>
  </si>
  <si>
    <t>MAHARASHTRA STATE BOARD SECONDARY AND HIGHER SECONDARY EDUCATION, PUNE</t>
  </si>
  <si>
    <t>WARNA VIDYANIKETAN AND ABASAHEB PATIL JUNIOR COLLEGE OF SCIENCE, NAVE PARGAON</t>
  </si>
  <si>
    <t>THAKUR COLLEGE OF ENGINEERING AND TECHNOLOGY, KANDIVALI, MUMBAI</t>
  </si>
  <si>
    <t>E I Technologies Private Limited | Assistant Engineer | Bangalore | Jul 2023 | Jul 2025 | 1Y 11M | 2.82</t>
  </si>
  <si>
    <t>Sobha | Project Management Intern | Banglaore | May 2026 | Jul 2026 | 9 Weeks | Campus Internship
Avishkar Developrers | Site Engineer (Trainee) | Dapoli | Dec 2021 | Jan 2022 | 7.4285714285714 Weeks
Avishkar Developrers | Site Engineer (Trainee) | Dapoli | Jun 2021 | Jul 2021 | 8.5714285714286 Weeks</t>
  </si>
  <si>
    <t>P25700699</t>
  </si>
  <si>
    <t>ARNAV</t>
  </si>
  <si>
    <t>VINAY</t>
  </si>
  <si>
    <t>MULGAONKAR</t>
  </si>
  <si>
    <t>Arnav Vinay Mulgaonkar</t>
  </si>
  <si>
    <t>arnavmulgaonkar@gmail.com</t>
  </si>
  <si>
    <t>p25700699@student.nicmar.ac.in</t>
  </si>
  <si>
    <t>12-Nov-2003</t>
  </si>
  <si>
    <t>english, hindi, marathi</t>
  </si>
  <si>
    <t>5100 7496 8615</t>
  </si>
  <si>
    <t>VINAY MULGAONKAR</t>
  </si>
  <si>
    <t>MEGHNA MULGAONKAR</t>
  </si>
  <si>
    <t>ACCENT TRAINER</t>
  </si>
  <si>
    <t>1903, Ashwa Platinum , Din Dayal Upadhyay Marg, Mulund West</t>
  </si>
  <si>
    <t>V.P.M.'S INTERNATIONAL SCHOOL</t>
  </si>
  <si>
    <t>COUNCIL FOR THE INDIAN SCHOOL CERTIFICATE EXAMINATIONS , NEW DELHI</t>
  </si>
  <si>
    <t>WAMAN RAO MURANJAN JUNIOR COLLEGE OF SCIENCE &amp; COMMERCE</t>
  </si>
  <si>
    <t>MAHARASTRA STATE BOARD OF SECONDARY AND HIGHER EDUCATION , PUNE</t>
  </si>
  <si>
    <t>DATTA MEGHE COLLEGE OF ENGINEERING , AIROLI</t>
  </si>
  <si>
    <t>IDEASEse | Intern | Kharghar, Navi Mumbai | Jan 2025 | Feb 2025 | 8.2857142857143 Weeks</t>
  </si>
  <si>
    <t>P25700700</t>
  </si>
  <si>
    <t>CHARUDATTA</t>
  </si>
  <si>
    <t>JOSHI</t>
  </si>
  <si>
    <t>Prathamesh Charudatta Joshi</t>
  </si>
  <si>
    <t>prathameshjoshi424@gmail.com</t>
  </si>
  <si>
    <t>p25700700@student.nicmar.ac.in</t>
  </si>
  <si>
    <t>31-Aug-2000</t>
  </si>
  <si>
    <t>5740 8577 4933</t>
  </si>
  <si>
    <t>CHARUDATTA ANANT JOSHI</t>
  </si>
  <si>
    <t>PLOT NO-20, NIRANJAN HOUSING SOCIETY, KATRAJ-KONDHWA ROAD</t>
  </si>
  <si>
    <t>821 C Ward Chougule Lane Kagal Dist- Kolhapur</t>
  </si>
  <si>
    <t>HOLYDEN ENGLISH MEDIUM SCHOOL, KAGAL</t>
  </si>
  <si>
    <t>MAHARASHTRA STATE BOARD OF SECONDARY AND HIGHER EDUCATION,KOLHAPUR.</t>
  </si>
  <si>
    <t>GOVERNMENT POLYTECHNIC KOLHAPUR. MAHARASHTRA</t>
  </si>
  <si>
    <t>SHIVAJI UNIVERSITY, KOLHAPUR.</t>
  </si>
  <si>
    <t>TATYASAHEB KORE INSTITUTE OF ENGINEERING AND TECHNOLOGY KOLHAPUR. MAHARASHTRA</t>
  </si>
  <si>
    <t>Construction Point.Pvt.Ltd | Junior Planning Engineer | Pune Maharashtra. | Sep 2024 | Jul 2025 | 0Y 9M | 2.64</t>
  </si>
  <si>
    <t>Goa State Infrastructure Development Corporation | Summer Intern- Site Execution | Goa | May 2026 | Jul 2026 | 8.7142857142857 Weeks | Campus Internship
Disha Construction | Civil- Supervisor Intern | Kagal Dist- Kolhapur | Jan 2021 | Mar 2021 | 8.5714285714286 Weeks</t>
  </si>
  <si>
    <t>P25700701</t>
  </si>
  <si>
    <t>SAILEE</t>
  </si>
  <si>
    <t>AJIT</t>
  </si>
  <si>
    <t>SALI</t>
  </si>
  <si>
    <t>Sailee Ajit Sali</t>
  </si>
  <si>
    <t>saileesali1107@gmail.com</t>
  </si>
  <si>
    <t>p25700701@student.nicmar.ac.in</t>
  </si>
  <si>
    <t>11-Jul-2002</t>
  </si>
  <si>
    <t>Hindi, English, Marathi</t>
  </si>
  <si>
    <t>6749 4208 4735</t>
  </si>
  <si>
    <t>AJIT SALI</t>
  </si>
  <si>
    <t>REVENUE DEPT.</t>
  </si>
  <si>
    <t>MANISHA SALI</t>
  </si>
  <si>
    <t>JUDICAIL OFFICER</t>
  </si>
  <si>
    <t>1302, JM Road , Shivajinagar, Pune-411005</t>
  </si>
  <si>
    <t>ST. ANNE'S HIGH SCHOOL, PUNE</t>
  </si>
  <si>
    <t>BHARTI VIDYAPEETH'S JAWAHARLAL NEHRU INSTITUE OF  TECHNOLOGY ( POLYTECHNIC),PUNE</t>
  </si>
  <si>
    <t>SINHGAD INSTITUE OF TECHNOLOGY AND SCIENCE (SITS), PUNE</t>
  </si>
  <si>
    <t>AutoCAD,MS Office,MS Project,Primavera,Cost x,Revit,Naviswork,Ms Excel,Power Point Presentation</t>
  </si>
  <si>
    <t>Boxoffice Space | Execution Intern | Baner,Pune | May 2026 | Jul 2026 | 8.7142857142857 Weeks | Campus Internship
Swastik Developers | Trainee Junior Engineer  | Pune | Aug 2021 | Sep 2021 | 5.5714285714286 Weeks
Pune Municipal Corporation, Pune | Trainee Junior Engineer | Pune Municipal Corporation, Pune | Oct 2024 | Mar 2025 | 25.857142857143 Weeks
Maharashtra Metro Rail Corporation Limited | Trainee Junior Engineer | Pune Metro, Maharashtra | Dec 2023 | Jan 2024 | 4.2857142857143 Weeks</t>
  </si>
  <si>
    <t>P25700702</t>
  </si>
  <si>
    <t>Adarsh Singh</t>
  </si>
  <si>
    <t>adarshsingh4471@gmail.com</t>
  </si>
  <si>
    <t>p25700702@student.nicmar.ac.in</t>
  </si>
  <si>
    <t>7770 4156 3433</t>
  </si>
  <si>
    <t>VIJAY SINGH</t>
  </si>
  <si>
    <t>SERVICES</t>
  </si>
  <si>
    <t>NITU SINGH</t>
  </si>
  <si>
    <t>SOCIAL WORK</t>
  </si>
  <si>
    <t>101 Omkar Enclave , Sant Nagar, _x000D_
Lane No 2 , Lohegaon Wagholi Road ,Lohegaon , Pune, 411047</t>
  </si>
  <si>
    <t>THE CENTRAL BOARD OF SECONDARY EDUCATION</t>
  </si>
  <si>
    <t>S.N.B.P INTERNATIONAL SCHOOL</t>
  </si>
  <si>
    <t>MAHARASTRA STATE BOARD OF  SECONDARY AND HIGHER  SECONDARY EDUCATION</t>
  </si>
  <si>
    <t>DR D.Y. PATIL INSTITUTION OF  TECHNOLOGY , MAHARASHTRA</t>
  </si>
  <si>
    <t>P25700703</t>
  </si>
  <si>
    <t>HIRAL</t>
  </si>
  <si>
    <t>CHAWDA</t>
  </si>
  <si>
    <t>Hiral Chawda</t>
  </si>
  <si>
    <t>hiralchawda001@gmail.com</t>
  </si>
  <si>
    <t>p25700703@student.nicmar.ac.in</t>
  </si>
  <si>
    <t>25-Nov-1994</t>
  </si>
  <si>
    <t>GUJARATI, HINDI, ENGLISH</t>
  </si>
  <si>
    <t>9677 0094 7556</t>
  </si>
  <si>
    <t>DIPAKBHAI RATHOD</t>
  </si>
  <si>
    <t>PRATIMABEN RATHOD</t>
  </si>
  <si>
    <t>C-1108, ALKASA SOCIETY, TARVADEWASTI, HADAPSAR,</t>
  </si>
  <si>
    <t>B-4, Agyeya Nagar, Bilaspur Chhattisgarh</t>
  </si>
  <si>
    <t>MATRUCHAYA KANYA VIDYALAYA - BHUJ</t>
  </si>
  <si>
    <t>GUJARAT SECONDARY &amp; HIGHER SECONDARY EDUCATION BOARD, BHUJ-GUJARAT</t>
  </si>
  <si>
    <t>KRISHNA SCIENCE HIGH SCHOOL</t>
  </si>
  <si>
    <t>GUJARAT SECONDARY &amp; HIGHER SECONDARY EDUCATION BOARD, RAJKOT-GUJARAT</t>
  </si>
  <si>
    <t>VEER NARMAD SOUTH GUJARAT UNIVERSITY, SURAT-GUJARAT</t>
  </si>
  <si>
    <t>SARVAJANIK COLLEGE OF ENGINEERING &amp; TECHNOLOGY, SURAT-GUJARAT</t>
  </si>
  <si>
    <t>AutoCAD,Sketchup,Revit,Lumion,Enscape,Navisworks,MS Project, Primvera</t>
  </si>
  <si>
    <t>vConstruct Private Limited | Project Engineer | Pune | Mar 2020 | Jul 2023 | 3Y 4M | 5.3</t>
  </si>
  <si>
    <t>Ojas Hirani Architects &amp; Engineers | Jr.Architect | Ahmedabad, Gujarat | Feb 2018 | Aug 2018 | 27.857142857143 Weeks
Mamta Shah &amp; Associates | Jr.Architect | Vadodara, Gujarat | Dec 2015 | Nov 2016 | 46.714285714286 Weeks</t>
  </si>
  <si>
    <t>Lean Leadership</t>
  </si>
  <si>
    <t>P25700704</t>
  </si>
  <si>
    <t>JAGDALE</t>
  </si>
  <si>
    <t>Rushikesh Ganesh Jagdale</t>
  </si>
  <si>
    <t>rushikeshjagdale79@gmail.com</t>
  </si>
  <si>
    <t>p25700704@student.nicmar.ac.in</t>
  </si>
  <si>
    <t>09-Aug-2003</t>
  </si>
  <si>
    <t>3776 3365 9577</t>
  </si>
  <si>
    <t>SHILA</t>
  </si>
  <si>
    <t>A/P NIRA TAL PURANDAR DIS PUNE_x000D_</t>
  </si>
  <si>
    <t>At.Nanegaon Post Davarwadi , Dawarwadi, Aurangabad Maharashtra 431107</t>
  </si>
  <si>
    <t>ST. ANN'S ENGLISH MEDIUM SCHOOL LONAND, MAHARASHTRA</t>
  </si>
  <si>
    <t>SHRI SOMESHWAR SHIKSHAN PRASARAK MANDAL'S SOMESHWAR SCIENCE COLLEGE, SOMESHWARNAGAR</t>
  </si>
  <si>
    <t>VIDYA PRATISHTHAN'S COLLEGE OF ENGINEERING, BARAMATI</t>
  </si>
  <si>
    <t>AutoCAD,MS Office,MS Project,Primavera,QGIS (Basic)</t>
  </si>
  <si>
    <t>New Consolidated Construction Company Limited | Project Management Intern | Mumbai | May 2026 | Jul 2026 | 8.8571428571429 Weeks | Campus Internship
SHRI SHIRSAI BUILDERS &amp; DEVELOPERS | ENGINEER TRAINEE | JALOCHI BARAMATI | Jan 2024 | Feb 2024 | 5 Weeks</t>
  </si>
  <si>
    <t>NPTEL Online Certification - Design Of Steel Structure
QGIS Training â€“ Spoken Tutorial Project, IIT Bombay</t>
  </si>
  <si>
    <t>P25700705</t>
  </si>
  <si>
    <t>SAI DEEPAK</t>
  </si>
  <si>
    <t>POTNURU</t>
  </si>
  <si>
    <t>Sai Deepak Potnuru</t>
  </si>
  <si>
    <t>saideepakpotnuru@gmail.com</t>
  </si>
  <si>
    <t>p25700705@student.nicmar.ac.in</t>
  </si>
  <si>
    <t>14-Mar-2002</t>
  </si>
  <si>
    <t>English, Telugu, Hindi, Oriya.</t>
  </si>
  <si>
    <t>3618 6547 9369</t>
  </si>
  <si>
    <t>POTNURU SAIBABU</t>
  </si>
  <si>
    <t>POTNURU SUVARNA</t>
  </si>
  <si>
    <t>24-166, Indiranagar Colony, Narasannapeta, Srikakulam, Andhra Pradesh - 532421.</t>
  </si>
  <si>
    <t>SARVANI VIDYALAYA</t>
  </si>
  <si>
    <t>BOARD OF SECONDARY EDUCATION, ANDHRA PRADESH.</t>
  </si>
  <si>
    <t>INDIAN INSTITUTE OF ENGINEERING SCIENCE AND TECHNOLOGY, SHIBPUR</t>
  </si>
  <si>
    <t>AutoCAD, MS Office, MS Project,Primavera,Revit,staadpro, ACC Cloud</t>
  </si>
  <si>
    <t>Ahluwalia Contracts (India) Limited | Project Management Intern  | Delhi | May 2026 | Jul 2026 | 8.7142857142857 Weeks | Campus Internship
APARNA CONSTRUCTIONS AND ESTATES PVT. LTD. | INTERN TRAINEE | HYDERABAD | May 2023 | Jul 2023 | 7.7142857142857 Weeks</t>
  </si>
  <si>
    <t>STADD PRO
AUTOCAD
MS PROJECT
PRIMAVERA
REVIT</t>
  </si>
  <si>
    <t>P25700706</t>
  </si>
  <si>
    <t>SHREYASH</t>
  </si>
  <si>
    <t>GHATE</t>
  </si>
  <si>
    <t>Shreyash Ravindra Ghate</t>
  </si>
  <si>
    <t>shreyashghate631@gmail.com</t>
  </si>
  <si>
    <t>p25700706@student.nicmar.ac.in</t>
  </si>
  <si>
    <t>5023 5384 5839</t>
  </si>
  <si>
    <t>Karla Road , Near Krishna Mandir, Vajurkar Layout, Pipri Meghe , Wradha</t>
  </si>
  <si>
    <t>SCHOOL OF BRILLIANTS</t>
  </si>
  <si>
    <t>MAHARASHTRA STATE BOARD TECHNICAL EDUCATION</t>
  </si>
  <si>
    <t>2019-Nov</t>
  </si>
  <si>
    <t>SINHGAD COLLEGE OF ENGINEERING /PUNE</t>
  </si>
  <si>
    <t>AutoCAD,MS Office,Rivet,StaddPro</t>
  </si>
  <si>
    <t>KUKREJA INFRASTRUCTURES | MANAGMENT INTERN PLANNING | Kukreja Paris City ,Nagpur | May 2026 | Jul 2026 | 8.5714285714286 Weeks | Campus Internship
SIDDHI DEVELOPERS | SITE INTERN | PUNE | Dec 2023 | Jan 2024 | 4.4285714285714 Weeks</t>
  </si>
  <si>
    <t>Diploma in Building Design
Construction Machinery for concreting/Roads &amp;Earth moving
Leadership Skills
Data Analysis
DIGIQC Certification
Finance For Non-Financial Managers
NPTEL Online Certification-German -I</t>
  </si>
  <si>
    <t>P25700707</t>
  </si>
  <si>
    <t>YOGESH</t>
  </si>
  <si>
    <t>YESHWANT</t>
  </si>
  <si>
    <t>Desai Yogesh Yeshwant</t>
  </si>
  <si>
    <t>yogeshdesai9370@gmail.com</t>
  </si>
  <si>
    <t>p25700707@student.nicmar.ac.in</t>
  </si>
  <si>
    <t>05-Jun-2002</t>
  </si>
  <si>
    <t>English,Hindi,marathi</t>
  </si>
  <si>
    <t>5264 4194 2740</t>
  </si>
  <si>
    <t>YESHWANT RAOSAHEB DESAI</t>
  </si>
  <si>
    <t>SAVITA YESHWANT DESAI</t>
  </si>
  <si>
    <t>HOISE WIFE</t>
  </si>
  <si>
    <t>H. No. 1-4- 90, Behind Janata Market, Phulenagar, Nanded, Nanded, Maharashtra, 431602</t>
  </si>
  <si>
    <t>CAMBRIDGE VIDYALAYA</t>
  </si>
  <si>
    <t>JSPM'S RSCOE THTHAWADE,PUNE</t>
  </si>
  <si>
    <t>AutoCAD,MS Office,MS Project,Primavera,Sketchup,SWMM,SURFER</t>
  </si>
  <si>
    <t>Shobha limited | Planning intern | Gurugram  | May 2026 | Jul 2026 | 9 Weeks | Campus Internship
GIRITIRTH ASSOCIATES | INTERN SITE ENGINEER  | RAVET,PUNE. | Jan 2024 | Jun 2024 | 25.857142857143 Weeks</t>
  </si>
  <si>
    <t>Ethics in engineering pratice
Finance for Non-Financial Managers</t>
  </si>
  <si>
    <t>P25700708</t>
  </si>
  <si>
    <t>SHAM</t>
  </si>
  <si>
    <t>BHADKE</t>
  </si>
  <si>
    <t>Yash Sham Bhadke</t>
  </si>
  <si>
    <t>yashbhadke2003@gmail.com</t>
  </si>
  <si>
    <t>p25700708@student.nicmar.ac.in</t>
  </si>
  <si>
    <t>ENGLISH</t>
  </si>
  <si>
    <t>3881 8789 3835</t>
  </si>
  <si>
    <t>SHAM RAMESH BHADKE</t>
  </si>
  <si>
    <t>SHITAL SHAM BHADKE</t>
  </si>
  <si>
    <t>Chintamani Apartment Jatharpeth Akola</t>
  </si>
  <si>
    <t>BAL SHIVAJI HIGH SCHOOL</t>
  </si>
  <si>
    <t>AKOLA</t>
  </si>
  <si>
    <t>GOVERNMENT POLYTECHNIC AMRAVTI</t>
  </si>
  <si>
    <t>SANT GADGE BABA AMRAVTI UNIVERSITY</t>
  </si>
  <si>
    <t>Majestic Realties | Site Excecution And Project Management  | Pune | May 2026 | Jun 2026 | 7.7142857142857 Weeks | Campus Internship
Pawan Park | Site trainee | Akola | Jun 2024 | Jun 2024 | 4.1428571428571 Weeks</t>
  </si>
  <si>
    <t>P25700709</t>
  </si>
  <si>
    <t>PRERANA</t>
  </si>
  <si>
    <t>SAPKALE</t>
  </si>
  <si>
    <t>Prerana Sapkale</t>
  </si>
  <si>
    <t>preranasapkale03@gmail.com</t>
  </si>
  <si>
    <t>p25700709@student.nicmar.ac.in</t>
  </si>
  <si>
    <t>8190 3377 5554</t>
  </si>
  <si>
    <t>CHANDRAKANT</t>
  </si>
  <si>
    <t>SITE ENGINEER</t>
  </si>
  <si>
    <t>HARIPRIYA</t>
  </si>
  <si>
    <t>SCHOOL PRINCIPAL</t>
  </si>
  <si>
    <t>A-1206, Season Sahara, Near 50-50 Dhaba, Malang Gad Road, KalyanÂ east,Â Thane</t>
  </si>
  <si>
    <t>PODAR INTERNATIONAL SCHOOL, JALGAON</t>
  </si>
  <si>
    <t>CBSE, MAHRASHTRA</t>
  </si>
  <si>
    <t>SHARAD PAWAR PUBLIC SCHOOL</t>
  </si>
  <si>
    <t>CBSE, MAHARASHTRA</t>
  </si>
  <si>
    <t>S.H. JONDHALE POLYTECHNIC</t>
  </si>
  <si>
    <t>MGM COLLEGE OF ENGINEERING AND TECHNOLOGY</t>
  </si>
  <si>
    <t>Vinayak Chopdekar &amp; Associates / A.R.C. &amp; I. | Site Execution | Badlapur | May 2026 | Jul 2026 | 8.7142857142857 Weeks</t>
  </si>
  <si>
    <t>P25700710</t>
  </si>
  <si>
    <t>DINESH CHANDRA</t>
  </si>
  <si>
    <t>Mule Dinesh Chandra Reddy</t>
  </si>
  <si>
    <t>dineshreddy8261@gmail.com</t>
  </si>
  <si>
    <t>p25700710@student.nicmar.ac.in</t>
  </si>
  <si>
    <t>8936 7609 5284</t>
  </si>
  <si>
    <t>MULE BALAKRISHNA REDDY</t>
  </si>
  <si>
    <t>MULE HARITHA</t>
  </si>
  <si>
    <t>Flat No : 401, Dhanalakshmi Residency, Sai Balaji Gardens, Dhanalakshmi Puram, Nellore</t>
  </si>
  <si>
    <t>Nellore</t>
  </si>
  <si>
    <t>BOARD OF SECONDARY EDUCATION/ ANDHRA PRADESH</t>
  </si>
  <si>
    <t>BOARD OF INTERMEDIATE EDUCATION/ ANDHRA PRADESH</t>
  </si>
  <si>
    <t>L&amp;T | Trainee | Chennai | Jul 2023 | Aug 2023 | 1.5714285714286 Weeks</t>
  </si>
  <si>
    <t>P25700711</t>
  </si>
  <si>
    <t>SOMNATH</t>
  </si>
  <si>
    <t>DAMODAR</t>
  </si>
  <si>
    <t>DEVEKAR</t>
  </si>
  <si>
    <t>Somnath Damodar Devekar</t>
  </si>
  <si>
    <t>somnathdevekar55@gmail.com</t>
  </si>
  <si>
    <t>p25700711@student.nicmar.ac.in</t>
  </si>
  <si>
    <t>Marathi, Hindi &amp; English</t>
  </si>
  <si>
    <t>4190 7587 2863</t>
  </si>
  <si>
    <t>RETIRED TEACHER, FARMING</t>
  </si>
  <si>
    <t>Mauli Home, Near Primary School, Khadak Colony, Basarewadi, Gargoti.</t>
  </si>
  <si>
    <t>MADHYAMIK VIDYALAYA DARWAD</t>
  </si>
  <si>
    <t>CHHATRAPATI SHAHU VIDYALAYA &amp; JUNIOR COLLEGE, KOLHAPUR</t>
  </si>
  <si>
    <t>2022-Feb</t>
  </si>
  <si>
    <t>TATYASAHEB KORE INSTITUTE OF ENGINEERING &amp; TECHNOLOGY</t>
  </si>
  <si>
    <t>Rushikesh Associates | Site engineer | Kolhapur | Feb 2024 | Apr 2024 | 12.428571428571 Weeks</t>
  </si>
  <si>
    <t>sketchup Workshop</t>
  </si>
  <si>
    <t>P25700712</t>
  </si>
  <si>
    <t>Rohan Rajendra Patil</t>
  </si>
  <si>
    <t>patilrohan688@gmail.com</t>
  </si>
  <si>
    <t>p25700712@student.nicmar.ac.in</t>
  </si>
  <si>
    <t>26-May-1999</t>
  </si>
  <si>
    <t>8389 6696 8122</t>
  </si>
  <si>
    <t>RAJENDRA JALINDAR PATIL</t>
  </si>
  <si>
    <t>RAJASHRI</t>
  </si>
  <si>
    <t>Patilwasti, Tandulwadi Road, A/P- Mahim Tal- Sangola Dist- Solapur</t>
  </si>
  <si>
    <t>PVG'S MAHARASHTRA VIDYALAYA PUNE-30</t>
  </si>
  <si>
    <t>MODERN COLLEGE OF ARTS SCIENCE AND COMMERCE SHIVAJINAGAR PUNE.</t>
  </si>
  <si>
    <t>ANNASAHEB DANGE COLLEGE OF ENGINEERING AND TECHNOLOGY, ASHTA</t>
  </si>
  <si>
    <t>T And T Infra Ltd. | Jr. Engineer | Maharashtra | Dec 2021 | Jan 2025 | 3Y 1M | 3.85</t>
  </si>
  <si>
    <t>Koranne Techno-Legal Services  | Intern  | Thane, Maharashtra  | May 2026 | Jun 2026 | 8.1428571428571 Weeks | Campus Internship</t>
  </si>
  <si>
    <t>P25700714</t>
  </si>
  <si>
    <t>PAIDI</t>
  </si>
  <si>
    <t>Paidi Mohan Kumar</t>
  </si>
  <si>
    <t>mohanp1paidi@gmail.com</t>
  </si>
  <si>
    <t>p25700714@student.nicmar.ac.in</t>
  </si>
  <si>
    <t>01-Jul-2004</t>
  </si>
  <si>
    <t>5177 8715 2141</t>
  </si>
  <si>
    <t>PAIDI LAKSHMANA RAO</t>
  </si>
  <si>
    <t>RAILWAY EMPLOYE</t>
  </si>
  <si>
    <t>PAIDI SUNEETHA</t>
  </si>
  <si>
    <t>DOOR NO:20-239/14/7,CARVAL NAGAR,KOTHPALEM,GOPALAPATNAM,VISAKHAPATNAM</t>
  </si>
  <si>
    <t>Door No:2-74,main Street ,Modalavalasa,Srikakulam,Andhra Pradesh-532484</t>
  </si>
  <si>
    <t>BOARD OF SECONDARY EDUCATION ,ANDHRA PRADESH</t>
  </si>
  <si>
    <t>ANDHRA UNIVERSITY COLLEGE OF ENGINEERING,ANDHRA PRADESH</t>
  </si>
  <si>
    <t xml:space="preserve">MS Project, Primavera, MS Office, AutoCAD, STAAD Pro, Revit, Navisworks, Cost X </t>
  </si>
  <si>
    <t>Rithwik Projects Private Limited | Project Management Intern | Hyderabad | May 2026 | Jul 2026 | 8.5714285714286 Weeks | Campus Internship
Vizag Steel Plant | Intern | Visakhapatnam | May 2024 | Jun 2024 | 3.7142857142857 Weeks</t>
  </si>
  <si>
    <t>P25700715</t>
  </si>
  <si>
    <t>DEULKAR</t>
  </si>
  <si>
    <t>Sahil Rajendra Deulkar</t>
  </si>
  <si>
    <t>sahildeulkar95@gmail.com</t>
  </si>
  <si>
    <t>p25700715@student.nicmar.ac.in</t>
  </si>
  <si>
    <t>3574 0049 2179</t>
  </si>
  <si>
    <t>RAJENDRA KRUSHNARAO DEULKAR</t>
  </si>
  <si>
    <t>GOVERNMENT CONTRACTOR</t>
  </si>
  <si>
    <t>SAVITA RAJENDRA DEULKAR</t>
  </si>
  <si>
    <t>C-203, 2ND FLOOR, ORABELLE BHOOMI INFRACON</t>
  </si>
  <si>
    <t>Shivaji Nagar, Ner Parsopant, Yavatmal, 445102</t>
  </si>
  <si>
    <t>SHANTINIKETAN HIGH SCHOOL, NER, YAVATMAL</t>
  </si>
  <si>
    <t>GOVERNMENT POLYTECHNIC AMRAVATI</t>
  </si>
  <si>
    <t>PIMPRI CHINCHWAD COLLEGE OF ENGINEERING &amp; RESEARCH, RAVET, PUNE</t>
  </si>
  <si>
    <t>AutoCAD,MS Office,MS Project,MH-CIT</t>
  </si>
  <si>
    <t>Sangam Engineers | Site Intern | R K Trade Centre, Vapi, Gujarat  | May 2026 | Jul 2026 | 8.7142857142857 Weeks | Campus Internship
Know How | Site engineer trainee | Ravet, Pune | Dec 2023 | Jan 2024 | 3.7142857142857 Weeks
Amravati Municipal Corporation, Amravati | Site engineer trainee | Amravati  | Aug 2021 | Sep 2021 | 4.2857142857143 Weeks</t>
  </si>
  <si>
    <t>P25700716</t>
  </si>
  <si>
    <t>SHIKHIL</t>
  </si>
  <si>
    <t>CHAMEL</t>
  </si>
  <si>
    <t>Shikhil Chamel</t>
  </si>
  <si>
    <t>shikhilchamel4273@gmail.com</t>
  </si>
  <si>
    <t>p25700716@student.nicmar.ac.in</t>
  </si>
  <si>
    <t>16-Jun-2001</t>
  </si>
  <si>
    <t>HINDI,ENGLISH</t>
  </si>
  <si>
    <t>9551 1578 7166</t>
  </si>
  <si>
    <t>SANJAY KUMAR CHAMEL</t>
  </si>
  <si>
    <t>CIVIL ENGINEER(GOVT.)</t>
  </si>
  <si>
    <t>RITA CHAMEL</t>
  </si>
  <si>
    <t>39/7, Ward No. -02 ,Prem Vihar ,Shamsherpur(117),Paonta Sahib</t>
  </si>
  <si>
    <t>Sirmaur</t>
  </si>
  <si>
    <t>CENTRAL BOARD OF SECONDARY EDUCATION , SHIMLA ,HIMACHAL PRADESH</t>
  </si>
  <si>
    <t>GRAPHIC ERA , DEHRADUN ,UTTRAKHAND</t>
  </si>
  <si>
    <t>Geoquest India Private Limited  | Operations Intern | New Delhi | May 2026 | Jun 2026 | 8 Weeks | Campus Internship
National Highway Authority of India | Trainee  | Ganeshpur, Dehradun | Jun 2022 | Aug 2022 | 6.2857142857143 Weeks
SHARNAGAT CONSTRUCTION PVT. LTD. | Trainee Engineer | Shimla | Dec 2023 | Nov 2024 | 48 Weeks</t>
  </si>
  <si>
    <t>P25700717</t>
  </si>
  <si>
    <t>GHAYTADAK</t>
  </si>
  <si>
    <t>Ritesh Sanjay Ghaytadak</t>
  </si>
  <si>
    <t>riteshghaytadak7@gmail.com</t>
  </si>
  <si>
    <t>p25700717@student.nicmar.ac.in</t>
  </si>
  <si>
    <t>9705 8775 1230</t>
  </si>
  <si>
    <t>SANJAY GHAYTADAK</t>
  </si>
  <si>
    <t>HEMAKSHI GHAYTADAK</t>
  </si>
  <si>
    <t>Babu Park, Near Samarth Hitech Security, Bahirewadi, Warananagar</t>
  </si>
  <si>
    <t>SHREE WARANA VIDYALAY WARANANAGAR</t>
  </si>
  <si>
    <t>AutoCAD,MS Office,MS Project,Primavera,Staad pro,Etaab,Revit,Cost X</t>
  </si>
  <si>
    <t>Vaishnavi Developers &amp; Builders | Site Execution &amp; Planning | Pune | May 2026 | Jul 2026 | 8.7142857142857 Weeks | Campus Internship
SSPA Consulting Engineers | Structural design and draftsman | Pune, Kothrud | Jan 2025 | Apr 2025 | 12.857142857143 Weeks</t>
  </si>
  <si>
    <t>3 months of training and internship in AutoCAD
Bentley Staad pro Virtual Internship
Finance for Non - Financial Manager
Foundations of Project Management</t>
  </si>
  <si>
    <t>P25700718</t>
  </si>
  <si>
    <t>SURADKAR</t>
  </si>
  <si>
    <t>Aditya Vinayak Suradkar</t>
  </si>
  <si>
    <t>adityavs1605@gmail.com</t>
  </si>
  <si>
    <t>p25700718@student.nicmar.ac.in</t>
  </si>
  <si>
    <t>16-May-1999</t>
  </si>
  <si>
    <t>3239 3047 7162</t>
  </si>
  <si>
    <t>Flat No. 601, F-wing, Lake Castle Bldg, Opp. Gauripada Talao, Gauripada, Kalyan West, 421301</t>
  </si>
  <si>
    <t>LOURDES HIGH SCHOOL</t>
  </si>
  <si>
    <t>LAXMAN DEVRAM SONAWANE COLLEGE</t>
  </si>
  <si>
    <t>DILKAP RESEARCH INSTITUTE OF ENGINEERING AND MANAGEMENT STUDIES, NERAL</t>
  </si>
  <si>
    <t>AutoCAD, MS Office, MS Project, Primavera P6, Revit Architecture, Cost X, Etabs</t>
  </si>
  <si>
    <t>Kinjal Civilcon LLP | Jr. Planning Engineeer | Kalyan | Mar 2024 | Jul 2025 | 1Y 4M | 2.77</t>
  </si>
  <si>
    <t>Kabi &amp; Assosciates | Contracts &amp; Claim Management Intern  | Delhi | May 2026 | Jul 2026 | 8.7142857142857 Weeks | Campus Internship
Built Charms | Intern | Kalyan | Jun 2021 | Nov 2021 | 26 Weeks</t>
  </si>
  <si>
    <t>P25700719</t>
  </si>
  <si>
    <t>AMRUTANSHU</t>
  </si>
  <si>
    <t>BINDHANI</t>
  </si>
  <si>
    <t>Amrutanshu Bindhani</t>
  </si>
  <si>
    <t>amrutanshubindhani2001@gmail.com</t>
  </si>
  <si>
    <t>p25700719@student.nicmar.ac.in</t>
  </si>
  <si>
    <t>23-Feb-2001</t>
  </si>
  <si>
    <t>English, Hindi, Odia</t>
  </si>
  <si>
    <t>5472 1014 6798</t>
  </si>
  <si>
    <t>HARIHAR BINDHANI</t>
  </si>
  <si>
    <t>RETIRED LECTURER</t>
  </si>
  <si>
    <t>SUMATI BINDHANI</t>
  </si>
  <si>
    <t>At Deulasahi, Ward Number-7, Baripada, Mayurbhanj, Pin-757001, Odisha</t>
  </si>
  <si>
    <t>KENDRIYA VIDYALAYA MURGABADI MAYURBHANJ ODISHA</t>
  </si>
  <si>
    <t>CENTRAL BOARD OF SECONDARY EDUCATION, BARIPADA/ODISHA</t>
  </si>
  <si>
    <t>KENDRIYA VIDYALAYA BARIPADA MAYURBHANJ ODISHA</t>
  </si>
  <si>
    <t>BIJU PATNAIK UNIVERSITY OF TECHNOLOGY</t>
  </si>
  <si>
    <t>GOVERNMENT COLLEGE OF ENGINEERING KEONJHAR/ODISHA</t>
  </si>
  <si>
    <t>HINDUSTAN CONSTRUCTION COMPANY LTD | SITE ENGINEER | RAIGAD, MAHARASTRA | Jul 2023 | Jul 2025 | 2Y 0M | 6.15</t>
  </si>
  <si>
    <t>NBCC (India) Ltd. | Intern- Project Management | Delhi | May 2026 | Jul 2026 | 9.7142857142857 Weeks | Campus Internship</t>
  </si>
  <si>
    <t>Auto CAD (Civil)</t>
  </si>
  <si>
    <t>P25700720</t>
  </si>
  <si>
    <t>SHWETA</t>
  </si>
  <si>
    <t>MOHITE</t>
  </si>
  <si>
    <t>Shweta Anil Mohite</t>
  </si>
  <si>
    <t>shwetamohite2025@gmail.com</t>
  </si>
  <si>
    <t>p25700720@student.nicmar.ac.in</t>
  </si>
  <si>
    <t>8371 0595 0677</t>
  </si>
  <si>
    <t>ANIL MOHITE</t>
  </si>
  <si>
    <t>SHUBHANGI MOHITE</t>
  </si>
  <si>
    <t>Amrutnagar, Nawalewadi, Tal. Akole</t>
  </si>
  <si>
    <t>DHRUV  ACADEMY</t>
  </si>
  <si>
    <t>DELHI</t>
  </si>
  <si>
    <t>AGASTI COLLEGE</t>
  </si>
  <si>
    <t>PUNE</t>
  </si>
  <si>
    <t>SAVITRIBAI PHULE UNIVERSITY, PUNE</t>
  </si>
  <si>
    <t>TRINITY COLLEGE OF ARCHITECTURE, PUNE</t>
  </si>
  <si>
    <t>AutoCAD,MS Office,MS Project,Lumion,Enscape,Photoshop,Vray</t>
  </si>
  <si>
    <t>P25700721</t>
  </si>
  <si>
    <t>MAYURI</t>
  </si>
  <si>
    <t>SULABHA</t>
  </si>
  <si>
    <t>SALOKHE</t>
  </si>
  <si>
    <t>Mayuri Sulabha Salokhe</t>
  </si>
  <si>
    <t>salokhemayuri25@gmail.com</t>
  </si>
  <si>
    <t>p25700721@student.nicmar.ac.in</t>
  </si>
  <si>
    <t>06-Feb-2000</t>
  </si>
  <si>
    <t>English , Hindi &amp; Marathi</t>
  </si>
  <si>
    <t>5430 5383 1734</t>
  </si>
  <si>
    <t>SHEELA</t>
  </si>
  <si>
    <t>653 Mafatalal Gate, Navjeevan_x000D_
Waliv_x000D_
Vasai East</t>
  </si>
  <si>
    <t>THE AMBASSADOR HIGH SCHOOL</t>
  </si>
  <si>
    <t>CONSTRUCTION TECHNOLOGY</t>
  </si>
  <si>
    <t>VIVA INSTITUTE OF TECHNOLOGY</t>
  </si>
  <si>
    <t>AutoCAD,MS Office,MS Project,Primavera,3D Sketchup</t>
  </si>
  <si>
    <t>Parekh Integrated Services Private Limited | Executive- Design | Goregaon | Feb 2024 | Jul 2025 | 1Y 5M | 3.48
SAMAQ BUILDER PVT.LTD | Jr. QS Engineer | Chunabhatti | Jul 2023 | Jan 2024 | 0Y 5M | 2.64</t>
  </si>
  <si>
    <t>Wani Projects and Infra Pvt. Ltd. | Site Execution + Control | Pune | May 2026 | Jun 2026 | 8.1428571428571 Weeks | Campus Internship
Aaradhya Associates | Trainee Engineer | Virar | Jun 2022 | Jun 2022 | 4.1428571428571 Weeks
Naman Regency Developers | Site Trainee Engineer | Dockyard Road, Mazgaon | Jun 2019 | Mar 2022 | 143.85714285714 Weeks</t>
  </si>
  <si>
    <t>P25700722</t>
  </si>
  <si>
    <t>DIKE</t>
  </si>
  <si>
    <t>Dike Shruti Mahesh</t>
  </si>
  <si>
    <t>shrutidike15@gmail.com</t>
  </si>
  <si>
    <t>p25700722@student.nicmar.ac.in</t>
  </si>
  <si>
    <t>4864 2282 5871</t>
  </si>
  <si>
    <t>MAHESH SONU DIKE</t>
  </si>
  <si>
    <t>MEGHA MAHESH DIKE</t>
  </si>
  <si>
    <t>Kunal Estate, Flat No. 31, Building No. A3, A-wing, Keshavnagar, Near Morya Gosavi Krida Sankul, Chinchwadgaon, Pune-411033</t>
  </si>
  <si>
    <t>VIDYA NIKETAN ENGLISH MEDIUM SCHOOL, PIMPRI (TATA MOTORS EMPLOYEES EDUCATION TRUST)</t>
  </si>
  <si>
    <t>SHRI FATTECHAND JAIN VIDYALAYA AND JUNIOR COLLEGE, CHINCHWADGAON</t>
  </si>
  <si>
    <t>DR. D.Y. PATIL COLLEGE OF ARCHITECTURE, AKURDI</t>
  </si>
  <si>
    <t>AutoCAD,MS Office,MS Project,Primavera,Sketchup,Revit,Photoshop,Lumion,Enscape</t>
  </si>
  <si>
    <t>Integrid Design | Junior Architect | Pune | Dec 2024 | Jul 2025 | 0Y 7M | 1.8</t>
  </si>
  <si>
    <t>Ahluwalia Contracts India Limited | Project Management Intern | Sion, Mumbai | May 2026 | Jul 2026 | 8.7142857142857 Weeks | Campus Internship
Architect Hafeez Contractor | Architect Intern | Mumbai | Jul 2023 | Nov 2023 | 20 Weeks</t>
  </si>
  <si>
    <t>P25700723</t>
  </si>
  <si>
    <t>M JAYENDRA</t>
  </si>
  <si>
    <t>SARATCHANDRA</t>
  </si>
  <si>
    <t>M Jayendra Saratchandra</t>
  </si>
  <si>
    <t>jayendraman530@gmail.com</t>
  </si>
  <si>
    <t>p25700723@student.nicmar.ac.in</t>
  </si>
  <si>
    <t>01-Nov-2003</t>
  </si>
  <si>
    <t>6881 6215 4937</t>
  </si>
  <si>
    <t>MANGALAMPALLI SRINIVAS</t>
  </si>
  <si>
    <t>CENTRAL GOVT. EMPLOYEE</t>
  </si>
  <si>
    <t>M V S SUBHA</t>
  </si>
  <si>
    <t>259/1, NORTH COLONY, I.C.F., PERAMBUR</t>
  </si>
  <si>
    <t>Plot No 25 (southern Part), Vidyanagar, Nadukuthagai, Tiruninravur</t>
  </si>
  <si>
    <t>KENDRIYA VIDYALAYA O.C.F. AVADI</t>
  </si>
  <si>
    <t>KENDRIYA VIDYALAYA ANNA NAGAR</t>
  </si>
  <si>
    <t>SASTRA UNIVERSITY, THANJAVUR</t>
  </si>
  <si>
    <t>AutoCAD,MS Office,MS Project,Primavera,BIM,AnSYS</t>
  </si>
  <si>
    <t>Agami Realty | Site Engineer | Mumbai | May 2026 | Jul 2026 | 7.8571428571429 Weeks | Campus Internship
LARSEN &amp; TOUBRO LIMITED | INTERN TRAINEE | INNOVATION CAMPUS SITE, MANAPAKKAM, CHENNAI 600089 | Jun 2023 | Jun 2023 | 1.8571428571429 Weeks</t>
  </si>
  <si>
    <t>P25700724</t>
  </si>
  <si>
    <t>BHALCHANDRA</t>
  </si>
  <si>
    <t>BAGWE</t>
  </si>
  <si>
    <t>Harsh Bhalchandra Bagwe</t>
  </si>
  <si>
    <t>hbagwe03@gmail.com</t>
  </si>
  <si>
    <t>p25700724@student.nicmar.ac.in</t>
  </si>
  <si>
    <t>MARATHI, HINDI &amp; ENGLISH</t>
  </si>
  <si>
    <t>3590 6433 6935</t>
  </si>
  <si>
    <t>BHALCHANDRA BAGWE</t>
  </si>
  <si>
    <t>BHAKTI BAGWE</t>
  </si>
  <si>
    <t>-</t>
  </si>
  <si>
    <t>27/20, B.D.D. CHAWL, GANPAT JADHAV MARG, NEAR DOORDARSHAN, WORLI, MUMBAI</t>
  </si>
  <si>
    <t>A/201, SIDDHIVINAYAK TOWER, OPPOSITE EXPERT SCHOOL, Y.K. NAGAR.N.X, VIRAR WEST</t>
  </si>
  <si>
    <t>MAHARASHTRA STATE BOARD OF SECONDARY AND HIGHER SECONDARY EDUCATION, VIRAR</t>
  </si>
  <si>
    <t>VIDYAVARDHINI'S BHAUSAHEB VARTAK POLYTECHNIC, VASAI</t>
  </si>
  <si>
    <t>L.R. TIWARI COLLEGE OF ENGINEERING</t>
  </si>
  <si>
    <t>Basil Decor | Project Management Intern | Pune | May 2026 | Jul 2026 | 9.5714285714286 Weeks | Campus Internship
BHARAT PETROLEUM CORPORATION LTD. | APPRENTICE JUNIOR ENGINEER | BANDRA KURLA COMPLEX | Sep 2024 | Jul 2025 | 46.285714285714 Weeks
VIJAY GURAV AND ASSOCIATES | JUNIOR ENGINEER | VIRAR | Jun 2023 | Jul 2023 | 4.1428571428571 Weeks
SAC PARADISE | JUNIOR ENGINEER | DOMBIVLI | Jun 2022 | Jul 2022 | 3.5714285714286 Weeks</t>
  </si>
  <si>
    <t>PROFICIENT IN AUTOCAD</t>
  </si>
  <si>
    <t>P25700725</t>
  </si>
  <si>
    <t>NIKITA</t>
  </si>
  <si>
    <t>KHANDU</t>
  </si>
  <si>
    <t>CHAVAN</t>
  </si>
  <si>
    <t>Nikita Khandu Chavan</t>
  </si>
  <si>
    <t>chavan.nikita0987@gmail.com</t>
  </si>
  <si>
    <t>p25700725@student.nicmar.ac.in</t>
  </si>
  <si>
    <t>25-Apr-1999</t>
  </si>
  <si>
    <t>5714 3372 5533</t>
  </si>
  <si>
    <t>KHANDU LAXMAN CHAVAN</t>
  </si>
  <si>
    <t>CHHAYA KHANDU CHAVAN</t>
  </si>
  <si>
    <t>GANGOTRI APARTMENT, OMKAR COLONY, NEAR GANESH MANDIR, DANGE CHOWK, PUNE.</t>
  </si>
  <si>
    <t>Chavan House, Vadaj-Parundhe Road, Vadaj, Tel. Junnar. Pune</t>
  </si>
  <si>
    <t>INDIAN EDUCATION SOCIETY SECONDARY SCHOOL, BHANDUP</t>
  </si>
  <si>
    <t>DR. D.Y. PATIL PRATISHTHAN'S Y.B. PATIL POLYTECHNIC, AKURDI</t>
  </si>
  <si>
    <t>JSPM'S IMPERIAL COLLEGE OF ENGINEERING AND RESEARCH, WAGHOLI</t>
  </si>
  <si>
    <t>AutoCAD,MS Office,MS Project,Primavera,Screaming Frog,Costx,BIM Fundamentals,Canva</t>
  </si>
  <si>
    <t>Clariwell Global Services | Digital Marketing Executive | Pune | Apr 2023 | Nov 2023 | 0Y 7M | 1.92
Futurism Technologies Pvt. Ltd. | Associate Digital Marketing Executive | Futurism Campus, 1/1, Hinjawadi Phase 1 Rd, Phase 1, Hinjawadi Rajiv Gandhi Infotech Park, MIDC, Pune, Pimpri-Chinchwad, Maharashtra 411057 | Nov 2023 | Jul 2025 | 1Y 8M | 2.79</t>
  </si>
  <si>
    <t>Sprng Energy Private Limited (Shell Group) | Project Management Intern  | Magarpatta City, Pune  | May 2026 | Jul 2026 | 8.5714285714286 Weeks | Campus Internship</t>
  </si>
  <si>
    <t>P25700727</t>
  </si>
  <si>
    <t>Prajwal Mahesh Nikam</t>
  </si>
  <si>
    <t>prajwalnikam9404@gmai.com</t>
  </si>
  <si>
    <t>p25700727@student.nicmar.ac.in</t>
  </si>
  <si>
    <t>5582 2006 6722</t>
  </si>
  <si>
    <t>MAHESH NIKAM</t>
  </si>
  <si>
    <t>MANSI NIKAM</t>
  </si>
  <si>
    <t>Near Z.p. School, Mayani Road, Nagewadi.</t>
  </si>
  <si>
    <t>BHARATI VIDYAPEETH'S ENGLISH MEDIUM HIGH SCHOOL, VITA.</t>
  </si>
  <si>
    <t>PIMPRI CHINCHWAD POLYTECHNIC, NIGDI.</t>
  </si>
  <si>
    <t>DR. D.Y.PATIL INSTITUTE OF ENGINEERING,MANAGEMENT AND RESEARCH, AKURDI.</t>
  </si>
  <si>
    <t>NYATI GROUP | Project Management Intern | Pune | May 2026 | Jul 2026 | 8.7142857142857 Weeks | Campus Internship
R.K. DEVELOPERS | INTERN SITE ENGINEER  | PIMPRI CHINCHWAD | Jan 2024 | Feb 2024 | 4.4285714285714 Weeks</t>
  </si>
  <si>
    <t>P25700729</t>
  </si>
  <si>
    <t>PASHMINA</t>
  </si>
  <si>
    <t>BANSI</t>
  </si>
  <si>
    <t>POPALI</t>
  </si>
  <si>
    <t>Pashmina Bansi Popali</t>
  </si>
  <si>
    <t>pashminapopali2712@gmail.com</t>
  </si>
  <si>
    <t>p25700729@student.nicmar.ac.in</t>
  </si>
  <si>
    <t>8692 0473 6789</t>
  </si>
  <si>
    <t>BANSI POPALI</t>
  </si>
  <si>
    <t>POOJA POPALI</t>
  </si>
  <si>
    <t>STANZA LIVING, WACO HOUSE, BALEWADI, PUNE</t>
  </si>
  <si>
    <t>Tagore Square, Beside Shyaam Bhavan, Wani</t>
  </si>
  <si>
    <t>D.A.V PUBLIC SCHOOL, NEELJAY, WANI</t>
  </si>
  <si>
    <t>CBSE - MAHARASHTRA</t>
  </si>
  <si>
    <t>SWARNLEELA INTERNATIONAL SCHOOL, WANI</t>
  </si>
  <si>
    <t>RTMNU, NAGPUR</t>
  </si>
  <si>
    <t>PRIYADARSHINI INSTITUTE OF ARCHITECTURE &amp; DESIGN STUDIES, NAGPUR</t>
  </si>
  <si>
    <t>AutoCAD,MS Office,MS Project,Primavera,SketchUp,Lumion,Enscape,Photoshop,Illustration,CostX,Revit</t>
  </si>
  <si>
    <t>Anarock Property Consultants  | Sourcing and Closing | Mumbai | May 2026 | Jul 2026 | 9.5714285714286 Weeks | Campus Internship
Saptak Patel Architects. Ahmedabad | Architectural Intern | Ahmedabad | Dec 2023 | Apr 2024 | 15.714285714286 Weeks</t>
  </si>
  <si>
    <t>P25700730</t>
  </si>
  <si>
    <t>DIPEN</t>
  </si>
  <si>
    <t>HEMENDRA</t>
  </si>
  <si>
    <t>BALDANIA</t>
  </si>
  <si>
    <t>Dipen Hemendra Baldania</t>
  </si>
  <si>
    <t>baldaniadipen@gmail.com</t>
  </si>
  <si>
    <t>p25700730@student.nicmar.ac.in</t>
  </si>
  <si>
    <t>8440 2129 8163</t>
  </si>
  <si>
    <t>HEMENDRA BALDANIYA</t>
  </si>
  <si>
    <t>BHAVNA BALDANIYA</t>
  </si>
  <si>
    <t>Plot - 265, Ward - 2/B, Adipur, Gandhidham</t>
  </si>
  <si>
    <t>Kutch</t>
  </si>
  <si>
    <t>AMARCHAND SINGHVI INTERNATIONAL SCHOOL</t>
  </si>
  <si>
    <t>CENTRAL BOARD OF SECONDARY EDUCATION GUJARAT</t>
  </si>
  <si>
    <t>ST. ANN'S SCHOOL</t>
  </si>
  <si>
    <t>PARUL UNIVERSITY</t>
  </si>
  <si>
    <t>PARUL INSTITUTE OF ENGINEERING &amp; TECHNOLOGY</t>
  </si>
  <si>
    <t>PSP PROJECTS LTD | Civil Intern | Mumbai | May 2026 | Jul 2026 | 8.7142857142857 Weeks | Campus Internship</t>
  </si>
  <si>
    <t>Integrated Design for Buildings with MIDAS/Gen: Beginner Level
AutoCAD 2D and 3D</t>
  </si>
  <si>
    <t>P25700731</t>
  </si>
  <si>
    <t>NANDAN</t>
  </si>
  <si>
    <t>H N</t>
  </si>
  <si>
    <t>Nandan H N</t>
  </si>
  <si>
    <t>nandhanraju07@gmail.com</t>
  </si>
  <si>
    <t>p25700731@student.nicmar.ac.in</t>
  </si>
  <si>
    <t>17-Apr-2000</t>
  </si>
  <si>
    <t>KANNADA,ENGLISH,HINDI</t>
  </si>
  <si>
    <t>9833 2861 4624</t>
  </si>
  <si>
    <t>NARASIMHAIAH H M</t>
  </si>
  <si>
    <t>RETIRED HEAD MASTER</t>
  </si>
  <si>
    <t>INDIRAMMA H S</t>
  </si>
  <si>
    <t>Keshava Nagar Sira Tumakuru Karnataka 572137</t>
  </si>
  <si>
    <t>Tumkur</t>
  </si>
  <si>
    <t>THE PRESIDENCY PUBLIC SCHOOL</t>
  </si>
  <si>
    <t>INDIAN CERTIFICATE OF SECONDARY EDUCATION SIRA KARNATAKA</t>
  </si>
  <si>
    <t>PRESIDENCY PU COLLEGE</t>
  </si>
  <si>
    <t>REVA UNIVERSITY BENGALURU KARNATAKA</t>
  </si>
  <si>
    <t>AutoCAD,MS Office,MS Project,Primavera,SAP,ERP TOOL</t>
  </si>
  <si>
    <t>Jagannatha C.V | Site Engineer | Sira | Oct 2021 | Oct 2023 | 1Y 11M | 3
Manjushree Technopack Limited | Purchase Engineer | Bengaluru | Oct 2023 | Aug 2025 | 1Y 10M | 4.85</t>
  </si>
  <si>
    <t>Jyoti Structures Limited (JSL) | Project Coordination | Bhuj,Gujurat | May 2026 | Jul 2026 | 8.7142857142857 Weeks | Campus Internship
HINDUSTAN AERONAUTICS LIMITED | INTERN | BENGALURU | Jun 2019 | Jul 2019 | 2 Weeks</t>
  </si>
  <si>
    <t>Coursera-Financial Markets
Coursera-Java Programming
Reva University</t>
  </si>
  <si>
    <t>P25700732</t>
  </si>
  <si>
    <t>TALEKAR</t>
  </si>
  <si>
    <t>Talekar Sahil Chandrashekhar</t>
  </si>
  <si>
    <t>sahiltalekar2001@gmail.com</t>
  </si>
  <si>
    <t>p25700732@student.nicmar.ac.in</t>
  </si>
  <si>
    <t>English Hindi Marathi</t>
  </si>
  <si>
    <t>8417 9064 8935</t>
  </si>
  <si>
    <t>SHRUTIKA</t>
  </si>
  <si>
    <t>Om Shree Sai A-Wing Room No-07 Building No-3,Near Hdfc Bank Kalwa (w)</t>
  </si>
  <si>
    <t>SARASWATI VIDYALAYA HIGH SCHOOL AND JUNIOR COLLEGE OF SCIENCE</t>
  </si>
  <si>
    <t>MAHARASHTRA STATE BOARD OF SECONDARY AND HIGHER SECONDARY EDUCATION ,MAHARASHTRA</t>
  </si>
  <si>
    <t>MUCHHALA POLYTECHNIC , MAHARASHTRA</t>
  </si>
  <si>
    <t>A.P.SHAH INSTITUTE OF TECHNOLOGY , MAHARASHTRA</t>
  </si>
  <si>
    <t>Sunrise Housing Construction LTD | Junior Civil Engineer | Santacruz , Mumbai  | Feb 2024 | Jul 2025 | 1Y 5M | 3.25</t>
  </si>
  <si>
    <t>Tatkare's All In One Solutions | Junior Engineer | Kalwa,Thane | Sep 2022 | Oct 2022 | 4.2857142857143 Weeks
Dosti Group | Junior Engineer | Balkum , Thane | May 2019 | Jun 2019 | 5.8571428571429 Weeks</t>
  </si>
  <si>
    <t>P25700733</t>
  </si>
  <si>
    <t>KUSHAL</t>
  </si>
  <si>
    <t>WANKHEDE</t>
  </si>
  <si>
    <t>Kushal Ravindra Wankhede</t>
  </si>
  <si>
    <t>kp5635874@gmail.com</t>
  </si>
  <si>
    <t>p25700733@student.nicmar.ac.in</t>
  </si>
  <si>
    <t>5957 2753 0371</t>
  </si>
  <si>
    <t>RAVINDRA WANKHEDE</t>
  </si>
  <si>
    <t>BA</t>
  </si>
  <si>
    <t>GAYATRI WANKHEDE</t>
  </si>
  <si>
    <t>Plot No. 10 Dharmaraj Nagar Korit Road, Tal. Dist. Nandurbar Pin 425412</t>
  </si>
  <si>
    <t>EKLAVYA VIDYALAY, NANDURBAR</t>
  </si>
  <si>
    <t>J G NATAWADKAR COLLEGE, NANDURBAR</t>
  </si>
  <si>
    <t>SANDIP FOUNDATION, SANDIP INSTITUTE OF ENGINEERING AND MANAGEMENT, MAHIRAVANI, NASHIK</t>
  </si>
  <si>
    <t>Desai Construction Private Limited | Site Execution and Control | Vapi | May 2026 | Jul 2026 | 8.5714285714286 Weeks | Campus Internship
D V Patil Construction, Nandurbar | Road Construction | Nandurbar | Mar 2024 | Apr 2024 | 2.1428571428571 Weeks</t>
  </si>
  <si>
    <t>P25700734</t>
  </si>
  <si>
    <t>SONU</t>
  </si>
  <si>
    <t>Sonu Kumar</t>
  </si>
  <si>
    <t>sonu.kr_@outlook.com</t>
  </si>
  <si>
    <t>p25700734@student.nicmar.ac.in</t>
  </si>
  <si>
    <t>06-May-1998</t>
  </si>
  <si>
    <t>English,Hindi,Angika,French</t>
  </si>
  <si>
    <t>Exploring Nature,Watching movies and TV series,Intersted in geopolitical affairs,Infrastructure &amp; Urban development</t>
  </si>
  <si>
    <t>5318 5162 9754</t>
  </si>
  <si>
    <t>KISHOR KUMAR</t>
  </si>
  <si>
    <t>FARMERS CUM PVT TEACHER</t>
  </si>
  <si>
    <t>BOBY DEVI</t>
  </si>
  <si>
    <t>HOME MAKER CUM PVT TEACHER</t>
  </si>
  <si>
    <t>Ward 8 Naokothi Begusarai Bihar</t>
  </si>
  <si>
    <t>A P S HIGH SCHOOL NAOKOTHI</t>
  </si>
  <si>
    <t>BIHAR SCHOOL EXAMINATION BOARD</t>
  </si>
  <si>
    <t>S.S.M.R.J.D.I COLLEGE BISNUPURBEGUSARAI</t>
  </si>
  <si>
    <t>VIT UNIVERSITY VELLORE</t>
  </si>
  <si>
    <t>VELLORE INSTITUTE OF TECHNOLOGY,  VELLORE</t>
  </si>
  <si>
    <t>AutoCAD, Primavera P6, MS Project, CostX, Road Estimator, ERP, MS Office | Basic: Autodesk Revit (BIM), Navisworks, Civil 3D.</t>
  </si>
  <si>
    <t>Rajshyama Constructions Pvt Ltd | Engineer Billing Planning | Bikaner | Nov 2020 | Jan 2022 | 1Y 2M | 2.16
Arcons Infrastructures and Constructions Private Limited | Engineer Billing and Planning | Nagpur | Feb 2022 | Jul 2025 | 3Y 5M | 6</t>
  </si>
  <si>
    <t>4 Years 7 Months</t>
  </si>
  <si>
    <t>NBCC (India) Limited | Project Intern | Greater Noida,West,Uttar Pradesh | May 2026 | Jul 2026 | 9.7142857142857 Weeks | Campus Internship
IOCL | Vocational Trainee  | BARAUNI  | Jun 2018 | Jul 2018 | 4.1428571428571 Weeks</t>
  </si>
  <si>
    <t>Finance for Everyone: Markets
Six Sigma Green Belt-By Kennesaw State University, Coursera
Introduction to Generative AI Learning Path by Google Cloud Training,Coursera
Planning &amp; Control with Oracle Primavera PPM Professional by Packt , Coursera
Construction Management: Safety and Health By LinkedIn Learning
Project Admin (Scholar) by digiQC
Ethics in Engineering Practice by NPTEL
Construction Techniques and Practices by L&amp;T EduTech, Coursera
Career Success Specialization Online course by UC Irvine, Coursera</t>
  </si>
  <si>
    <t>P25700735</t>
  </si>
  <si>
    <t>KHILWANI</t>
  </si>
  <si>
    <t>Nandini Khilwani</t>
  </si>
  <si>
    <t>khilwani.nandini@gmail.com</t>
  </si>
  <si>
    <t>p25700735@student.nicmar.ac.in</t>
  </si>
  <si>
    <t>ENGLISH, HINDI, MARATHI, SINDHI</t>
  </si>
  <si>
    <t>5394 9961 0042</t>
  </si>
  <si>
    <t>SANJAY KHILWANI</t>
  </si>
  <si>
    <t>TAX CONSULTANT</t>
  </si>
  <si>
    <t>ARCHANA KHILWANI</t>
  </si>
  <si>
    <t>443 TREASURE TOWN_x000D_
BIJALPUR</t>
  </si>
  <si>
    <t>THE NEW DIGAMBER PUBLIC SCHOOL</t>
  </si>
  <si>
    <t>ANNIE BESANT SCHOOL</t>
  </si>
  <si>
    <t>SCHOOL OF ARCHITECTURE, IPS ACADEMY, INDORE</t>
  </si>
  <si>
    <t>AutoCAD,MS Office,MS Project,Photoshop,Sketchup,Vray,Enscape,Revit,Rhino &amp; Grasshopper,Lumion</t>
  </si>
  <si>
    <t>ARCHITECT RUSHIKESH H. | Junior Architect | Mumbai | Jul 2024 | Jul 2025 | 1Y 0M | 3.39
The Synetics Design Studio | Part-time Junior Architect | Indore, Madhya Pradesh | Apr 2022 | Mar 2023 | 0Y 11M | 1.44</t>
  </si>
  <si>
    <t>Ashoka Builders India Private Limited | Intern | Hyderabad | May 2026 | Jul 2026 | 8.7142857142857 Weeks | Campus Internship
Bhaskar Wagle &amp; Associates | Full-time Intern | Panjim, Goa | Jun 2023 | Nov 2023 | 24.857142857143 Weeks</t>
  </si>
  <si>
    <t>P25700736</t>
  </si>
  <si>
    <t>ANANDKUMAR</t>
  </si>
  <si>
    <t>Omkar Anandkumar Koli</t>
  </si>
  <si>
    <t>omkarkoli7298@gmail.com</t>
  </si>
  <si>
    <t>p25700736@student.nicmar.ac.in</t>
  </si>
  <si>
    <t>07-Feb-1998</t>
  </si>
  <si>
    <t>3526 8232 7070</t>
  </si>
  <si>
    <t>ANANDKUMAR SATYAPPA KOLI</t>
  </si>
  <si>
    <t>RETIRED GOVERNMENT OFFICER(EXECUTIVE ENGINEER)</t>
  </si>
  <si>
    <t>BHAGYASHREE ANANDKUMAR KOLI</t>
  </si>
  <si>
    <t>B-302,radhakrishna Complex,sector-12,plot-29,kharghar, Navi Mumbai</t>
  </si>
  <si>
    <t>BAL BHARATI PUBLIC SCHOOL</t>
  </si>
  <si>
    <t>CBSE , NAVI MUMBAI</t>
  </si>
  <si>
    <t>GREENFINGERS GLOBAL SCHOOL</t>
  </si>
  <si>
    <t>CBSE ,NAVI MUMBAI</t>
  </si>
  <si>
    <t>PILLAI HOC COLLEGE OF ENGINEERING &amp; TECHNOLOGY , MAHARASHTRA</t>
  </si>
  <si>
    <t>Planext &amp; planhigh | Strategic business development and analytics  | Thane | May 2026 | Jul 2026 | 8.5714285714286 Weeks | Campus Internship
PUBLIC WORKS DEPARTMENT(GOVERNMENT OF MAHARASHTRA) | Trainee | mumbai | Jun 2019 | Jul 2019 | 4.1428571428571 Weeks</t>
  </si>
  <si>
    <t>P25700737</t>
  </si>
  <si>
    <t>SAMPAT</t>
  </si>
  <si>
    <t>SHEDGE</t>
  </si>
  <si>
    <t>Aishwarya Sampat Shedge</t>
  </si>
  <si>
    <t>aishwaryashedge18@gmail.com</t>
  </si>
  <si>
    <t>p25700737@student.nicmar.ac.in</t>
  </si>
  <si>
    <t>18-Apr-1999</t>
  </si>
  <si>
    <t>English HIndi Marathi</t>
  </si>
  <si>
    <t>5041 9178 1106</t>
  </si>
  <si>
    <t>Chandrangan Society Phase 5 Flat No. 24 Ambegaon Pathar</t>
  </si>
  <si>
    <t>PUNE CAMBRIDGE PUBLIC SCHOOL &amp; JUNIOR COLLEGE</t>
  </si>
  <si>
    <t>BHIVRABAI SAWANT COLLEGE OF ENGINEERING &amp; RESEARCH, NARHE PUNE</t>
  </si>
  <si>
    <t>ACME STRUCTURAL CONSULTANTS | Trainee Design Engineer  | PUNE | Aug 2024 | Jul 2025 | 0Y 11M | 1.8</t>
  </si>
  <si>
    <t>ACME STRUCTURAL CONSULTANTS | DESIGN ENGINEER TRAINEE | PUNE | Jan 2023 | Apr 2023 | 13.714285714286 Weeks</t>
  </si>
  <si>
    <t>P25700739</t>
  </si>
  <si>
    <t>SIDDHI</t>
  </si>
  <si>
    <t>HANWATE</t>
  </si>
  <si>
    <t>Siddhi Kishor Hanwate</t>
  </si>
  <si>
    <t>siddhihanwate2003@gmail.com</t>
  </si>
  <si>
    <t>p25700739@student.nicmar.ac.in</t>
  </si>
  <si>
    <t>15-Jul-2003</t>
  </si>
  <si>
    <t>4540 6333 2065</t>
  </si>
  <si>
    <t>Shewanta Park Lane No 2 Near Bharat Dhaba Dhanori Pune-411015</t>
  </si>
  <si>
    <t>AGRASEN HIGH SCHOOL</t>
  </si>
  <si>
    <t>NOWROSJEE WADIA COLLEGE PUNE 411 001</t>
  </si>
  <si>
    <t>MAHARASHTRA HIGHER SECONDARY CERTIFICATE EXAMINATION</t>
  </si>
  <si>
    <t>ALL INDIA SHRI SHIVAJI MEMORIAL SOCIETY'S  COLLEGE OF ENGINEERING , PUNE 411001</t>
  </si>
  <si>
    <t xml:space="preserve">AutoCAD,MS Office,MS Project,Microsoft Excel, Revit, Naviswork, Power BI </t>
  </si>
  <si>
    <t>BOXOFFICE SPACE  | EXECUTION INTERN  | Pune  | May 2026 | Jul 2026 | 8.7142857142857 Weeks | Campus Internship
Haardhik Impulse | Junior engineer Intern | Moshi Pune  | Dec 2023 | Jan 2024 | 4.4285714285714 Weeks</t>
  </si>
  <si>
    <t>Data Analysis
Project Admin (Scholar) DigiQc
NPTEL Ethics in Engineering Practice (Elite)
NPTEL Structural Analysis
Finance for Non-Financial Managers</t>
  </si>
  <si>
    <t>P25700740</t>
  </si>
  <si>
    <t>YUKTA</t>
  </si>
  <si>
    <t>Yukta Ramchandra Shinde</t>
  </si>
  <si>
    <t>yuktashinde1234@gmail.com</t>
  </si>
  <si>
    <t>p25700740@student.nicmar.ac.in</t>
  </si>
  <si>
    <t>03-Jan-2000</t>
  </si>
  <si>
    <t>7596 1178 2286</t>
  </si>
  <si>
    <t>RAMCHANDRA SOPAN SHINDE</t>
  </si>
  <si>
    <t>SHOBHANA RAMCHANDRA SHINDE</t>
  </si>
  <si>
    <t>MUKTAI ROWHOUSE NO 4 SR NO 61/1A VEDANT KUNJIR COLONY PIMPLE SAUDAGAR PUNE 411027</t>
  </si>
  <si>
    <t>DR KALMADI SHAMARAO HIGH SCHOOL</t>
  </si>
  <si>
    <t>NOWROSJEE WADIA COLLEGE</t>
  </si>
  <si>
    <t>SAVITRI BAI PHULE UNIVERSITY</t>
  </si>
  <si>
    <t>PIMPRI CHINCHWAD COLLEGE OF ENGINEERING AND REASEARCH</t>
  </si>
  <si>
    <t>AutoCAD,MS Office,REVIT,STADDPRO</t>
  </si>
  <si>
    <t>P25700741</t>
  </si>
  <si>
    <t>Ashish Ganesh Swami</t>
  </si>
  <si>
    <t>ashishswami321@gmail.com</t>
  </si>
  <si>
    <t>p25700741@student.nicmar.ac.in</t>
  </si>
  <si>
    <t>14-Sep-2000</t>
  </si>
  <si>
    <t>9496 5450 6006</t>
  </si>
  <si>
    <t>GANESH BABANRAO SWAMI</t>
  </si>
  <si>
    <t>HIGHSCHOOL TEACHER</t>
  </si>
  <si>
    <t>URMILA GANESH SWAMI</t>
  </si>
  <si>
    <t>A105, DHARTI GREEN SOCIETY, BHUMKAR CHOWK, TATHAWADE, PUNE</t>
  </si>
  <si>
    <t>Bankatswami Nagar, Canal Road, Near ABC Kids School, Beed.</t>
  </si>
  <si>
    <t>SHRI SHIVAJI VIDYALAYA, BEED.</t>
  </si>
  <si>
    <t>BEED/MAHARASHTRA</t>
  </si>
  <si>
    <t>SHRI BANKATSWAMI MAHAVIDYALAYA, BEED.</t>
  </si>
  <si>
    <t>BEED/MAHARASTRA</t>
  </si>
  <si>
    <t>JSPM'S RAJARSHI SHAHU COLLEGE OF ENGINEERING, PUNE-033.</t>
  </si>
  <si>
    <t>AutoCAD,MS Office,MS Project,Primavera,Stadd pro,CostX,Revit</t>
  </si>
  <si>
    <t>Sankalp Contracts Private Limited | Junior Engineer | Y1Et Hinjewadi Phase 2 | May 2024 | Jul 2025 | 1Y 2M | 4.1</t>
  </si>
  <si>
    <t>Vilas Javdekar Developers | Intern | Y1Et-Hinjewadi phase 2 | Nov 2023 | Apr 2024 | 23.142857142857 Weeks</t>
  </si>
  <si>
    <t>NPTEL-Ethics in Engineering Practice
Coursera-Finance for Non-Financial Managers, Emory University.</t>
  </si>
  <si>
    <t>P25700742</t>
  </si>
  <si>
    <t>HRISHIKESH</t>
  </si>
  <si>
    <t>RAVIRAO</t>
  </si>
  <si>
    <t>GHOGARE</t>
  </si>
  <si>
    <t>Hrishikesh Ravirao Ghogare</t>
  </si>
  <si>
    <t>hrishighogare44@gmail.com</t>
  </si>
  <si>
    <t>p25700742@student.nicmar.ac.in</t>
  </si>
  <si>
    <t>03-Jan-2001</t>
  </si>
  <si>
    <t>3807 2156 4932</t>
  </si>
  <si>
    <t>RAVIRAO BHASKARAO GHOGARE</t>
  </si>
  <si>
    <t>Dr. Ghogare Hospital Opposite SBI Bank Rahata, Nagar Manmad Highway, Rahata</t>
  </si>
  <si>
    <t>PRAVARA PUBLIC SCHOOL</t>
  </si>
  <si>
    <t>UPADHYE COLLEGE OF SCIENCE</t>
  </si>
  <si>
    <t>SAVITRIBAI PHULE PUNE UNIVERSITY, PUNE, MAHARASHTRA</t>
  </si>
  <si>
    <t>PRAVARA RURAL EDUCATION SOCIETY'S COLLEGE OF ARCHITECTURE</t>
  </si>
  <si>
    <t>AutoCAD,MS Office,MS Project,Revit,3D Max,SketchUp,Photoshop</t>
  </si>
  <si>
    <t>interarch Associates | Jr. Architect | Nashik | Aug 2022 | Nov 2022 | 13.428571428571 Weeks</t>
  </si>
  <si>
    <t>P25700743</t>
  </si>
  <si>
    <t>Ashwini Rajesh Shinde</t>
  </si>
  <si>
    <t>ashwinishindeas7@gmail.com</t>
  </si>
  <si>
    <t>p25700743@student.nicmar.ac.in</t>
  </si>
  <si>
    <t>07-Jul-1999</t>
  </si>
  <si>
    <t>ENGLISH,HINDI, MARATHI</t>
  </si>
  <si>
    <t>9243 3997 6683</t>
  </si>
  <si>
    <t>SANGEETA</t>
  </si>
  <si>
    <t>Hotel Matoshree Executive, Kaswaji Road, Poonam Chowk Near Union Bank</t>
  </si>
  <si>
    <t>VIDYA NIKETAN HIGH SCHOOL ,PANCHGANI</t>
  </si>
  <si>
    <t>D.Y.PATIL SCHOOL OF ARCHITECTURE, AMBI,PUNE</t>
  </si>
  <si>
    <t>AutoCAD,MS Office,MS Project,Enscape,photoshop,ms tools,Sketchup</t>
  </si>
  <si>
    <t>Kalpataru limited | Planning  | Santacruz E, Mumbai | May 2026 | Jul 2026 | 9.5714285714286 Weeks | Campus Internship
LIVSPACE | INTERIOR DESIGNER  | PUNE | Jan 2024 | Sep 2024 | 32.857142857143 Weeks
PROJECT ARCHITECTS | ARCHITECT | PASHAN, PUNE | Jul 2022 | Dec 2022 | 19.142857142857 Weeks</t>
  </si>
  <si>
    <t>P25700744</t>
  </si>
  <si>
    <t>AMAAN</t>
  </si>
  <si>
    <t>RIYAJAHMED</t>
  </si>
  <si>
    <t>Amaan Riyajahmed Attar</t>
  </si>
  <si>
    <t>amaanattar0157@gmail.com</t>
  </si>
  <si>
    <t>p25700744@student.nicmar.ac.in</t>
  </si>
  <si>
    <t>12-Sep-2002</t>
  </si>
  <si>
    <t>2660 2745 5514</t>
  </si>
  <si>
    <t>PARVIN</t>
  </si>
  <si>
    <t>B506 , ATRIUM SKYWARD UNDRI</t>
  </si>
  <si>
    <t>202, S B PEACE CORNER, ASARA CHOWK , Solapur</t>
  </si>
  <si>
    <t>CHHATRAPATI SHIVAJI MAHARAJ COLLEGE OF ARTS AND SCIENCE</t>
  </si>
  <si>
    <t>DR BABASAHEB AMBEDKAR TECHNOLOGICAL UNIVERSITY</t>
  </si>
  <si>
    <t>A G PATIL INSTITUTE OF TECHNOLOGY</t>
  </si>
  <si>
    <t>AutoCAD,MS Office,MS Project,Estimation,Design drafting,BOQ,Quantity Estimation,Excel</t>
  </si>
  <si>
    <t>Nyati Group  | Project Management Intern | Pune | May 2026 | Jul 2026 | 7.8571428571429 Weeks | Campus Internship
MAULI ENTERPRISES | SITE ENGINEER | SOLAPUR  | Feb 2024 | May 2024 | 15.714285714286 Weeks
AIESEC | Business Development associate | Pune | Aug 2022 | Jan 2023 | 26.142857142857 Weeks
Yash Consultancy | Site engineer  | Solapur  | Jan 2023 | Jan 2024 | 52.142857142857 Weeks</t>
  </si>
  <si>
    <t>P25700745</t>
  </si>
  <si>
    <t>RAMHARI</t>
  </si>
  <si>
    <t>NISHAD</t>
  </si>
  <si>
    <t>Rahul Ramhari Nishad</t>
  </si>
  <si>
    <t>rahul942374@gmail.com</t>
  </si>
  <si>
    <t>p25700745@student.nicmar.ac.in</t>
  </si>
  <si>
    <t>ENGLISH, MARATHI, HINDI &amp; JAPANESE</t>
  </si>
  <si>
    <t>6398 8151 7233</t>
  </si>
  <si>
    <t>RAMHARI NISHAD</t>
  </si>
  <si>
    <t>743/2b 4th Lane Shahupuri Kolhapur</t>
  </si>
  <si>
    <t>SEVENTH DAY ADVENTIST HIGHER SECONDARY ISCE / ISC SCHOOL</t>
  </si>
  <si>
    <t>KOLHAPUR / MAHARASHTRA</t>
  </si>
  <si>
    <t>HANUMANT RAO CHATE JR COLLEGE</t>
  </si>
  <si>
    <t>D Y PATIL COLLEGE OF ENGINEERING AND TECHNOLOGY</t>
  </si>
  <si>
    <t>AutoCAD,MS Office,MS Project,Primavera,Sketch Up,Revit,Adobe Photoshop,Adobe Premiere Pro,Adobe After Effects</t>
  </si>
  <si>
    <t>Neelkanth Builders | Site Engineer | Kolhapur, Maharashtra | Aug 2023 | Jul 2025 | 1Y 11M | 1.52</t>
  </si>
  <si>
    <t>P25700746</t>
  </si>
  <si>
    <t>FATIMA</t>
  </si>
  <si>
    <t>BACHA</t>
  </si>
  <si>
    <t>Fatima Bacha</t>
  </si>
  <si>
    <t>fbacha174@gmail.com</t>
  </si>
  <si>
    <t>p25700746@student.nicmar.ac.in</t>
  </si>
  <si>
    <t>English, Hindi , Urdu , Kashmiri</t>
  </si>
  <si>
    <t>7240 1309 8490</t>
  </si>
  <si>
    <t>GUL MUHAMMAD BACHA</t>
  </si>
  <si>
    <t>REHANA AKHTAR</t>
  </si>
  <si>
    <t>STANZA LIVING WACO,NEAR MOZE COLLEGE,PUNE, MAHARASHTRA.</t>
  </si>
  <si>
    <t>Upper Aspeer Sopore</t>
  </si>
  <si>
    <t>Srinagar</t>
  </si>
  <si>
    <t>ST.JOSEPH'S HIGHER SECONDARY SCHOOL</t>
  </si>
  <si>
    <t>JAMMU AND KASHMIR</t>
  </si>
  <si>
    <t>2015-Nov</t>
  </si>
  <si>
    <t>2016-Nov</t>
  </si>
  <si>
    <t>2018-Nov</t>
  </si>
  <si>
    <t>VISVESVARAYA TECHNOLOGICAL UNIVERSITY (VTU)</t>
  </si>
  <si>
    <t>SIR M. VISVESVARAYA INSTITUTE OF TECHNOLOGY ,BENGALURU</t>
  </si>
  <si>
    <t>AutoCAD,MS Office,MS Project,Cubicost Tas,Cubicost TRB,Microsoft 365,QGIS</t>
  </si>
  <si>
    <t>DataCorp Traffic Private Limited | Junior Traffic Engineer | Bengaluru | Jun 2024 | Jun 2025 | 0Y 11M | 3.6</t>
  </si>
  <si>
    <t>KPMG India | Summer Intern- Transformaton-MPA | Mumbai | May 2026 | Jun 2026 | 7.5714285714286 Weeks | Campus Internship
R&amp;B Public Works Department | Student Intern | Sopore, Jammu&amp; Kashmir ,India | Aug 2023 | Sep 2023 | 4.4285714285714 Weeks</t>
  </si>
  <si>
    <t>Finance For Non- Financial Managers- EMORY University
Excel Skills Job Simulation-JPMorgan Chase &amp; Co.</t>
  </si>
  <si>
    <t>P25700747</t>
  </si>
  <si>
    <t>VISHAL</t>
  </si>
  <si>
    <t>Vishal Vinod Mishra</t>
  </si>
  <si>
    <t>vishalmishraji02@gmail.com</t>
  </si>
  <si>
    <t>p25700747@student.nicmar.ac.in</t>
  </si>
  <si>
    <t>5146 2667 3369</t>
  </si>
  <si>
    <t>VINOD MISHRA</t>
  </si>
  <si>
    <t>MEERA MISHRA</t>
  </si>
  <si>
    <t>103 -A Wing Dharma Galaxy Gurawalipada Titwala East</t>
  </si>
  <si>
    <t>I.E.S NEW ENGLISH SCHOOL</t>
  </si>
  <si>
    <t>PATUCK COLLEGE OF SCIENCE</t>
  </si>
  <si>
    <t>VIVA COLLEGE</t>
  </si>
  <si>
    <t>A. P. SHAH INSTITUTE OF TECHNOLOGY THANE</t>
  </si>
  <si>
    <t>JAY ENTERPRISES construction and engineering | Junior Site Engineer  | Thane/Dombivali | May 2023 | Jul 2024 | 1Y 2M | 1.8
Puneet Urban Scpaces | Junior Engineer | Kurla  | Aug 2024 | Jul 2025 | 0Y 11M | 4.2</t>
  </si>
  <si>
    <t>GAUR ROAD TAR COAT PVT. LTD. | Junior engineer | Jabalpur | May 2021 | Aug 2021 | 14.571428571429 Weeks
SANJAY CONSTRUCTION | JUNIOR ENGINEER  | VIRAR | May 2019 | Aug 2019 | 15.285714285714 Weeks</t>
  </si>
  <si>
    <t>P25700748</t>
  </si>
  <si>
    <t>BATHARAJU</t>
  </si>
  <si>
    <t>Batharaju Rakesh</t>
  </si>
  <si>
    <t>rakeshbatharaju@gmail.com</t>
  </si>
  <si>
    <t>p25700748@student.nicmar.ac.in</t>
  </si>
  <si>
    <t>25-Oct-2000</t>
  </si>
  <si>
    <t>ENGLISH,HINDHI,TELUGU</t>
  </si>
  <si>
    <t>5917 0123 8559</t>
  </si>
  <si>
    <t>BATHARAJU SAILU</t>
  </si>
  <si>
    <t>BATHARAJU VIJAYALAXMI</t>
  </si>
  <si>
    <t>Flat.no.201,ashtalakshmi Residency ,margadharshini Colony Rdno.6, Kothapet</t>
  </si>
  <si>
    <t>DILSHUKNAGAR PUBLIC  SCHOOL</t>
  </si>
  <si>
    <t>BOARD OF SECONDARY EDUCATION : TELANGANA</t>
  </si>
  <si>
    <t>CHURCH OF SOUTH INDIAN INSTITUTE OF TECHNOLOGY</t>
  </si>
  <si>
    <t>AutoCAD,MS Office,MS Project,Primavera,Photoshop,enscape,sketchup,revit,adobe premiere pro,canva,lumion,power point</t>
  </si>
  <si>
    <t>VMV CONSULTANTS | Jr .Architect | hyderabad | Aug 2023 | Sep 2024 | 1Y 1M | 3</t>
  </si>
  <si>
    <t>aparna consultants | Jr.Architect | Hyderabad | Aug 2022 | Jan 2023 | 19.142857142857 Weeks</t>
  </si>
  <si>
    <t>sketchup and lumion software.</t>
  </si>
  <si>
    <t>P25700749</t>
  </si>
  <si>
    <t>BHURA</t>
  </si>
  <si>
    <t>Rohit Bhura Patil</t>
  </si>
  <si>
    <t>rohitbp1801@gmail.com</t>
  </si>
  <si>
    <t>p25700749@student.nicmar.ac.in</t>
  </si>
  <si>
    <t>07-Nov-2001</t>
  </si>
  <si>
    <t>8068 7848 6231</t>
  </si>
  <si>
    <t>BHURA INDA PATIL</t>
  </si>
  <si>
    <t>Plot No. 22 Gokarn Society Deopur Dhule. Maharashtra</t>
  </si>
  <si>
    <t>SSS PARIWAR HIFH SCHOOL AARVI DHULE</t>
  </si>
  <si>
    <t>SAVITRIBAI PHULE PUNE UNIVERSITY , PUNE , MAHARASHTRA</t>
  </si>
  <si>
    <t>SINHGAD ACADEMY OF ENGINEERING , PUNE MAHARASHTRA .</t>
  </si>
  <si>
    <t>AutoCAD,MS Office,MS Project,Primavera,Excel,Costx,Revit,BIM</t>
  </si>
  <si>
    <t>Cognizant Technology Solutions India Private Limited | Programmer Analyst | pune | Dec 2023 | Aug 2025 | 1Y 8M | 4.31</t>
  </si>
  <si>
    <t>New Consolidated Construction Co. Ltd. | Civil Intern | Seawoods , Navi Mumbai  | May 2026 | Jul 2026 | 8.5714285714286 Weeks | Campus Internship
COGNIZANT TECHNOLOGY SOLUTIONS INDIA PRIVATE LIMITED | GEN-C | CHENNAI | Sep 2023 | Dec 2023 | 10.857142857143 Weeks
Mahalaxmi Developer | Intern  | Saswad | Mar 2022 | Apr 2022 | 6.1428571428571 Weeks</t>
  </si>
  <si>
    <t>P25700750</t>
  </si>
  <si>
    <t>PALAK</t>
  </si>
  <si>
    <t>VITHLANI</t>
  </si>
  <si>
    <t>Palak Hitesh Vithlani</t>
  </si>
  <si>
    <t>palvithlani7@gmail.com</t>
  </si>
  <si>
    <t>p25700750@student.nicmar.ac.in</t>
  </si>
  <si>
    <t>7275 1355 7053</t>
  </si>
  <si>
    <t>HITESH VITHLANI</t>
  </si>
  <si>
    <t>RAKHI VITHLANI</t>
  </si>
  <si>
    <t>Tilak Society, Veraval</t>
  </si>
  <si>
    <t>Gir Somnath</t>
  </si>
  <si>
    <t>THE ADITYA BIRLA PUBLIC SCHOOL, VERAVAL</t>
  </si>
  <si>
    <t>NIOS</t>
  </si>
  <si>
    <t>LOK JAGRUTI KENDRA UNIVERSITY, AHMEDABAD</t>
  </si>
  <si>
    <t>L.J.SCHOOL OF ARCHITECTURE, AHMEDABAD</t>
  </si>
  <si>
    <t>AutoCAD,MS Office,MS Project,Primavera,SketchUp,Photoshop</t>
  </si>
  <si>
    <t>BHAJAN INFRATECH PVT. LTD. | Project Manager Intern | Surat | May 2026 | Jun 2026 | 7.7142857142857 Weeks | Campus Internship
ARCHIMEDES CONSULTANT PVT LTD | INTERN | AHMEDABAD | Jan 2025 | Apr 2025 | 13.428571428571 Weeks
TRANQUIL , THE DESIGN WAVE | INTERN | AHMEDABAD | Jun 2023 | Oct 2023 | 19.285714285714 Weeks</t>
  </si>
  <si>
    <t>AI in Project Management
Agile Project Management Foundation
Power BI Essential Training, by Gini von Courter
Construction Finance Fundamentals
Project Management: Energy and Water Projects</t>
  </si>
  <si>
    <t>P25700751</t>
  </si>
  <si>
    <t>BORATE</t>
  </si>
  <si>
    <t>Soham Dashrath Borate</t>
  </si>
  <si>
    <t>boratesoham1@gmail.com</t>
  </si>
  <si>
    <t>p25700751@student.nicmar.ac.in</t>
  </si>
  <si>
    <t>18-Feb-2004</t>
  </si>
  <si>
    <t>8236 8680 6233</t>
  </si>
  <si>
    <t>Malawadi Subdistrict:Man</t>
  </si>
  <si>
    <t>MIT VISHWASHANTI GURUKUL SCHOOL PANDHARPUR</t>
  </si>
  <si>
    <t>KOTA COLLEGE OF SCIENCE KARAD</t>
  </si>
  <si>
    <t>MAHARASHTRA STATE BOARD OF SECONDARY AND HIGHER SECONDARY BOARD</t>
  </si>
  <si>
    <t>SAVITRIBAI PHULE PUNE UNIVESSITY</t>
  </si>
  <si>
    <t>DY PATIL COLLEGE OF ENGINEERING AKURDI</t>
  </si>
  <si>
    <t>Omkar Construction Vaduj | Site Engineer | Satara | Dec 2023 | Jan 2024 | 6.7142857142857 Weeks</t>
  </si>
  <si>
    <t>Becoming an SAP Professional
Data Analysis
Construction Equipment Maintenance &amp; Safety
Finance for Non-Financial Managers</t>
  </si>
  <si>
    <t>P25700752</t>
  </si>
  <si>
    <t>MAHALAKSHMI</t>
  </si>
  <si>
    <t>BIDARI</t>
  </si>
  <si>
    <t>Mahalakshmi Prakash Bidari</t>
  </si>
  <si>
    <t>pbmaha5141@gmail.com</t>
  </si>
  <si>
    <t>p25700752@student.nicmar.ac.in</t>
  </si>
  <si>
    <t>ENGLISH,KANNADA,HINDI</t>
  </si>
  <si>
    <t>5646 4179 6055</t>
  </si>
  <si>
    <t>PRAKASH BIDARI</t>
  </si>
  <si>
    <t>NAYANA BIDARI</t>
  </si>
  <si>
    <t>House No887 Near Shivalaya Ramtheerth Nagar Belgaum</t>
  </si>
  <si>
    <t>KITTUR RANI CHANNAMMA RESIDENTIAL SAINIK SCHOOL</t>
  </si>
  <si>
    <t>MAHESH PU COLLEGE BELGAUM</t>
  </si>
  <si>
    <t>GOVT. OF KARNATAKA, DEPARTMENT OF PRE-UNIVERSITY EDUCATION, KARNATAKA</t>
  </si>
  <si>
    <t>VISHVESVARAYA TECHNOLOGICAL UNIVERSITY,BELGAUM</t>
  </si>
  <si>
    <t>GOGTE INSTITUTE OF TECHNOLOGY BELGAUM</t>
  </si>
  <si>
    <t>AutoCAD,MS Office,SKETCHUP,LUMION,PHOTOSHOP,CANVA,MSP,MS word</t>
  </si>
  <si>
    <t>Suryapriya Construction Private Limited | Project Management . | Banglore | May 2026 | Jul 2026 | 8.7142857142857 Weeks | Campus Internship
Khuba Architects | Mahalakshmi P Bidari | Banglore | Feb 2023 | Jun 2023 | 15.714285714286 Weeks</t>
  </si>
  <si>
    <t>UI/UX</t>
  </si>
  <si>
    <t>P25700753</t>
  </si>
  <si>
    <t>VISPUTE</t>
  </si>
  <si>
    <t>Ajinkya Umakant Vispute</t>
  </si>
  <si>
    <t>ajinkyavispute2001@gmail.com</t>
  </si>
  <si>
    <t>p25700753@student.nicmar.ac.in</t>
  </si>
  <si>
    <t>23-Apr-2001</t>
  </si>
  <si>
    <t>5350 8438 0096</t>
  </si>
  <si>
    <t>UMAKANT VIJAY VISPUTE</t>
  </si>
  <si>
    <t>SWATI UMAKANT VISPUTE</t>
  </si>
  <si>
    <t>CONSULTANT</t>
  </si>
  <si>
    <t>FLAT NO.3 BUILDING NO, F1 GIRIJA SHANKAR VIHAR SOCIETY, KARVE NAGAR PUNE</t>
  </si>
  <si>
    <t>Flat No. 3 Anand Majestry Rundavan Colony Ambad Link Road Nashik</t>
  </si>
  <si>
    <t>BOYS' TOWN PUBLIC SCHOOL</t>
  </si>
  <si>
    <t>2007-Mar</t>
  </si>
  <si>
    <t>NASHIK MAHARASHTRA</t>
  </si>
  <si>
    <t>SINHGAD INSTITUTE OF TECHNOLOGY AND SCIENCE NARHE, PUNE, MAHARASHTRA</t>
  </si>
  <si>
    <t>AutoCAD,MS Office,MS Project,Intership STAAD.PRO,ETABS.2018</t>
  </si>
  <si>
    <t>Millennium Engineers and Contractors Pvt. Ltd Pune | Site Execution  | Baner Pune Maharashtra | Apr 2024 | Aug 2025 | 1Y 3M | 3.9</t>
  </si>
  <si>
    <t>P25700754</t>
  </si>
  <si>
    <t>THITE</t>
  </si>
  <si>
    <t>Jay Dnyaneshwar Thite</t>
  </si>
  <si>
    <t>jaythite1000@gmail.com</t>
  </si>
  <si>
    <t>p25700754@student.nicmar.ac.in</t>
  </si>
  <si>
    <t>26-Dec-2000</t>
  </si>
  <si>
    <t>3018 0343 9784</t>
  </si>
  <si>
    <t>A/p. Bhose (k), Tal. Pandharpur, Dist. Solapur</t>
  </si>
  <si>
    <t>YASHWANT VIDHYALAYA BHOSE</t>
  </si>
  <si>
    <t>KARMAVEER BHAURAO PATIL MAHAVIDYALAYA, PANDHARPUR</t>
  </si>
  <si>
    <t>D. Y. PATIL COLLEGE OF ENGINEERING &amp; TECHNOLOGY, KASABA BAWADA, KOLHAPUR</t>
  </si>
  <si>
    <t>B. G. Shirke Construction Technology Pvt Ltd, Pune | Trainee Engineer- Civil | Tathawade Phase 2, Pune | Nov 2023 | Mar 2024 | 0Y 4M | 1.92
Pragati Construction, Pune | Junior Engineer | Akkalkot, Solapur | Apr 2024 | Jul 2025 | 1Y 3M | 3.6</t>
  </si>
  <si>
    <t>Larsen &amp; Toubro Energy Hydrocarbon (LTEH) | Construction Management Intern | L&amp;T Knowledge City, Vadodara, Gujarat | May 2026 | Jun 2026 | 8.1428571428571 Weeks</t>
  </si>
  <si>
    <t>P25700755</t>
  </si>
  <si>
    <t>NILESH</t>
  </si>
  <si>
    <t>NIKHADE</t>
  </si>
  <si>
    <t>Nilesh Dilip Nikhade</t>
  </si>
  <si>
    <t>nileshnikhade2019@gmail.com</t>
  </si>
  <si>
    <t>p25700755@student.nicmar.ac.in</t>
  </si>
  <si>
    <t>23-May-2000</t>
  </si>
  <si>
    <t>6443 3345 4905</t>
  </si>
  <si>
    <t>NICMAR UNIVERSITY, BALEWADI, PUNE.</t>
  </si>
  <si>
    <t>Vaijapur Gramin 1, Vaijapur Rural, Aurangabad,vaijapur.</t>
  </si>
  <si>
    <t>NEW HIGH SCHOOL, VAIJAPUR.</t>
  </si>
  <si>
    <t>SANJIVANI COLLEGE OF ENGINEERING, KOPARGAON, MAHARASHTRA</t>
  </si>
  <si>
    <t>SINHAGAD ACADEMY OF ENGINEERING, KONDHWA, MAHARASHTRA.</t>
  </si>
  <si>
    <t>AutoCAD,MS Office,MS Project,Primavera,Cost X,BIM</t>
  </si>
  <si>
    <t>Amazon Development Centre (India) Private Limited | Product Compliance Associate â€“ TSE | Pune  | Jul 2022 | Jan 2025 | 2Y 6M | 5.8</t>
  </si>
  <si>
    <t>P25700281</t>
  </si>
  <si>
    <t>Atul Vinod Saroj</t>
  </si>
  <si>
    <t>atulsaroj85@gmail.com</t>
  </si>
  <si>
    <t>p25700281@student.nicmar.ac.in</t>
  </si>
  <si>
    <t>13-May-1998</t>
  </si>
  <si>
    <t>2763 2199 9288</t>
  </si>
  <si>
    <t>VINOD SAROJ</t>
  </si>
  <si>
    <t>SHEELA VINOD SAROJ</t>
  </si>
  <si>
    <t>Room No. 306 Jivdani Darshan Building, Opppsite Mehta Pharmaceutical Industries Kopri Naka, Virar East.</t>
  </si>
  <si>
    <t>NEW MODEL ENGLISH HIGH SCHOOL</t>
  </si>
  <si>
    <t>PATUCK TECHNICAL HIGH SCHOOL &amp; JR. COLLEGE</t>
  </si>
  <si>
    <t>DIPLOMA IN CIVIL ENGIINEERING</t>
  </si>
  <si>
    <t>LOVELY PROFESSIONAL UNIVERSITY, PHAGWARA/PUNJAB</t>
  </si>
  <si>
    <t>LOVELY PROFESSIONAL UNIVERSITY</t>
  </si>
  <si>
    <t>AutoCAD,P6,CostX,MS Project,Revit Arch,Staad Pro,Navis work,DGQC,MS Excel</t>
  </si>
  <si>
    <t>Umiya Associates | Junior Engineer | Mumbai | Jul 2022 | Jun 2025 | 2Y 11M | 4.44
Xpressbees | Associate Executive-Admin | Surat | Apr 2021 | Jul 2022 | 1Y 3M | 2.4</t>
  </si>
  <si>
    <t>New Consolidated Construction Company Limited (NCCCL) | Intern-Planning | Mumbai Maharashtra | May 2026 | Jul 2026 | 8.5714285714286 Weeks | Campus Internship</t>
  </si>
  <si>
    <t>P25700325</t>
  </si>
  <si>
    <t>JAMGADE</t>
  </si>
  <si>
    <t>Harsh Sunil Jamgade</t>
  </si>
  <si>
    <t>harshjamgade03@gmail.com</t>
  </si>
  <si>
    <t>p25700325@student.nicmar.ac.in</t>
  </si>
  <si>
    <t>03-Apr-2002</t>
  </si>
  <si>
    <t>ENGLISH, MARATHI, AND HINDI</t>
  </si>
  <si>
    <t>2812 0492 1127</t>
  </si>
  <si>
    <t>SHAH LAYOUT, FETRI, KALMESHWAR ROAD, NAGPUR 441501</t>
  </si>
  <si>
    <t>WARD NO.1 MAHURZARI KALMESWAR ROAD NAGPUR RURAL</t>
  </si>
  <si>
    <t>BHAVAN'S B.P. VIDYA MANDIR, ASHTI</t>
  </si>
  <si>
    <t>CENTRAL BOARD OF SECONDARY EDUCATION (CBSE),NEW DELHI</t>
  </si>
  <si>
    <t>CENTRAL BOARD OF SECONDARY EDUCATION (CBSE), NEW DELHI</t>
  </si>
  <si>
    <t>YESHWANTRAO CHAVAN COLLEGE OF ENGINEERING (YCCE), NAGPUR</t>
  </si>
  <si>
    <t>AutoCAD,MS Office,MS Project,Primavera,QGIS,ArcGIS,MS Excel,Power BI</t>
  </si>
  <si>
    <t>Ahluwalia Contracts (India) Limited | Intern | Delhi NCR  | May 2026 | Jul 2026 | 8.7142857142857 Weeks | Campus Internship
SHREE CONSTRUCTION | CIVIL ENGINEERING INTERN | NAGPUR  | Jan 2024 | Apr 2024 | 17.142857142857 Weeks</t>
  </si>
  <si>
    <t>Google Project Management
GIS Basics
Getting Started with Mapping and Visualization
Getting Started with Imagery and Remote Sensing
ArcGIS Pro Basics
ArcGIS Online Basics
Power BI: Data Modeling and Data Analysis
Power BI: Data Analytics and Data Preparation
PowerBI for Beginners: Data transformation
Power BI: Data Secure, Governance, and Workspace Management
Finance for Non-Financial Managers
Estimating Fundamentals
Data-Driven Decision- Making for Agile Organizations
Geospatial Techniques for Engineers</t>
  </si>
  <si>
    <t>P25700367</t>
  </si>
  <si>
    <t>DWARSALA</t>
  </si>
  <si>
    <t>Dwarsala Mohit Reddy</t>
  </si>
  <si>
    <t>mohit2002777@gmail.com</t>
  </si>
  <si>
    <t>p25700367@student.nicmar.ac.in</t>
  </si>
  <si>
    <t>English , Hindi , Telugu</t>
  </si>
  <si>
    <t>8076 7418 2771</t>
  </si>
  <si>
    <t>DWARSALA SREE RAM MANOHAR REDDY</t>
  </si>
  <si>
    <t>GAJJALA SUDHA</t>
  </si>
  <si>
    <t>Flat.no -502 , Garudadhri Residency , Opposite To P.F .Office , Kadapa</t>
  </si>
  <si>
    <t>BOARD OF SECONDARY EDUCATION , ANDHRA PRADESH</t>
  </si>
  <si>
    <t>LARSEN &amp; TOUBRO | Project Planning Trainee  | Chennai  | May 2026 | Jul 2026 | 8 Weeks | Campus Internship
VNB Constructions | In Plant Trainee  | Kadapa | Aug 2022 | Sep 2022 | 2.5714285714286 Weeks
L&amp;T EduTech | Trainee | Chennai  | Jul 2023 | Aug 2023 | 1.5714285714286 Weeks</t>
  </si>
  <si>
    <t>Finance for Non-Finance Managers by Emory University
Construction Equipment and Techniques by LNT EduTech</t>
  </si>
  <si>
    <t>P25700694</t>
  </si>
  <si>
    <t>DANISH</t>
  </si>
  <si>
    <t>IRFAN</t>
  </si>
  <si>
    <t>PATHAN</t>
  </si>
  <si>
    <t>Danish Irfan Pathan</t>
  </si>
  <si>
    <t>danishpathan064@gmail.com</t>
  </si>
  <si>
    <t>p25700694@student.nicmar.ac.in</t>
  </si>
  <si>
    <t>21-Apr-1999</t>
  </si>
  <si>
    <t>9858 9901 5321</t>
  </si>
  <si>
    <t>IRFAN PATHAN</t>
  </si>
  <si>
    <t>SHAISTA PATHAN</t>
  </si>
  <si>
    <t>FLAT NO 203,SUNSHINE APARTMENT, LANE NO 6, SANJAY PARK ,NEAR GANESH MANDIR ,PUNE 411032</t>
  </si>
  <si>
    <t>50/2A Wadeshwar Nagar Wadgoansheri ,Old Mundwa Road , Pune 411014</t>
  </si>
  <si>
    <t>NIRMALA CONVENT SCHOOL</t>
  </si>
  <si>
    <t>MAHARASHTRA STATE BOARD OF SECONDARY AND HIGHER SECONDARY EDUCATION ,PUNE, MAHARASHTRA</t>
  </si>
  <si>
    <t>DON BOSCO JUNIOR COLLEGE OF ARTS, SCIENCE AND COMMERCE ,PUNE, MAHARASHTRA</t>
  </si>
  <si>
    <t>MAHARASHTRA STATE BOARD OF SECONDARY AND HIGHER SECONDARY EDUCATION , PUNE,MAHARASHTRA</t>
  </si>
  <si>
    <t>ALLANA COLLEGE OF ARCHITECTURE ,PUNE, MAHARASHTRA</t>
  </si>
  <si>
    <t>AutoCAD,MS Office,MS Project,Primavera,Revit,Lumion,Enscape,Rhino,Dynamo,Archicad</t>
  </si>
  <si>
    <t>PRASHANT DESHMUKH AND ASSOCIATES | JUNIOR ARCHITECT | Pune  | Jul 2022 | Jul 2025 | 2Y 11M | 4.8</t>
  </si>
  <si>
    <t>RAISONI CORP | Project Control Intern | Pune | May 2026 | Jul 2026 | 9.7142857142857 Weeks | Campus Internship
INGRAIN ARCHITECTS | INTERN ARCHITECT | MUMBAI  | Jun 2021 | Nov 2021 | 23.142857142857 Weeks</t>
  </si>
  <si>
    <t>P24702124</t>
  </si>
  <si>
    <t>JASKIRAT</t>
  </si>
  <si>
    <t>ARORA</t>
  </si>
  <si>
    <t>Jaskirat Arora</t>
  </si>
  <si>
    <t>jaskiratarora18@gmail.com</t>
  </si>
  <si>
    <t>p24702124@student.nicmar.ac.in</t>
  </si>
  <si>
    <t>12-Jul-1999</t>
  </si>
  <si>
    <t>Music,Sketches,Reading</t>
  </si>
  <si>
    <t>9225 8017 8187</t>
  </si>
  <si>
    <t>ARVINDER SINGH ARORA</t>
  </si>
  <si>
    <t>MECHANICAL ENGINEER</t>
  </si>
  <si>
    <t>MANPREET KAUR  ARORA</t>
  </si>
  <si>
    <t>E-19/03, JINDAL TOWNSHIP, JINDAL STEEL AND POWER PLANT, NISA, ANGUL, ODISHA</t>
  </si>
  <si>
    <t>818, Guru Gobind Singh Avenue, GT Road Bypass, Jalandhar</t>
  </si>
  <si>
    <t>Jalandhar</t>
  </si>
  <si>
    <t>ESSAR INTERNATIONAL SCHOOL, HAZIRA</t>
  </si>
  <si>
    <t>CBSE - SURAT/GUJARAT</t>
  </si>
  <si>
    <t>LAWRENCE INTERNATIONAL SCHOOL, JALANDHAR</t>
  </si>
  <si>
    <t>CBSE - JALANDHAR/PUNJAB</t>
  </si>
  <si>
    <t>I.K GUJRAL PUNJAB TECHNICAL UNIVERSITY</t>
  </si>
  <si>
    <t>I.K GUJRAL PUNJAB TECHNICAL UNIVERSITY MOHALI CAMPUS - II/ PUNJAB</t>
  </si>
  <si>
    <t>AutoCAD,MS Office,MS Project,MS Excel,Photoshop,Indesign,Illustrator,Lumion,Enscape,MS Powerpoint</t>
  </si>
  <si>
    <t>FORUM ADVAITA (AR. AMAN SOHAL) | ARCHITECTURAL AND INTERIOR DESIGNING FIRM | SECTOR 71, MOHALI | Sep 2020 | Dec 2020 | 15 Weeks
EMM ELL DECOR (AR. ARADHANA GHAKAR) | ARCHITECTURAL AND INTERIOR DESIGNING FIRM | SECTOR 16, CHANDIGARH | Jul 2020 | Dec 2020 | 24 Weeks</t>
  </si>
  <si>
    <t>Corporate Finance
Architectural Psychology for Architects and Designers
KPMG - Green Belt Lean Six Sigma</t>
  </si>
  <si>
    <t>P25702001</t>
  </si>
  <si>
    <t>MADHAB</t>
  </si>
  <si>
    <t>MOHANTY</t>
  </si>
  <si>
    <t>Madhab Jyoti Mohanty</t>
  </si>
  <si>
    <t>mj333mohanty@gmail.com</t>
  </si>
  <si>
    <t>p25702001@student.nicmar.ac.in</t>
  </si>
  <si>
    <t>30-Aug-1999</t>
  </si>
  <si>
    <t>5574 5803 6207</t>
  </si>
  <si>
    <t>AMULYA KUMAR MOHANTY</t>
  </si>
  <si>
    <t>PUSPANJALI ROUTARAY</t>
  </si>
  <si>
    <t>N2/182, I.R.C VILLAGE, NAYAPALLI, BHUBANESWAR</t>
  </si>
  <si>
    <t>LOYOLA SCHOOL BHUBANESWAR</t>
  </si>
  <si>
    <t>TIMES SCHOLAR GURUKUL KHANDAGIRI KHURDHA OD</t>
  </si>
  <si>
    <t>KALINGA INSTITUTE OF INDUSTRIAL TECHNOLOGY, BHUBANESWAR/ODISHA</t>
  </si>
  <si>
    <t>MS Office,MS Project,Complaince,Liasoning,SQL Server,Land Procurement,Strategy Devlopemet,Digital Marketing,JIRA,Financial Statement Analysis,Stake Holder Management</t>
  </si>
  <si>
    <t>Wipro Ltd. | Project Engineer | Banglore, India | Jun 2021 | Mar 2024 | 2Y 8M | 3.74
SRIKRISHNA ESTATE &amp; CONSTRUCTION PVT. LTD. | Project Manager - Strategy, Operations &amp; Business Devlopment | Bhubaneswar, Odisha | Mar 2024 | Jul 2025 | 1Y 3M | 4.92</t>
  </si>
  <si>
    <t>4 Years 0 Months</t>
  </si>
  <si>
    <t>Embassy Development Ltd | Liaosining, Business Strategy &amp; Operations | Mumbai, India | May 2026 | Jul 2026 | 8.2857142857143 Weeks | Campus Internship</t>
  </si>
  <si>
    <t>P25702002</t>
  </si>
  <si>
    <t>GODAMBE</t>
  </si>
  <si>
    <t>Bhagyashree Sachin Godambe</t>
  </si>
  <si>
    <t>bhagyashreegodambe4763@gmail.com</t>
  </si>
  <si>
    <t>p25702002@student.nicmar.ac.in</t>
  </si>
  <si>
    <t>27-Dec-2000</t>
  </si>
  <si>
    <t>6829 2156 7406</t>
  </si>
  <si>
    <t>C801, PHASE 2, GRAND VIEW 7 NEAR PODDAR INTERNATIONAL SCHOOL, AMBEGAON BK, PUNE</t>
  </si>
  <si>
    <t>401, Narsiha Saraswati Bhuwan Above Bank Of Maharashtra, Parnaka Kalyan, West</t>
  </si>
  <si>
    <t>CAPTAIN RAVINDRA MADHAV OAK HIGH SCHOOL</t>
  </si>
  <si>
    <t>MAHARASHTRA STATE BOARD/ KALYAN</t>
  </si>
  <si>
    <t>B.K.BIRLA COLLEGE OF ARTS, COMMERCE AND SCIENCE</t>
  </si>
  <si>
    <t>B.R.HARNE COLLEGE OF ARCHITECTURE</t>
  </si>
  <si>
    <t>AutoCAD,MS Office,MS Project,Primavera,Sketchup,Lumion,Revit,Photoshop,InDesign</t>
  </si>
  <si>
    <t>Rdesign Architects | Junior Architect | Vikhroli, Mumbai | Aug 2024 | Mar 2025 | 0Y 7M | 2.4
VastuSiddhi Architects | Junior Architect | Vikhroli, Mumbai | May 2023 | Jul 2024 | 1Y 2M | 1.44</t>
  </si>
  <si>
    <t>Manjeet Developers  | Real Estate Strategist | Koregao Park, Pune | May 2026 | Jul 2026 | 8.7142857142857 Weeks | Campus Internship
Ekistics Design Studio | Architectural Intern | Thane | Oct 2021 | Apr 2022 | 26 Weeks</t>
  </si>
  <si>
    <t>P25702003</t>
  </si>
  <si>
    <t>WALKE</t>
  </si>
  <si>
    <t>Atharva Raju Walke</t>
  </si>
  <si>
    <t>atharvawalke24@gmail.com</t>
  </si>
  <si>
    <t>p25702003@student.nicmar.ac.in</t>
  </si>
  <si>
    <t>24-Nov-2000</t>
  </si>
  <si>
    <t>8674 0186 7797</t>
  </si>
  <si>
    <t>RAJU BABAN WALKE</t>
  </si>
  <si>
    <t>VRINDAVANI WALKE</t>
  </si>
  <si>
    <t>GRAPHIC DESIGNER</t>
  </si>
  <si>
    <t>Room No.1 Swawalambi CHSL Plot No.233 Opposite To Moon Palace Hotel Sector.4 Airoli Navi Mumbai 400-708</t>
  </si>
  <si>
    <t>ST. XAVIER'S HIGH SCHOOL, AIROLI</t>
  </si>
  <si>
    <t>SMT. SUSHILADEVI DESHMUKH VIDYALAYA &amp; JR.COLLEGE, AIROLI</t>
  </si>
  <si>
    <t>PCT'S A.P SHAH INSTITUTE OF TECHNOLOGY, THANE (WEST)</t>
  </si>
  <si>
    <t>Impact Infraheights PVT.LTD | Site Execution Intern | Pune | May 2026 | Jul 2026 | 8.7142857142857 Weeks | Campus Internship
Rushabh Surendra Karnavat Consultancy Services | Project Engineer â€“ Structural Audit &amp; NDT | Mumbai | Jun 2023 | Nov 2023 | 21.571428571429 Weeks</t>
  </si>
  <si>
    <t>Urban Land Economics and Real Estate Market  Dynamics
Introduction to Financial Accounting</t>
  </si>
  <si>
    <t>P25702005</t>
  </si>
  <si>
    <t>ALOKARANJAN</t>
  </si>
  <si>
    <t>SWAIN</t>
  </si>
  <si>
    <t>Alokaranjan Swain</t>
  </si>
  <si>
    <t>swainalok1001@gmail.com</t>
  </si>
  <si>
    <t>p25702005@student.nicmar.ac.in</t>
  </si>
  <si>
    <t>ENGLISH, HINDI, MARATHI, KONKANI, ODIA</t>
  </si>
  <si>
    <t>7057 5304 1276</t>
  </si>
  <si>
    <t>ASHOK KUMAR SWAIN</t>
  </si>
  <si>
    <t>SARITA KUMARI SWAIN</t>
  </si>
  <si>
    <t>H.No: 1652/1, Deul Waddo, Anjuna, Bardez, Goa</t>
  </si>
  <si>
    <t>ST. MICHAELS CONVENT HIGH SCHOOL</t>
  </si>
  <si>
    <t>GOA BOARD OF SECONDARY AND HIGHER SECONDARY EDUCATION</t>
  </si>
  <si>
    <t>DNYANPRASSARAK MANDALâ€™S COLLEGE &amp; RESEARCH CENTRE</t>
  </si>
  <si>
    <t>NATIONAL INSTITUTE OF TECHNOLOGY GOA</t>
  </si>
  <si>
    <t>AutoCAD,MS Office,MS Project,Midas Gen,ArcGIS,Staad Pro,Candy,Quantity Takeoff,Scheduling</t>
  </si>
  <si>
    <t>QSES CONTRACTS &amp; PROJECT MANAGEMENT | Tainee Engineer | Mapusa, Goa, India | Jul 2024 | Jun 2025 | 0Y 11M | 2.1</t>
  </si>
  <si>
    <t>VARDHMAN AMRANTE Pvt.Ltd. (OSWAL GROUP) | INTERN - PROJECT PLANNING &amp; DEVELOPMENT CELL | Ludhiana, Punjab | May 2026 | Jul 2026 | 9.5714285714286 Weeks | Campus Internship
GOA SHIPYARD LIMITED (MINISTRY OF DEFENCE) | INTERN ENGINEER | VASCO-DA-GAMA, GOA, INDIA | May 2023 | Jul 2023 | 6.2857142857143 Weeks</t>
  </si>
  <si>
    <t>Sustainable Future on Water Resources &amp; Climate Challenges
Concrete Mix Design Training
Diploma in AutoCad
Staad Pro Training
Comprehensive RCC Design using IS 456:2000 (LSM)</t>
  </si>
  <si>
    <t>P25702006</t>
  </si>
  <si>
    <t>Pragati Kumari</t>
  </si>
  <si>
    <t>kpragati0202@gmail.com</t>
  </si>
  <si>
    <t>p25702006@student.nicmar.ac.in</t>
  </si>
  <si>
    <t>02-Feb-1999</t>
  </si>
  <si>
    <t>ENGLISH,HINDI,BENGALI,ORIYA</t>
  </si>
  <si>
    <t>7675 1504 6750</t>
  </si>
  <si>
    <t>GYAN DEO PASWAN</t>
  </si>
  <si>
    <t>PUSHPA PASWAN</t>
  </si>
  <si>
    <t>PSU SERVICE</t>
  </si>
  <si>
    <t>FLAT NO 302 BLOCK J10 SHAPOORJEE_x000D_
NEWTOWN, KOLKATA</t>
  </si>
  <si>
    <t>Singhaul Dih, Ward No 02,Singhaul,Begusarai,Bihar_x000D_</t>
  </si>
  <si>
    <t>PRAGATI KUMARI</t>
  </si>
  <si>
    <t>VIKAS VIDYANIKETAN VISAKHAPATNAM</t>
  </si>
  <si>
    <t>KALINGA INSTITUTE OF INDUSTRIAL TECHNOLOGY, BHUBANESWAR,ODISSA</t>
  </si>
  <si>
    <t>MS Office,MS Project,BSNL - Vocational Training,Cisco Networking Academy - Training,HTML,CSS,JAVASCRIPT</t>
  </si>
  <si>
    <t>MAZENET-HTML.CSS, JavaScript
Cisco Networking Academy - Training
BSNL - Vocational Training</t>
  </si>
  <si>
    <t>P25702007</t>
  </si>
  <si>
    <t>Ritika Gupta</t>
  </si>
  <si>
    <t>gritika4799@gmail.com</t>
  </si>
  <si>
    <t>p25702007@student.nicmar.ac.in</t>
  </si>
  <si>
    <t>04-Jul-1999</t>
  </si>
  <si>
    <t>7356 0728 7586</t>
  </si>
  <si>
    <t>MAHESH KUMAR</t>
  </si>
  <si>
    <t>DOLLY GUPTA</t>
  </si>
  <si>
    <t>Krishna Niwas, Krishna Shiva Indane Service, Shankar Master Lane, Manoharpur, West Singhbhum, Jharkhand - 833104</t>
  </si>
  <si>
    <t>West Singhbhum</t>
  </si>
  <si>
    <t>CARMEL SCHOOL</t>
  </si>
  <si>
    <t>INDIAN CERTIFICATE OF SECONDARY EDUCATION (ICSE), ODISHA</t>
  </si>
  <si>
    <t>INDIAN SCHOOL CERTIFICATE EXAMINATION (ISC), ODISHA</t>
  </si>
  <si>
    <t>NATIONAL INSTITUTE OF TECHNOLOGY, ROURKELA</t>
  </si>
  <si>
    <t>MS Project, Primavera, MS Office (Excel, PowerPoint, Word), Candy, AutoCAD, Revit, SketchUP, Enscape, Lumion, Adobe Photoshop, Adobe Illustrator</t>
  </si>
  <si>
    <t>L&amp;T Construction | Senior Architect | Chennai | Jul 2022 | May 2025 | 2Y 10M | 6.99</t>
  </si>
  <si>
    <t>Ahluwalia Contracts (India) Limited | Strategic Business Development | Kolkata | May 2026 | Jul 2026 | 8.7142857142857 Weeks | Campus Internship
INFORM ARCHITECTS | INTERN ARCHITECT | BENGALURU | Dec 2020 | May 2021 | 21.571428571429 Weeks</t>
  </si>
  <si>
    <t>Urban Land Economics and Real Estate Market Dynamics
Corporate Finance
Introduction to Financial Accounting</t>
  </si>
  <si>
    <t>P25702008</t>
  </si>
  <si>
    <t>G M</t>
  </si>
  <si>
    <t>Shreyas G M</t>
  </si>
  <si>
    <t>shreyasgm@outlook.com</t>
  </si>
  <si>
    <t>p25702008@student.nicmar.ac.in</t>
  </si>
  <si>
    <t>5168 0140 5665</t>
  </si>
  <si>
    <t>MANJUNATHA B G</t>
  </si>
  <si>
    <t>OPERATIONS MANAGER</t>
  </si>
  <si>
    <t>ANURADHA MANJUNATH</t>
  </si>
  <si>
    <t>18, Nidhi, 1st B Main Rd, Near Syn Bank Layout, Tunganagara, Herohalli, Bengaluru - 91</t>
  </si>
  <si>
    <t>SRI MANJUNATHESHWARA CENTRAL SCHOOL</t>
  </si>
  <si>
    <t>CBSE, DHARWAD, KARNATAKA</t>
  </si>
  <si>
    <t>SADHANA PU COLLEGE</t>
  </si>
  <si>
    <t>BANGALORE UNIVERSITY</t>
  </si>
  <si>
    <t>ACHARYA BANGALORE B SCHOOL, BENGALURU, KARNATAKA</t>
  </si>
  <si>
    <t>MS Office,MS Project,Primavera</t>
  </si>
  <si>
    <t>P25702009</t>
  </si>
  <si>
    <t>SAYAJI</t>
  </si>
  <si>
    <t>GHATGE</t>
  </si>
  <si>
    <t>Vedant Sayaji Ghatge</t>
  </si>
  <si>
    <t>ghatgevedant@gmail.com</t>
  </si>
  <si>
    <t>p25702009@student.nicmar.ac.in</t>
  </si>
  <si>
    <t>3774 7494 4097</t>
  </si>
  <si>
    <t>SAYAJI GHATGE</t>
  </si>
  <si>
    <t>RETIRED GOV EMPLOYEE</t>
  </si>
  <si>
    <t>KANCHAN GHATGE</t>
  </si>
  <si>
    <t>1401,suyog CHS, Building No 23, Near Sai Baba Mandir,Tagore Nagar,Vikhroli East, Mumbai 400083</t>
  </si>
  <si>
    <t>DADAR PARSEE YOUTHS ASSEMBLY HIGH SCHOOL</t>
  </si>
  <si>
    <t>HIND SEVA PARISHAD'S  PUBLIC JUNIOR COLLEGE</t>
  </si>
  <si>
    <t>RIZVI COLLEGE OF ENGINEERING  MUMBAI</t>
  </si>
  <si>
    <t>AutoCAD,MS Office,MS Project,Primavera,Power BI,Candy</t>
  </si>
  <si>
    <t>Vardhman Amrante Pvt.Ltd | Project Management intern | Ludhiana,Punjab | May 2026 | Jul 2026 | 9.5714285714286 Weeks | Campus Internship
SHREENATH CONSTRUCTIONS | Site Engineer | Mumbai | Jun 2022 | Jul 2022 | 6.1428571428571 Weeks</t>
  </si>
  <si>
    <t>Oracle Primavera P6 â€“ Project Setup and Basic Management
Sustainable urban water system
Introduction to Financial Accounting
Urban Land Economics and Real Estate Market Dynamics
Six sigma Principles</t>
  </si>
  <si>
    <t>P25702010</t>
  </si>
  <si>
    <t>Nair Aryan Madhu</t>
  </si>
  <si>
    <t>nairaryan750@gmail.com</t>
  </si>
  <si>
    <t>p25702010@student.nicmar.ac.in</t>
  </si>
  <si>
    <t>ENGLISH, HINDI, GUJARATI, MALAYALAM</t>
  </si>
  <si>
    <t>4210 5557 3409</t>
  </si>
  <si>
    <t>MADHU NAIR</t>
  </si>
  <si>
    <t>AJITHA NAIR</t>
  </si>
  <si>
    <t>A-37 Swaminarayan Nagar, Opposite Sun Pharma  Research Centre, Sun Pharma Road, Atladra, Vadodara</t>
  </si>
  <si>
    <t>BRIGHT DAY SCHOOL</t>
  </si>
  <si>
    <t>TEJAS VIDYALAYA</t>
  </si>
  <si>
    <t>MAHARAJA SAYAJIRAO UNIVERSITY OF BARODA</t>
  </si>
  <si>
    <t>MS Project,Primavera</t>
  </si>
  <si>
    <t>Sri Vaarahi Real Assets | Real Estate Advisor | Hyderabad | May 2026 | Jul 2026 | 8.7142857142857 Weeks | Campus Internship</t>
  </si>
  <si>
    <t>P25702012</t>
  </si>
  <si>
    <t>NEOGI</t>
  </si>
  <si>
    <t>Disha Neogi</t>
  </si>
  <si>
    <t>disha.archplan@gmail.com</t>
  </si>
  <si>
    <t>p25702012@student.nicmar.ac.in</t>
  </si>
  <si>
    <t>04-May-2001</t>
  </si>
  <si>
    <t>ENGLISH, HINDI, BENGALI</t>
  </si>
  <si>
    <t>9141 1948 5072</t>
  </si>
  <si>
    <t>DULAL CHANDRA NEOGI</t>
  </si>
  <si>
    <t>CONSULTANT CIVIL ENGINEER</t>
  </si>
  <si>
    <t>SUSOMA SINGHA NEOGI</t>
  </si>
  <si>
    <t>GOVERNMENT PRIMARY SCHOOL TEACHER</t>
  </si>
  <si>
    <t>FLAT NO. T/6, 3RD FLOOR, BLOCK C, VASUNDHARA PALACE, GOSALA ROAD, BABUPARA, SILIGURI</t>
  </si>
  <si>
    <t>Sukanta Sarani, Nabagram, Siliguri, P.O.- Bhaktinagar</t>
  </si>
  <si>
    <t>Jalpaiguri</t>
  </si>
  <si>
    <t>NIRMALA CONVENT SCHOOL, SILIGURI</t>
  </si>
  <si>
    <t>COUNCIL OF INDIAN SCHOOL CERTIFICATE EXAMINATION, NEW DELHI</t>
  </si>
  <si>
    <t>DELHI PUBLIC SCHOOL, SILIGURI</t>
  </si>
  <si>
    <t>L. S. RAHEJA SCHOOL OF ARCHITECTURE, MUMBAI</t>
  </si>
  <si>
    <t>MS Office, MS Project, Primavera P6, AutoCad, CCS CANDY, Adobe Photoshop, Adobe InDesign, Twinmotion, Enscape, SketchUp</t>
  </si>
  <si>
    <t>Free Lance Consultants | Project Architect | Siliguri, West Bengal | May 2024 | Jun 2025 | 1Y 1M | 3</t>
  </si>
  <si>
    <t>Cushman &amp; Wakefield India Pvt. Ltd. | Strategic Consulting | Gurgaon, India | May 2026 | Jun 2026 | 7.5714285714286 Weeks | Campus Internship
Patch Design Studio | Architectural Intern | Bandra West, Mumbai | Dec 2022 | Apr 2023 | 19.571428571429 Weeks</t>
  </si>
  <si>
    <t>Housing Policy &amp; Planning by NPTEL</t>
  </si>
  <si>
    <t>P25702013</t>
  </si>
  <si>
    <t>AGARWAL</t>
  </si>
  <si>
    <t>Prashant Agarwal</t>
  </si>
  <si>
    <t>prashantagarwal569@gmail.com</t>
  </si>
  <si>
    <t>p25702013@student.nicmar.ac.in</t>
  </si>
  <si>
    <t>9968 9094 7339</t>
  </si>
  <si>
    <t>MOHAN LAL AGARWAL</t>
  </si>
  <si>
    <t>SAROJ AGARWAL</t>
  </si>
  <si>
    <t>5-7-231/A Agapura Char - Kan Dil</t>
  </si>
  <si>
    <t>INDIAN INSTITUTE OF MANAGEMENT &amp; COMMERCE</t>
  </si>
  <si>
    <t>Diploma in Spoken English
NSS Camp Volunteer â€“ Survey on Access to Basic Amenities</t>
  </si>
  <si>
    <t>P25702014</t>
  </si>
  <si>
    <t>DADASAHEB</t>
  </si>
  <si>
    <t>THOKAL</t>
  </si>
  <si>
    <t>Ashwini Dadasaheb Thokal</t>
  </si>
  <si>
    <t>ashwinithokal8@gmail.com</t>
  </si>
  <si>
    <t>p25702014@student.nicmar.ac.in</t>
  </si>
  <si>
    <t>15-Mar-2001</t>
  </si>
  <si>
    <t>Mandala Art,Doodling</t>
  </si>
  <si>
    <t>5794 3469 8052</t>
  </si>
  <si>
    <t>EX-SERVICE MAN ARMY</t>
  </si>
  <si>
    <t>Vaiju Babhulgaon, Ahmednagar</t>
  </si>
  <si>
    <t>KENDRIYA VIDYALAYA TIRUMALAGIRI</t>
  </si>
  <si>
    <t>CBSE, TELANGANA</t>
  </si>
  <si>
    <t>HARYANA OPEN SCHOOL, AMBALA</t>
  </si>
  <si>
    <t>BOARD OF SCHOOL EDUCATION HARYANA</t>
  </si>
  <si>
    <t>PRAVARA RURAL COLLEGE OF ARCHITECTURE, LONI, AHMEDNAGAR, MAHARASHTRA</t>
  </si>
  <si>
    <t>AutoCAD,MS Office,MS Project,Sketchup,Lumion,photoshop,enscape</t>
  </si>
  <si>
    <t>Ciri Planning and Strategic Advisory (CPSA) | Junior Architect | Secunderabad, Telangana | Nov 2024 | Jan 2025 | 0Y 2M | 1.8</t>
  </si>
  <si>
    <t>ARCHIETHOS | INTERN | NASHIK | Jul 2023 | Dec 2023 | 21.714285714286 Weeks
Swastik Group | Analyst  | Baner, pune | May 2026 | Jul 2026 | 8.7142857142857 Weeks</t>
  </si>
  <si>
    <t>P25702015</t>
  </si>
  <si>
    <t>NILANG</t>
  </si>
  <si>
    <t>BORE</t>
  </si>
  <si>
    <t>Nilang Sanjay Bore</t>
  </si>
  <si>
    <t>borenilang@gmail.com</t>
  </si>
  <si>
    <t>p25702015@student.nicmar.ac.in</t>
  </si>
  <si>
    <t>4491 0924 8652</t>
  </si>
  <si>
    <t>SANJAY SHANTARAM BORE</t>
  </si>
  <si>
    <t>GOVT. SERVICE (POLICE DEPT.)</t>
  </si>
  <si>
    <t>SMITA SANJAY BORE</t>
  </si>
  <si>
    <t>GOVT. SERVICE (HEALTHCARE DEPT.)</t>
  </si>
  <si>
    <t>A3/1004 - AVON VISTA, PATIL NAGAR, BALEWADI</t>
  </si>
  <si>
    <t>C 301 AISHWARYA ENCLAVE Y R TAWDE ROAD DAHISAR WEST</t>
  </si>
  <si>
    <t>RUSTOMJEE INTERNATIONAL SCHOOL</t>
  </si>
  <si>
    <t>SSC BOARD MAHARASHTRA</t>
  </si>
  <si>
    <t>SHRI T P BHATIA COLLEGE OF SCIENCE</t>
  </si>
  <si>
    <t>SIR J J COLLEGE OF ARCHITECTURE, MUMBAI</t>
  </si>
  <si>
    <t>AutoCAD,MS Office,MS Project,Primavera,Project Management &amp; Coordination,FSI Calculation &amp; Utilization,Real Estate Feasibility Analysis (Basic Financial Modeling),Zoning &amp; Development Regulation Analysis (DCPR 2034)</t>
  </si>
  <si>
    <t>Somaiya &amp; Associates | Architect | Mumbai | Jun 2024 | May 2025 | 0Y 11M | 2.64</t>
  </si>
  <si>
    <t>Kalpataru Limited | Business Development Intern | Mumbai | May 2026 | Jul 2026 | 9.5714285714286 Weeks | Campus Internship
SOMAIYA &amp; ASSOCIATES | ARCHITECTURE INTERN | MUMBAI | Dec 2022 | Mar 2023 | 17 Weeks</t>
  </si>
  <si>
    <t>Real Estate Acquisitions 101
Building Information Modeling for Construction Management
The Real Estate Financial Modeling Bootcamp</t>
  </si>
  <si>
    <t>P25702016</t>
  </si>
  <si>
    <t>MIR</t>
  </si>
  <si>
    <t>DILNAWAZ</t>
  </si>
  <si>
    <t>AHSAN</t>
  </si>
  <si>
    <t>Mir Dilnawaz Ahsan</t>
  </si>
  <si>
    <t>nawazahsan575@gmail.com</t>
  </si>
  <si>
    <t>p25702016@student.nicmar.ac.in</t>
  </si>
  <si>
    <t>02-Jun-2003</t>
  </si>
  <si>
    <t>6587 3186 1968</t>
  </si>
  <si>
    <t>LATE. MR. MIR AHSAN UL HASAN</t>
  </si>
  <si>
    <t>ASRA NAVEED</t>
  </si>
  <si>
    <t>H.no -8/67 , Khazi Galli Sarkari Masjid , Chitguppa,Bidar.</t>
  </si>
  <si>
    <t>SHAKUNTALA PATIL RES SCHOOL HUMNABAD</t>
  </si>
  <si>
    <t>CENTRAL BOARD OF SECONDARY EDUCATION ,KARNATAKA</t>
  </si>
  <si>
    <t>SHAHEEN INDP PU COLLEGE</t>
  </si>
  <si>
    <t>GOVERNMENT OF KARNATAKA DEPARTMENT OF PRE EDUCATION UNIVERSITY</t>
  </si>
  <si>
    <t>KHAJA BANDANAWAZ UNIVERSITY</t>
  </si>
  <si>
    <t>KHAJA BANDANAWAZ UNIVERSITY ,KALABURAGI</t>
  </si>
  <si>
    <t>Repplen Projects Private Limited  | Planning-Intern | Alibag,Maharashtra. | May 2026 | Jun 2026 | 8.1428571428571 Weeks | Campus Internship</t>
  </si>
  <si>
    <t>ADVANCED CONSTRUCTION MANAGEMENT</t>
  </si>
  <si>
    <t>P25702018</t>
  </si>
  <si>
    <t>ITWARE</t>
  </si>
  <si>
    <t>Om Ganesh Itware</t>
  </si>
  <si>
    <t>omitware650@gmail.com</t>
  </si>
  <si>
    <t>p25702018@student.nicmar.ac.in</t>
  </si>
  <si>
    <t>15-Jan-2003</t>
  </si>
  <si>
    <t>4768 9279 0589</t>
  </si>
  <si>
    <t>RETIRED PRINCIPAL</t>
  </si>
  <si>
    <t>House No.15, Sahyog Colony Karla Road, Wardha- 442001</t>
  </si>
  <si>
    <t>AGRAGAMI CONVENT SCHOOL, MASALA, WARDHA</t>
  </si>
  <si>
    <t>CBSE, WARDHA, MAHARASHTRA</t>
  </si>
  <si>
    <t>2009-Jul</t>
  </si>
  <si>
    <t>CHANKANYA JR. COLLEGE, WARDHA</t>
  </si>
  <si>
    <t>MAHARASHTRA BOARD, WARDHA, MAHARASHTRA</t>
  </si>
  <si>
    <t>DR. BABASAHEB TECHNOLOGICAL UNIVERSITY, LONERE, RAIGAD</t>
  </si>
  <si>
    <t>BAJAJ INSTITUTE OFTECHNOLOGY, WARDHA</t>
  </si>
  <si>
    <t>Om Shivam Buildcon Pvt. Ltd. | Graduate trainee | Nagpur | Feb 2025 | Jun 2025 | 16.142857142857 Weeks</t>
  </si>
  <si>
    <t>P25702019</t>
  </si>
  <si>
    <t>SHARVARI</t>
  </si>
  <si>
    <t>Sharvari Kishor Jadhav</t>
  </si>
  <si>
    <t>sharvarikj01@gmail.com</t>
  </si>
  <si>
    <t>p25702019@student.nicmar.ac.in</t>
  </si>
  <si>
    <t>9969 3205 7781</t>
  </si>
  <si>
    <t>PROJECT MANAGER AS A CIVIL ENGINEER</t>
  </si>
  <si>
    <t>A-1406, Kalashree Apartments, Nanded City, Sinhagad Road.</t>
  </si>
  <si>
    <t>VIDYA NIKETAN SCHOOL, DOMBIVILI</t>
  </si>
  <si>
    <t>ROYAL JUNIOR COLLEGE OF SCIENCE AND COMMERCE, DOMBIVLI</t>
  </si>
  <si>
    <t>PILLAI COLLEGE OF ARCHITECTURE, NEW PANVEL, MAHARASHTRA</t>
  </si>
  <si>
    <t>AutoCAD,MS Office,MS Project,Revit,Sketchup,Lumion,Twinmotion</t>
  </si>
  <si>
    <t>Aarambh Real Estate and Developers | Real Estate Strategy &amp; Pre-Development | Pune | May 2026 | Jul 2026 | 7.7142857142857 Weeks | Campus Internship
Designworks | Intern | Vashi, Navi Mumbai | Nov 2022 | May 2023 | 27.857142857143 Weeks
Form and Function Architects Private Limited | Junior Architect | Bhandarkar road, Pune | Mar 2025 | Jul 2025 | 16.571428571429 Weeks</t>
  </si>
  <si>
    <t>P25702020</t>
  </si>
  <si>
    <t>AKRE</t>
  </si>
  <si>
    <t>Prasad Devendra Akre</t>
  </si>
  <si>
    <t>prasadakre2407@gmail.com</t>
  </si>
  <si>
    <t>p25702020@student.nicmar.ac.in</t>
  </si>
  <si>
    <t>6094 4827 5413</t>
  </si>
  <si>
    <t>DEVENDRA AKRE</t>
  </si>
  <si>
    <t>PROPERTY DEALING</t>
  </si>
  <si>
    <t>AARTI AKRE</t>
  </si>
  <si>
    <t>AVON VISTA PATIL NAGAR BALIWADI NAGPUR</t>
  </si>
  <si>
    <t>Jagnath Budhawari Pili Marbath Sq_x000D_
Pili Marbath Sq</t>
  </si>
  <si>
    <t>SHRI RAJENDRA HIGH SCHOOL</t>
  </si>
  <si>
    <t>SHREE DATTA MEGHE POLYTECHNIC NAGPUR MAHARASHTRA</t>
  </si>
  <si>
    <t>G.H RAISONI COLLAGE OF ENGINEERING AND TECHNOLOGY NAGPUR MAHARASHTA</t>
  </si>
  <si>
    <t>AutoCAD,MS Project,SAP</t>
  </si>
  <si>
    <t>ORANGE CITY WATER (OCW) | Network engineer (O&amp;M) | Nagpur | Jan 2024 | Jul 2025 | 1Y 6M | 3.6</t>
  </si>
  <si>
    <t>P25702021</t>
  </si>
  <si>
    <t>SHIRUR</t>
  </si>
  <si>
    <t>Hemanth S Shirur</t>
  </si>
  <si>
    <t>hemanthshirur05@gmail.com</t>
  </si>
  <si>
    <t>p25702021@student.nicmar.ac.in</t>
  </si>
  <si>
    <t>12-Jul-2001</t>
  </si>
  <si>
    <t>6463 1842 0793</t>
  </si>
  <si>
    <t>SIDDAPPA</t>
  </si>
  <si>
    <t>GOVT EMPLOYEE (HESCOM)</t>
  </si>
  <si>
    <t>KASTURI</t>
  </si>
  <si>
    <t>Vaibhavalaxmi Nilaya Postal Colony 2nd Road Near Hanuman Temple Vidyagiri Bagalkot</t>
  </si>
  <si>
    <t>HEMANTH S SHIRUR</t>
  </si>
  <si>
    <t>B.V.V.S POLYTECHNIC ( AUTONOMUS ), BAGALKOT</t>
  </si>
  <si>
    <t>MS Project,Primavera,MS Excel,MS PPT,Candy</t>
  </si>
  <si>
    <t>CHANDRA ARCHITECT &amp; ASSOCIATES | Junior Engineer | Bagalkot | Jun 2024 | May 2025 | 0Y 11M | 2.16</t>
  </si>
  <si>
    <t>Address Advisors | Business Development Intern | Bangaluru | May 2026 | Jul 2026 | 9.5714285714286 Weeks | Campus Internship
S.I.DONUR | SITE ENGINEER | VIJAYPUR | Jul 2023 | Aug 2023 | 4.5714285714286 Weeks</t>
  </si>
  <si>
    <t>Fundamentals of Analyzing Real Estate Investments
Corporate Communication</t>
  </si>
  <si>
    <t>P25702022</t>
  </si>
  <si>
    <t>DIPAKBHAI</t>
  </si>
  <si>
    <t>Aryan Dipakbhai Patel</t>
  </si>
  <si>
    <t>aryan00om@gmail.com</t>
  </si>
  <si>
    <t>p25702022@student.nicmar.ac.in</t>
  </si>
  <si>
    <t>8686 1831 7914</t>
  </si>
  <si>
    <t>USHABEN</t>
  </si>
  <si>
    <t>MILLENIUM BOYS HOSTEL, NICMAR UNIVERSITY, BALEWADI ROAD, BANER</t>
  </si>
  <si>
    <t>43, Amranthus Villas, SP Ring Road, Bhadaj Circle, Science City</t>
  </si>
  <si>
    <t>NAVNIRMAN CO. OP. BANK SEC. SCHOOL</t>
  </si>
  <si>
    <t>GUJARAT SECONDARY &amp; HIGHER SECONDARY EDUCATION BOARD, GANDHINAGAR</t>
  </si>
  <si>
    <t>BALDEVBHAI JOITARAM PATEL H. SEC. SCHOOL</t>
  </si>
  <si>
    <t>PANDIT DEENDAYAL ENERGY UNIVERSITY</t>
  </si>
  <si>
    <t>PANDIT DEENDAYAL ENERGY UNIVERSITY, GANDHINAGAR</t>
  </si>
  <si>
    <t>MS Office,MS Project, Candy Software, Primavera, STADD.Pro, QGIS, Revit, AutoCAD</t>
  </si>
  <si>
    <t>Cushman &amp; Wakefield | Strategic Consulting Intern | Ahmedabad, Gujarat | May 2026 | Jul 2026 | 8.7142857142857 Weeks | Campus Internship
PSP Projects Limited | Intern | Ahmedabad, Gujarat | Jun 2023 | Jul 2023 | 5.5714285714286 Weeks</t>
  </si>
  <si>
    <t>Journey of Real Estate</t>
  </si>
  <si>
    <t>P25702023</t>
  </si>
  <si>
    <t>ADITI</t>
  </si>
  <si>
    <t>Aditi Kishor Mahajan</t>
  </si>
  <si>
    <t>p25702023@student.nicmar.ac.in</t>
  </si>
  <si>
    <t>01-Nov-1998</t>
  </si>
  <si>
    <t>Design &amp; Planning,Model Making,Team Sports,Literature Competitions,Bharatnatyam</t>
  </si>
  <si>
    <t>9499 2429 4429</t>
  </si>
  <si>
    <t>KISHOR JALINDER MAHAJAN</t>
  </si>
  <si>
    <t>SHUBHANGI KISHOR MAHAJAN</t>
  </si>
  <si>
    <t>FLAT-2, K4, GAURIHAR, SINHAGAD ROAD</t>
  </si>
  <si>
    <t>C-9, Priyadarshini Residency, Mariaai Chowk</t>
  </si>
  <si>
    <t>ST. XAVIER'S SCHOOL</t>
  </si>
  <si>
    <t>ST. XAVIER'S SCHOOL, MAHAD</t>
  </si>
  <si>
    <t>ROTARY ENGLISH MEDIUM SCHOOL</t>
  </si>
  <si>
    <t>ROTARY ENGLISH MEDIUM SCHOOL, KHED-RATNAGIRI.</t>
  </si>
  <si>
    <t>PILLAI HOC COLLEGE OF ARCHITECTURE, RAIGAD</t>
  </si>
  <si>
    <t>AutoCAD,MS Office,MS Project,Sketchup,Vray,Keynote,Powerpoint</t>
  </si>
  <si>
    <t>GNA ARCHITECTS | ARCHITECT | Pune | May 2022 | May 2025 | 3Y 0M | 4.2</t>
  </si>
  <si>
    <t>Gray Architects | Project Monitoring-Audit &amp; Assurance | Pune | May 2026 | Jul 2026 | 8.7142857142857 Weeks | Campus Internship
GRAY ARCHITECTS | INTERN ARCHITECT  | PUNE | Nov 2021 | Apr 2022 | 25 Weeks</t>
  </si>
  <si>
    <t>P25702024</t>
  </si>
  <si>
    <t>Chirag Suresh Kamble</t>
  </si>
  <si>
    <t>kamblechirag153@gmail.com</t>
  </si>
  <si>
    <t>p25702024@student.nicmar.ac.in</t>
  </si>
  <si>
    <t>4304 5149 0461</t>
  </si>
  <si>
    <t>SURESH KAMBLE</t>
  </si>
  <si>
    <t>BUSSINESS MAN</t>
  </si>
  <si>
    <t>HEMLATA KAMBLE</t>
  </si>
  <si>
    <t>106 Vasant Veena Residency Muraka Layout Near Pawar Coaching Classes Bachlores Road Wardha</t>
  </si>
  <si>
    <t>ALPHONSA HIGH SCH SWANGI(MEGHE) WARDHA</t>
  </si>
  <si>
    <t>SHRI VYANKATESH JUNIOR COLLEGE</t>
  </si>
  <si>
    <t>MAHARASHTRA STATE BOARD NAGPUR/MAHARASHTRA</t>
  </si>
  <si>
    <t>RASHTRASANT TUKADOJI MAHARAJ NAGPUR UNIVERSITY , NAGPUR</t>
  </si>
  <si>
    <t>YASHWANTRAO CHAVAN COLLEGE OF ENGINEERING NAGPUR / MAHARASHTRA</t>
  </si>
  <si>
    <t>AutoCAD,MS Office,MS Project,Primavera,revit</t>
  </si>
  <si>
    <t>vama construction company | site execution | daman and [ardi | May 2026 | Jun 2026 | 8 Weeks | Campus Internship
Rajveer construction | Civil Engineer | Nagpur | Jan 2025 | May 2025 | 17.142857142857 Weeks
M/S Bhagwati builders | site trainee | Gondia | Nov 2023 | Dec 2023 | 4.2857142857143 Weeks</t>
  </si>
  <si>
    <t>Construction Planning &amp; Structural Analysi
Revit
autocad</t>
  </si>
  <si>
    <t>P25702025</t>
  </si>
  <si>
    <t>WARKE</t>
  </si>
  <si>
    <t>Himanshu Naresh Warke</t>
  </si>
  <si>
    <t>hwarke631@gmail.com</t>
  </si>
  <si>
    <t>p25702025@student.nicmar.ac.in</t>
  </si>
  <si>
    <t>06-Mar-2001</t>
  </si>
  <si>
    <t>5395 2985 0493</t>
  </si>
  <si>
    <t>A-3/501 , Tarangan Society , Gymkhana Road , Besides Dombivli Bus Stand , Dombivli East</t>
  </si>
  <si>
    <t>SISTER NIVEDITA ENGLISH MEDIUM SCHOOL</t>
  </si>
  <si>
    <t>ROYAL JUNIOR SCIENCE COLLEGE</t>
  </si>
  <si>
    <t>DR. VISHWANATH KARAD MIT WORLD PEACE UNIVERSITY10-</t>
  </si>
  <si>
    <t>MAHARASHTRA INSTITUTE OF TECHNOLOGY</t>
  </si>
  <si>
    <t>AutoCAD,MS Office,Advanced Excel</t>
  </si>
  <si>
    <t>Repplen Projects Private Limited  | Site Execution | New Sangavi , Pune | May 2026 | Jun 2026 | 8.1428571428571 Weeks | Campus Internship
VUB ENGINEERING PVT LTD | TRAINEE ENGINEER  | GHATKOPAR EAST ( SITE WAS UNDER MIDC DOMBIVALI DIVISION) | Dec 2022 | Mar 2023 | 12.857142857143 Weeks</t>
  </si>
  <si>
    <t>P25702026</t>
  </si>
  <si>
    <t>ROHITKUMAR</t>
  </si>
  <si>
    <t>Rishi Rohitkumar Agrawal</t>
  </si>
  <si>
    <t>agrawalrishi0208@gmail.com</t>
  </si>
  <si>
    <t>p25702026@student.nicmar.ac.in</t>
  </si>
  <si>
    <t>08-Feb-2003</t>
  </si>
  <si>
    <t>3764 5396 7820</t>
  </si>
  <si>
    <t>ROHITKUMAR AGRAWAL</t>
  </si>
  <si>
    <t>SHITAL AGRAWAL</t>
  </si>
  <si>
    <t>M.R.Saraf, Sadar Bazar, Paratwada</t>
  </si>
  <si>
    <t>DHRUV GLOBAL SCHOOL</t>
  </si>
  <si>
    <t>CENTRAL BOARD OF SECONDARY EDUCATION, SANGAMNER/MAHARASHTRA</t>
  </si>
  <si>
    <t>SMT. SUNDARABAI GOPALSWAMI MAHILA KANISHTHA MAHAVIDYALAYA</t>
  </si>
  <si>
    <t>MAHARASHTRA STATE BOARD OF SECONDARY AND HIGHER SECONDARY EDUCATION, PARATWADA/MAHARASHTRA</t>
  </si>
  <si>
    <t>SARDAR PATEL COLLEGE OF ENGINEERING, MUMBAI/MAHARASHTRA</t>
  </si>
  <si>
    <t>Vama Construction Company  | Site Execution  | Daman  | May 2026 | Jun 2026 | 8 Weeks | Campus Internship</t>
  </si>
  <si>
    <t>P25702027</t>
  </si>
  <si>
    <t>TIRTH</t>
  </si>
  <si>
    <t>KORUDUVAR</t>
  </si>
  <si>
    <t>Tirth Pravin Koruduvar</t>
  </si>
  <si>
    <t>koruduvartirthpravin@gmail.com</t>
  </si>
  <si>
    <t>p25702027@student.nicmar.ac.in</t>
  </si>
  <si>
    <t>01-Sep-2003</t>
  </si>
  <si>
    <t>English,Gujarati,Marathi,Hindi</t>
  </si>
  <si>
    <t>3783 2432 7622</t>
  </si>
  <si>
    <t>PRAVIN KORUDUVAR</t>
  </si>
  <si>
    <t>SONAL KORUDUVAR</t>
  </si>
  <si>
    <t>10, LILAVATI PARK SOCIETY, BESIDE HIRABHAI TOWER, OPPOSITE MIHIR TOWER, MANINAGAR</t>
  </si>
  <si>
    <t>SMT. P.B.D. JOSHI HIGH SCHOOL &amp; SECONDARY SCHOOL</t>
  </si>
  <si>
    <t>GUJARAT SECONDARY &amp; HIGHER SECONDARY EDUCATION BOARD , GANDHINAGAR</t>
  </si>
  <si>
    <t>DOON INTERNATIONAL PUBLIC SCHOOL</t>
  </si>
  <si>
    <t>NIRMA UNIVERSITY AHMEDABAD GUJARAT</t>
  </si>
  <si>
    <t>SHILP GROUP | Project Execution &amp; Planning Support - Intern | GIFT CITY  | Dec 2024 | Apr 2025 | 17 Weeks
SIDDHARTH Group | Site Operations &amp; Estimation Support - Intern | AHMEDABAD,GOTA | Jun 2024 | Jul 2024 | 5.5714285714286 Weeks</t>
  </si>
  <si>
    <t>PARTICIPATION IN "QUIZATHON 2.0"
ICI_INDIAN CONCRETE INSTITUTE MEMBER
BIM_WORKSHOP</t>
  </si>
  <si>
    <t>P25702028</t>
  </si>
  <si>
    <t>HARIBHAU</t>
  </si>
  <si>
    <t>GORE</t>
  </si>
  <si>
    <t>Mangesh Haribhau Gore</t>
  </si>
  <si>
    <t>mangeshgore100@gmail.com</t>
  </si>
  <si>
    <t>p25702028@student.nicmar.ac.in</t>
  </si>
  <si>
    <t>21-Nov-2000</t>
  </si>
  <si>
    <t>8441 8283 3453</t>
  </si>
  <si>
    <t>DEFENCE SERVICE</t>
  </si>
  <si>
    <t>SUCHITA</t>
  </si>
  <si>
    <t>At/po Bhenda BK, Tal- Newasa</t>
  </si>
  <si>
    <t>KENDRIYA VIDYALAYA R.H.E PUNE</t>
  </si>
  <si>
    <t>JIJAMATA JUNIOR COLLEGE BHENDA BK</t>
  </si>
  <si>
    <t>SANJIVANI COLLEGE OF ENGINEERING KOPARGAON</t>
  </si>
  <si>
    <t>AutoCAD,MS Project,Primavera,Microsoft Excel,SAP ERP</t>
  </si>
  <si>
    <t>Primaverse IDC LLP | Junior Civil Engineer  | Pune | Sep 2024 | Mar 2025 | 0Y 6M | 2.2</t>
  </si>
  <si>
    <t>VAMA Construction Company  | Site Execution  | Daman | May 2026 | Jun 2026 | 8 Weeks | Campus Internship
PRIMUS TECHSYSTEMS PVT. LTD. | SAP MATERIAL MANAGEMENT TRAINEE | PUNE  | Jun 2022 | Jul 2022 | 4.2857142857143 Weeks</t>
  </si>
  <si>
    <t>SAP MM S4/HANA
BIM Modelling</t>
  </si>
  <si>
    <t>P25702029</t>
  </si>
  <si>
    <t>UNNAT</t>
  </si>
  <si>
    <t>MORE</t>
  </si>
  <si>
    <t>Unnat Ravindra More</t>
  </si>
  <si>
    <t>moreunnat22@gmail.com</t>
  </si>
  <si>
    <t>p25702029@student.nicmar.ac.in</t>
  </si>
  <si>
    <t>8017 7536 7201</t>
  </si>
  <si>
    <t>RAVINDRA MORE</t>
  </si>
  <si>
    <t>SHITAL MORE</t>
  </si>
  <si>
    <t>Flat No.701,d1 Wing, Bluedice Society, Dehu Alandi Road, Chikhali, Pune</t>
  </si>
  <si>
    <t>NIRMAL BETHANY HIGH SCHOOL &amp; JR COLLEGE</t>
  </si>
  <si>
    <t>PIMPRI CHINCHWAD POLYTECHNIC, PUNE</t>
  </si>
  <si>
    <t>D.Y.PATIL SCHOOL OF ENGINEERING AND TECHNOLOGY, CHARHOLI, PUNE</t>
  </si>
  <si>
    <t>AutoCAD,MS Office,MS Project, QGIS, SAGA</t>
  </si>
  <si>
    <t>Centre For Development Of Advance Computing (CDAC), Pune | Intern | Pashan, Pune | Dec 2023 | Apr 2024 | 17.428571428571 Weeks</t>
  </si>
  <si>
    <t>Urban Land Economics and Real Estate Market Dynamics
Introduction to financial accounting</t>
  </si>
  <si>
    <t>P25702030</t>
  </si>
  <si>
    <t>NIMBHORKAR</t>
  </si>
  <si>
    <t>Shraddha Chandrakant Nimbhorkar</t>
  </si>
  <si>
    <t>nimbhorkarshraddha10@gmail.com</t>
  </si>
  <si>
    <t>p25702030@student.nicmar.ac.in</t>
  </si>
  <si>
    <t>10-Nov-2000</t>
  </si>
  <si>
    <t>9769 0086 0981</t>
  </si>
  <si>
    <t>CHANDRAKANT NIMBHORKAR</t>
  </si>
  <si>
    <t>SEMI GOVERNMENT EMPLOYEE</t>
  </si>
  <si>
    <t>ARCHANA NIMBHORKAR</t>
  </si>
  <si>
    <t>Shyam Nagar, Congress Nagar Road, Lane No. 5, Amravati</t>
  </si>
  <si>
    <t>SHRI SAMARTH HIGHSCHOOL, AMRAVATI</t>
  </si>
  <si>
    <t>AMRAVATI, MAHARASHTRA</t>
  </si>
  <si>
    <t>SHRI SAMARTH SECONDARY HIGHSCHOOL, AMRAVATI</t>
  </si>
  <si>
    <t>SANT GADGE BABA AMRAVATI UNIVERSITY, AMRAVATI, MAHARAHTRA</t>
  </si>
  <si>
    <t>P.R. PATIL COLLEGE OF ARCHITECTURE, AMRAVATI, MAHARASHTRA</t>
  </si>
  <si>
    <t>AutoCAD,MS Office,MS Project,Primavera,Vector Works,Sketchup,Lumion,Photoshop,Canva,Revit</t>
  </si>
  <si>
    <t>Kamdhenu Spaces LLP. | Design, Planning  &amp; Development | Pune | May 2026 | Jul 2026 | 8.7142857142857 Weeks | Campus Internship
Environs Architects, Planners, Landscape &amp; Interior Designers | Trainee Architect | Pune | Jul 2022 | Jan 2023 | 25.142857142857 Weeks</t>
  </si>
  <si>
    <t>P25702031</t>
  </si>
  <si>
    <t>Kartik Ravindra Kapse</t>
  </si>
  <si>
    <t>kartikkapse9666@gmail.com</t>
  </si>
  <si>
    <t>p25702031@student.nicmar.ac.in</t>
  </si>
  <si>
    <t>02-Aug-1999</t>
  </si>
  <si>
    <t>ENGLISH, MARATHI HINDI</t>
  </si>
  <si>
    <t>Cricket,Cooking</t>
  </si>
  <si>
    <t>7892 0376 0555</t>
  </si>
  <si>
    <t>RAKHI</t>
  </si>
  <si>
    <t>15, Ayodhaya Nagar, Nr Dinesh Cycle Store, Sai Mandir, Nagpur</t>
  </si>
  <si>
    <t>MAJOR HEMANT JAKATE INSTITUTE OF SCIENCE AND COMMERCE</t>
  </si>
  <si>
    <t>PRIYADARSHINI COLLAGE OF ENGINEERING</t>
  </si>
  <si>
    <t>AutoCAD,MS Office,REVIT ARCHITETCURE</t>
  </si>
  <si>
    <t>PUBLIC WORKS DEPARTMENT , DIVISION NO 1, NAGPUR | CIVIL ENGINEER TRAINEE   | NAGPUR | Jul 2022 | Aug 2022 | 2.1428571428571 Weeks</t>
  </si>
  <si>
    <t>P25702032</t>
  </si>
  <si>
    <t>Adarsh Akash</t>
  </si>
  <si>
    <t>ar.adarshakash@gmail.com</t>
  </si>
  <si>
    <t>p25702032@student.nicmar.ac.in</t>
  </si>
  <si>
    <t>08-Jan-2001</t>
  </si>
  <si>
    <t>Travelling and Exploring,Watching Documentaries,Listening to Podcasts</t>
  </si>
  <si>
    <t>4261 0557 0727</t>
  </si>
  <si>
    <t>AKASH LOUIS</t>
  </si>
  <si>
    <t>BINDU AKASH</t>
  </si>
  <si>
    <t>Parackal House, Pavana 147, Mother Teresa Nagar, Chethipuzha, Changanacherry</t>
  </si>
  <si>
    <t>INDIAN SCHOOL AL WADI AL KABIR</t>
  </si>
  <si>
    <t>BIRLA INSTITUTE OF TECHNOLOGY</t>
  </si>
  <si>
    <t>BIRLA INSTITUTE OF TECHNOLOGY, MESRA, RANCHI</t>
  </si>
  <si>
    <t>AutoCAD,MS Office,MS Project,Revit,SketchUp,Navisworks,Twinmotion,Enscape,Lumion,Adobe Photoshop,Adobe InDesign,Rhinoceros 3D,CCS Candy</t>
  </si>
  <si>
    <t>Al Abraj Consulting Engineers and Architects | Junior Architect | Muscat, Oman | Jun 2024 | Jul 2025 | 1Y 1M | 9.6</t>
  </si>
  <si>
    <t>ANAROCK Property Consultants Pvt. Ltd | Strategic Consulting Intern | Mumbai, India | May 2026 | Jul 2026 | 9.5714285714286 Weeks | Campus Internship
Design Kacheri | Intern Architect | Bangalore, India | Jan 2023 | Jun 2023 | 25.571428571429 Weeks</t>
  </si>
  <si>
    <t>Design Psychology &amp; User Experience in Architecture
Professional Revit &amp; BIM Certification Program
Professional Revit and BIM Certification Program - NAVISWORKS
Professional Revit and BIM Certification Program - AUTODESK REVIT and BIM 360
Project Optimization_ 3D to 6D BIM
Revit Fundamentals_ Building the Basics
Multidisciplinary Modeling_ LOD 100 to 350
Integrated Project Coordination &amp; Simulation
Council Of Architecture Registration Certificate</t>
  </si>
  <si>
    <t>P25702033</t>
  </si>
  <si>
    <t>SUMEDH</t>
  </si>
  <si>
    <t>SHISHIR</t>
  </si>
  <si>
    <t>Sumedh Shishir Kulkarni</t>
  </si>
  <si>
    <t>sumedh1425@gmail.com</t>
  </si>
  <si>
    <t>p25702033@student.nicmar.ac.in</t>
  </si>
  <si>
    <t>25-Sep-2002</t>
  </si>
  <si>
    <t>6470 7018 4195</t>
  </si>
  <si>
    <t>SONALI</t>
  </si>
  <si>
    <t>F1, SUPARNA HARMONY , NEAR WATER TANK , SOMWAR PETH , KARAD , 415110</t>
  </si>
  <si>
    <t>F1, Suparna Harmony , Near Water Tank , Somwar Peth , Karad , 415110</t>
  </si>
  <si>
    <t>PODAR INTERNATIONAL SCHOOL , KARAD</t>
  </si>
  <si>
    <t>KARAD , MAHARASHTRA</t>
  </si>
  <si>
    <t>SANJAY GHODAWAT IIT AND MEDICAL ACADEMY</t>
  </si>
  <si>
    <t>ATIGRE , KOLHAPUR</t>
  </si>
  <si>
    <t>Chaitanya Udyog  | Construction intern | Karad | May 2026 | Jul 2026 | 9.5714285714286 Weeks</t>
  </si>
  <si>
    <t>P25702034</t>
  </si>
  <si>
    <t>GUNVANTH</t>
  </si>
  <si>
    <t>G Gunvanth</t>
  </si>
  <si>
    <t>gunvanth.org@gmail.com</t>
  </si>
  <si>
    <t>p25702034@student.nicmar.ac.in</t>
  </si>
  <si>
    <t>7911 2450 1531</t>
  </si>
  <si>
    <t>G.KANTHA RAO</t>
  </si>
  <si>
    <t>CIVIL ENGINNER</t>
  </si>
  <si>
    <t>N.S.R.REVATHI</t>
  </si>
  <si>
    <t>20-4-31/B9,KOTHAPALLI,TIRUPATI,ANDHRA PRADESH</t>
  </si>
  <si>
    <t>2-35B Pudipatala,Pudipatala,Tirupathi Rural</t>
  </si>
  <si>
    <t>BOARD OF SECONDARY EDUCATION,TIRUPATHI,ANDHRA PRADESH</t>
  </si>
  <si>
    <t>BOARD OF INTERMEDIATE EDUCATION,VIJAYAWADA,ANDHRA PRADESH</t>
  </si>
  <si>
    <t>CHRIST UNIVERSITY</t>
  </si>
  <si>
    <t>THE BOARD OF CHRIST (DEEMAND TO UNIVERSITY),BANGLORE,KARNATAKA</t>
  </si>
  <si>
    <t>AutoCAD,MS Office,MS Project,Primavera,ETABS,SAP2000,STAAD.PRO,REVIT</t>
  </si>
  <si>
    <t>SRI VENKATESWARA PLANNERS &amp; BUILDERS | Site Coordination Intern | Tirupathi | May 2023 | Jun 2023 | 4.4285714285714 Weeks
SRI VENKATESWARA PLANNERS &amp; BUILDERS | Site Engineer Intern | TIRUPATHI | May 2022 | Jun 2022 | 4.5714285714286 Weeks</t>
  </si>
  <si>
    <t>P25702035</t>
  </si>
  <si>
    <t>Sharvari Rajesh Chaudhari</t>
  </si>
  <si>
    <t>sharvarichaudhari29@gmail.com</t>
  </si>
  <si>
    <t>p25702035@student.nicmar.ac.in</t>
  </si>
  <si>
    <t>29-Sep-2001</t>
  </si>
  <si>
    <t>Dancing,Travelling</t>
  </si>
  <si>
    <t>3198 4992 9945</t>
  </si>
  <si>
    <t>36/B , Nandanvan Bank Colony , Deopur , Dhule</t>
  </si>
  <si>
    <t>CHAVARA ENGLISH MEDIUM SCHOOL</t>
  </si>
  <si>
    <t>MAHARASHTRA STATE BOARD OF SECONDARY AND HIGHER SECONDARY EDUCATION , DHULE , MAHARASHTRA</t>
  </si>
  <si>
    <t>S.L.MALI JUNIOR COLLEGE</t>
  </si>
  <si>
    <t>MAHARASHTRA STATE BOARD OF SECONDARY AND HIGHER SECONDARY EDUCATION , TALODA , MAHARASHTRA</t>
  </si>
  <si>
    <t>JSPM'S RAJARSHI SHAHU COLLEGE OF ENGINEERING , TATHWADE , PUNE</t>
  </si>
  <si>
    <t>PYRAMID AXIS | SITE ENGINEER INTERN | TATHWADE , PUNE | Jun 2022 | Dec 2022 | 26.142857142857 Weeks</t>
  </si>
  <si>
    <t>DroneAcharya</t>
  </si>
  <si>
    <t>P25702036</t>
  </si>
  <si>
    <t>MITHILESH</t>
  </si>
  <si>
    <t>SUGANDH</t>
  </si>
  <si>
    <t>TAMBE</t>
  </si>
  <si>
    <t>Mithilesh Sugandh Tambe</t>
  </si>
  <si>
    <t>mithileshtambe709@gmail.com</t>
  </si>
  <si>
    <t>p25702036@student.nicmar.ac.in</t>
  </si>
  <si>
    <t>20-Jun-2001</t>
  </si>
  <si>
    <t>8484 5284 9046</t>
  </si>
  <si>
    <t>SUGANDH MANAJI TAMBE</t>
  </si>
  <si>
    <t>TEACHER+</t>
  </si>
  <si>
    <t>Kamat Shrushti Apartment, Parabwadi, Kankavli, Sindhudurg</t>
  </si>
  <si>
    <t>VIDYAMANDIR HIGHSCHOOL KANKAVLI</t>
  </si>
  <si>
    <t>KANKAVLI COLLEGE KANKAVLI</t>
  </si>
  <si>
    <t>DHOLEPATIL COLLEGE OF ENGINEERING PUNE</t>
  </si>
  <si>
    <t>AutoCAD,MS Office,MS Project,Quantity Surveying</t>
  </si>
  <si>
    <t>GURU CONSTRUCTION | SITE ENGINEER | JUNNAR | May 2022 | Jun 2022 | 7.8571428571429 Weeks</t>
  </si>
  <si>
    <t>P25702037</t>
  </si>
  <si>
    <t>BHUVANESH</t>
  </si>
  <si>
    <t>HAUSHILAPRASAD</t>
  </si>
  <si>
    <t>Bhuvanesh Haushilaprasad Pandey</t>
  </si>
  <si>
    <t>bhuvaneshpandey4@gmail.com</t>
  </si>
  <si>
    <t>p25702037@student.nicmar.ac.in</t>
  </si>
  <si>
    <t>27-Sep-2001</t>
  </si>
  <si>
    <t>4720 4012 7410</t>
  </si>
  <si>
    <t>HAUSHILAPRASAD PANDEY</t>
  </si>
  <si>
    <t>SUREKHA HAUSHILAPRASAD PANDEY</t>
  </si>
  <si>
    <t>Room 6 Sarvoday Chawl Azad Wadi Damu Nagar Akurli Road Kandivali East</t>
  </si>
  <si>
    <t>COSMOPOLITAN HIGH SCHOOL</t>
  </si>
  <si>
    <t>MAHARASHTRA STATE BOARD MUMBAI MAHARASHTRA</t>
  </si>
  <si>
    <t>SHREE L.R TIWARI COLLEGE OF ENGINEERING  THANE MAHARASHTRA</t>
  </si>
  <si>
    <t>AutoCAD,MS Office,MS Project,Primavera,Revit,BIM</t>
  </si>
  <si>
    <t>PSP PROJECTS LTD | Civil Intern | Mumbai | May 2026 | Jul 2026 | 8.7142857142857 Weeks | Campus Internship
Shree Laxminarayan Infrastructure | Assistant Engineer | Mira Bhayandar | Jul 2022 | Jan 2023 | 26.142857142857 Weeks
Shree Laxminarayan Infrastructure | Assistant Engineer | Mira Bhayandar | Jun 2022 | Jul 2022 | 4.1428571428571 Weeks</t>
  </si>
  <si>
    <t>P25702038</t>
  </si>
  <si>
    <t>GAJANAN</t>
  </si>
  <si>
    <t>KHARPURIYA</t>
  </si>
  <si>
    <t>Mohit Gajanan Kharpuriya</t>
  </si>
  <si>
    <t>kharpuriyamohit01@gmail.com</t>
  </si>
  <si>
    <t>p25702038@student.nicmar.ac.in</t>
  </si>
  <si>
    <t>3443 6290 6509</t>
  </si>
  <si>
    <t>GAJANAN BADASHA KHARPURIYA</t>
  </si>
  <si>
    <t>AGRICULTURE OFFICER</t>
  </si>
  <si>
    <t>MEENA GAJANAN KHARPURIYA</t>
  </si>
  <si>
    <t>Pl No 55  Kirti Nagar Near Amit High School Dighori Nagpur Maharashtra</t>
  </si>
  <si>
    <t>SOUTH POINT HIGH SCHOOL</t>
  </si>
  <si>
    <t>SECONDARY SCHOOL CERTIFICATE, NAGPUR MAHARASHTRA</t>
  </si>
  <si>
    <t>ST. PAUL SCIENCE AND COMMERCE JUNIOR COLLEGE</t>
  </si>
  <si>
    <t>HIGHER SECONDARY CERTIFICATE NAGPUR MAHARASHTRA</t>
  </si>
  <si>
    <t>KARMAVIR DADASAHEB KANNAMWAR COLLEGE OF ENGINEERING NAGPUR MAHARASHTRA</t>
  </si>
  <si>
    <t>AT DESIGN STUDIO | Junior Executive Engineer and Supervisor  | Nagpur | Jun 2022 | Jun 2024 | 2Y 0M | 3</t>
  </si>
  <si>
    <t>R Sandesh Infrastructure Pvt. Ltd | Project Management Intern | Nagpur  | May 2026 | Jun 2026 | 8.1428571428571 Weeks | Campus Internship</t>
  </si>
  <si>
    <t>P25702039</t>
  </si>
  <si>
    <t>ANOUSHKA</t>
  </si>
  <si>
    <t>Anoushka Das</t>
  </si>
  <si>
    <t>das.anoushka@gmail.com</t>
  </si>
  <si>
    <t>p25702039@student.nicmar.ac.in</t>
  </si>
  <si>
    <t>7644 2292 2153</t>
  </si>
  <si>
    <t>ANIRUDDHA DAS</t>
  </si>
  <si>
    <t>DIRECTOR - HOSPITALITY INSTITUTE (MAIIHM)</t>
  </si>
  <si>
    <t>MAHUA DAS</t>
  </si>
  <si>
    <t>IELTS/PTE TRAINER</t>
  </si>
  <si>
    <t>C-F3, Milroc Ribandar Retreat, Alto Ribandar, Tiswadi, North Goa</t>
  </si>
  <si>
    <t>ANAND NIKETAN, AHMEDABAD</t>
  </si>
  <si>
    <t>INDIAN CERTIFICATE OF SECONDARY EDUCATION EXAMINATION (ICSE), AHMEDABAD, GUJARAT</t>
  </si>
  <si>
    <t>THE NEW TULIP INTERNATIONAL SCHOOL</t>
  </si>
  <si>
    <t>CENTRAL BOARD OF SECONDARY EDUCATION (CBSE), AHMEDABAD, GUJARAT</t>
  </si>
  <si>
    <t>INSTITUTE OF ARCHITECTURE AND PLANNING, NIRMA UNIVERSITY, AHMEDABAD, GUJARAT</t>
  </si>
  <si>
    <t>AutoCAD,MS Office,MS Project,Adobe InDesign,Adobe Illustrator,ArcGIS,QGIS,CorelDraw,Photoshop basics,MSP</t>
  </si>
  <si>
    <t>The Society for Development Alternatives Group | Fellow - Resource Efficiency and Circular Economy | New Delhi | Aug 2022 | Aug 2023 | 0Y 11M | 3.72</t>
  </si>
  <si>
    <t>Modulus Housing (Debrique Creative Labs Pvt. Ltd.) | Summer Intern | Chennai, India | May 2026 | Jul 2026 | 9.7142857142857 Weeks | Campus Internship
The Society for Development Alternatives Group | Summer Intern - Circular Economy and Resource Efficiency | Remote | Jun 2021 | Aug 2021 | 10 Weeks</t>
  </si>
  <si>
    <t>Urban Policy and City Planning Cohort 2
Data, Monitoring and Evaluation â€“ Cohort 2.0
An Introduction to Climate Finance
Urban Land Economics and Real Estate Market Dynamics
Introduction to Financial Accounting</t>
  </si>
  <si>
    <t>P25702040</t>
  </si>
  <si>
    <t>Ashutosh Ashutosh</t>
  </si>
  <si>
    <t>ashutoshmalra23@gmail.com</t>
  </si>
  <si>
    <t>p25702040@student.nicmar.ac.in</t>
  </si>
  <si>
    <t>23-Jul-2002</t>
  </si>
  <si>
    <t>8462 9348 6815</t>
  </si>
  <si>
    <t>JAIVIR SINGH</t>
  </si>
  <si>
    <t>ANITA RANI</t>
  </si>
  <si>
    <t>43/12 , Gali No-1,Mehlana Road, Ashok Vihar</t>
  </si>
  <si>
    <t>Sonipat</t>
  </si>
  <si>
    <t>LITTLE ANGELS SCHOOL</t>
  </si>
  <si>
    <t>CBSE BOARD, SONIPAT,HARYANA</t>
  </si>
  <si>
    <t>CBSE BOARD,SONIPAT,HARYANA</t>
  </si>
  <si>
    <t>PES UNIVERSITY,BANGALORE,KARNATAKA</t>
  </si>
  <si>
    <t>PES UNIVERSITY, BANGALORE, KARNATAKA</t>
  </si>
  <si>
    <t>MS Office,MS Project,Financial Modeling,Market Feasibility</t>
  </si>
  <si>
    <t>ASHIANA HOUSING LIMITED |  Senior Executive | Bhiwadi,Rajasthan | Apr 2025 | Jul 2025 | 0Y 3M | 5.16
AddRec Solutions Pvt Ltd (JLL) | Senior Executive | Gururgam,Haryana | Mar 2024 | Mar 2025 | 1Y 0M | 3.26
Bellator Media | Sales Executive | Gurugram,Haryana | Oct 2023 | Mar 2024 | 0Y 5M | 3.36</t>
  </si>
  <si>
    <t>TruBoard Partners  | Asset Management Intern | Gurgaon, Haryana, India | May 2026 | Jun 2026 | 8.1428571428571 Weeks | Campus Internship
IIM Bangalore Vista 2021 | Campus Ambassador | Online | Jun 2021 | Jul 2021 | 8.5714285714286 Weeks
Hoovinahole Prathistana Foundation | Corporate Social Internship | Bengaluru, Karnataka | Oct 2021 | Nov 2021 | 4.2857142857143 Weeks
Om Patterns Lam | Marketing Intern | Bengaluru, Karnataka | Jun 2022 | Aug 2022 | 7.4285714285714 Weeks</t>
  </si>
  <si>
    <t>PESIO: Basics of Marketing
CFI: Financial Modeling and Forecasting Financial Statements
CFI:Corporate Finance Foundation
The Real Estate Financial Modeling Bootcamp
Urban Land Economics and Real Estate Market Dynamics
Introduction to Financial Accounting</t>
  </si>
  <si>
    <t>P25702041</t>
  </si>
  <si>
    <t>TENDULKAR</t>
  </si>
  <si>
    <t>Manas Milind Tendulkar</t>
  </si>
  <si>
    <t>manastendulkar7@gmail.com</t>
  </si>
  <si>
    <t>p25702041@student.nicmar.ac.in</t>
  </si>
  <si>
    <t>06-Feb-2004</t>
  </si>
  <si>
    <t>English , Hindi and Marathi</t>
  </si>
  <si>
    <t>9753 7081 5973</t>
  </si>
  <si>
    <t>DEVELOPER ( CONSTRUCTION )</t>
  </si>
  <si>
    <t>Plot No. 26 , Society No. 2 ,R.K.Nagar , Kolhapur</t>
  </si>
  <si>
    <t>PRIVATE HIGHSCHOOL , KOLHAPUR</t>
  </si>
  <si>
    <t>RAJARAM COLLEGE, KOLHAPUR</t>
  </si>
  <si>
    <t>AutoCAD,MS Office,MS Project,Revit,power Bi</t>
  </si>
  <si>
    <t>Ira construction | Site engineer | Kolhapur | Jun 2024 | Jul 2024 | 4.4285714285714 Weeks</t>
  </si>
  <si>
    <t>Corporate finance (NPTEL)
Equity market analyst</t>
  </si>
  <si>
    <t>P25702042</t>
  </si>
  <si>
    <t>TEJASHVI</t>
  </si>
  <si>
    <t>Tejashvi Raj</t>
  </si>
  <si>
    <t>tejashviraj999@gmail.com</t>
  </si>
  <si>
    <t>p25702042@student.nicmar.ac.in</t>
  </si>
  <si>
    <t>09-Sep-2004</t>
  </si>
  <si>
    <t>4061 7210 5947</t>
  </si>
  <si>
    <t>PALLAVI KASHYAP</t>
  </si>
  <si>
    <t>BUSINESSES WOMAN</t>
  </si>
  <si>
    <t>Near North Point School, Behind L.I.C Divisional Office, Devi Mandir, Ramna</t>
  </si>
  <si>
    <t>Muzaffarpur</t>
  </si>
  <si>
    <t>SHANTI NIKETAN SENIOR SECONDARY SCHOOL</t>
  </si>
  <si>
    <t>CENTRAL BOARD OF SECONDARY EDUCATION, MUZAFFARPUR,BIHAR</t>
  </si>
  <si>
    <t>INSTITUDE OF INFRASTRUCTURE TECHNOLOGY RESERACH AND MANAGEMENT</t>
  </si>
  <si>
    <t>INSTITUTE OF INFRASTRUCTURE, TECHNOLOGY, RESEARCH AND MANAGEMENT,AHMEDABAD,GUJARAT</t>
  </si>
  <si>
    <t>AutoCAD,MS Office,MS Project,Etabs,Revit,SAP,Staad-Pro,SNAP,Candy,Stakeholder Management,Resources Management,Negotiations</t>
  </si>
  <si>
    <t>Acmegrade | Construction Planner | Online | Dec 2023 | Feb 2024 | 8.8571428571429 Weeks</t>
  </si>
  <si>
    <t>Undergraduate Research Award
Appreciation of Academic Performance
Sustainable Urban Water Systems
Urban Land Economics and Real Estate Market Dynamics
Certificate in Autodesk Revit
Project Management - Initiation and Planning
Project Planning and Execution Management
The Principles of Real Estate</t>
  </si>
  <si>
    <t>P25702043</t>
  </si>
  <si>
    <t>Yash Anil Rathod</t>
  </si>
  <si>
    <t>yashrathod2211@gmail.com</t>
  </si>
  <si>
    <t>p25702043@student.nicmar.ac.in</t>
  </si>
  <si>
    <t>06-Mar-2002</t>
  </si>
  <si>
    <t>3328 7264 4584</t>
  </si>
  <si>
    <t>ANIL PANDURANG RATHOD</t>
  </si>
  <si>
    <t>IUDP COLONY_x000D_
NEAR MAHAKALI MANDIR_x000D_
WASHIM</t>
  </si>
  <si>
    <t>SHRI SHIVAJI HIGH SCHOOL</t>
  </si>
  <si>
    <t>GOVERMENT POLYTECHNIC WASHIM</t>
  </si>
  <si>
    <t>P.R.POTE COLLEGE OF ENGINEERING AND MANAGMENT</t>
  </si>
  <si>
    <t>Sagar Skyscrapers LLP | Trainee Junior Engineer | Pune | May 2026 | Jul 2026 | 8.8571428571429 Weeks | Campus Internship
SUNIL KAWARKHE ASSOCIATE | ITERN | WASHIM | May 2022 | Jun 2022 | 5.8571428571429 Weeks
Rukmini Developer | Itern | Washim | May 2019 | Jun 2019 | 5.8571428571429 Weeks</t>
  </si>
  <si>
    <t>Construction project management</t>
  </si>
  <si>
    <t>P25702044</t>
  </si>
  <si>
    <t>MITHLESH</t>
  </si>
  <si>
    <t>GUNASEKAR</t>
  </si>
  <si>
    <t>Mithlesh Gunasekar</t>
  </si>
  <si>
    <t>mithleshgunasekar13@gmail.com</t>
  </si>
  <si>
    <t>p25702044@student.nicmar.ac.in</t>
  </si>
  <si>
    <t>13-Jul-2002</t>
  </si>
  <si>
    <t>ENGLISH,TAMIL,TELUGU,HINDI</t>
  </si>
  <si>
    <t>4216 7159 7296</t>
  </si>
  <si>
    <t>GUNASEKAR D</t>
  </si>
  <si>
    <t>AKILA G</t>
  </si>
  <si>
    <t>8 A, Shri Ranga Layout -1, Nallampalayam</t>
  </si>
  <si>
    <t>BHARATIYA VIDYA BHAVAN MATRICULATION HIGHER SECONDARY SCHOOL</t>
  </si>
  <si>
    <t>STATE BOARD OF TAMIL NADU COIMBATORE</t>
  </si>
  <si>
    <t>BHARATHIAR UNIVERSITY</t>
  </si>
  <si>
    <t>DR. G. R. DAMODARAN COLLEGE OF SCIENCE</t>
  </si>
  <si>
    <t>Address Advisors | Intern BD | Chennai | May 2026 | Jul 2026 | 8.1428571428571 Weeks | Campus Internship
AQUASUBA ENGINEERING | TRAINEE | COIMBATORE  | Jul 2022 | Jul 2022 | 3.4285714285714 Weeks</t>
  </si>
  <si>
    <t>Housing Policy &amp; Planning</t>
  </si>
  <si>
    <t>P25702045</t>
  </si>
  <si>
    <t>GAYATHRI</t>
  </si>
  <si>
    <t>Gayathri Gopal</t>
  </si>
  <si>
    <t>gayathrikothanath@gmail.com</t>
  </si>
  <si>
    <t>p25702045@student.nicmar.ac.in</t>
  </si>
  <si>
    <t>6028 7535 7869</t>
  </si>
  <si>
    <t>GOPAL KONGOT</t>
  </si>
  <si>
    <t>CHARTERED ACCOUNTANT</t>
  </si>
  <si>
    <t>GIRIJA GOPAL</t>
  </si>
  <si>
    <t>Sai Gayatri , 68/1335-C, Semitherymukku, Chittoor Road, Kacheripady, Ernakulam, Kerala 682018</t>
  </si>
  <si>
    <t>BHAVAN'S VARUNA VIDYALAYA</t>
  </si>
  <si>
    <t>CENTRAL BOARD OF SECONDARY EDUCATION, ERNAKULAM, KERALA</t>
  </si>
  <si>
    <t>MAHATMA GANDHI UNIVERSITY, KOTTAYAM, KERALA</t>
  </si>
  <si>
    <t>MANGALAM SCHOOL OF ARCHITECTURE AND PLANNING (MASAP), ETTUMANOOR, KOTTAYAM, KERALA</t>
  </si>
  <si>
    <t>AutoCAD,Sketchup,Adobe Photoshop,Adobe InDesign,Lumion,V-ray,Enscape</t>
  </si>
  <si>
    <t>Stikcon | Jr. Architect | Ernakulam, Kerala | Feb 2024 | Apr 2025 | 1Y 2M | 2.4</t>
  </si>
  <si>
    <t>Kalpataru Limited  | Product Development Intern  | Mumbai  | May 2026 | Jul 2026 | 9.5714285714286 Weeks | Campus Internship
Ensemble Architects | Intern Architect | Banalore | Nov 2022 | Feb 2023 | 16 Weeks</t>
  </si>
  <si>
    <t>P25702046</t>
  </si>
  <si>
    <t>NIDHI</t>
  </si>
  <si>
    <t>HARSHAD</t>
  </si>
  <si>
    <t>CHOTALIYA</t>
  </si>
  <si>
    <t>Nidhi Harshad Chotaliya</t>
  </si>
  <si>
    <t>nidhichotaliya04@gmail.com</t>
  </si>
  <si>
    <t>p25702046@student.nicmar.ac.in</t>
  </si>
  <si>
    <t>19-Jan-2001</t>
  </si>
  <si>
    <t>ENGLISH,HINDI,GUJARATI,MARATHI</t>
  </si>
  <si>
    <t>5365 8148 9498</t>
  </si>
  <si>
    <t>BINA</t>
  </si>
  <si>
    <t>16,Chaya Prakash, Shivaji Nagar,Mulund Checknaka , Thane</t>
  </si>
  <si>
    <t>SHETH KARAMSHI KANJI ENGLISH SCHOOL</t>
  </si>
  <si>
    <t>CBSE MUMBAI</t>
  </si>
  <si>
    <t>K J SOMAIYA COLLEGE OF SCIENCE AND COMMERCE</t>
  </si>
  <si>
    <t>HSC MUMBAI</t>
  </si>
  <si>
    <t>INDIAN EDUCATION SOCIETY'S COLLEGE OF ARCHITECTURE,MUMBAI</t>
  </si>
  <si>
    <t>AutoCAD,MS Office,MS Project,Sketchup,photoshop,enscape,vu city,AutoCAD</t>
  </si>
  <si>
    <t>Beyonddesign Studio | Junior Architect | Mumbai | Feb 2025 | Jun 2025 | 0Y 4M | 3
Krishnan Parvez Architects | Junior Architect | Mumbai | Jul 2024 | Dec 2024 | 0Y 5M | 2.88</t>
  </si>
  <si>
    <t>Kalpataru Limited | Business Development Intern | Mumbai | May 2026 | Jul 2026 | 9.5714285714286 Weeks | Campus Internship
NIKHIL MAHASHUR AND ASSOCIATES | INTERN ARCHITECT | MUMBAI | Aug 2022 | Jul 2023 | 48 Weeks
METIS PRACTICE | INTERN ARCHITECT | MUMBAI | Apr 2022 | Jul 2022 | 13.428571428571 Weeks</t>
  </si>
  <si>
    <t>P25702048</t>
  </si>
  <si>
    <t>VISHRAM</t>
  </si>
  <si>
    <t>Shubham Vishram Chavan</t>
  </si>
  <si>
    <t>shubhamchavan.yc@gmail.com</t>
  </si>
  <si>
    <t>p25702048@student.nicmar.ac.in</t>
  </si>
  <si>
    <t>18-Dec-2000</t>
  </si>
  <si>
    <t>FOOTBALL,TRAVELLING,RIDING MOTORCYCLES,TREKKING,GYM</t>
  </si>
  <si>
    <t>5179 7909 6397</t>
  </si>
  <si>
    <t>VISHRAM DATTARAM CHAVAN</t>
  </si>
  <si>
    <t>JYOTI VISHRAM CHAVAN</t>
  </si>
  <si>
    <t>305/24,Sulochana CHS,Sector:-2,Near Charkop Police Station,Kandivali(West),Mumbai.</t>
  </si>
  <si>
    <t>ROOM NO 5,2ND FLOOR,ASHIRWAD BUILDING, OPPOSITE CHAVAN RESIDENCY,NEAR DHANAHREE PARK,PARKHE VASTI, SUS GAON, PUNE.</t>
  </si>
  <si>
    <t>MOTHER TERESA ENGLISH SECONDARY SCHOOL, KANDIVALI(WEST),MUMBAI.</t>
  </si>
  <si>
    <t>MAHARASHTRA STATE BOARD OF SECONDARY &amp; HIGHER SECONDARY EDUCATION, PUNE.</t>
  </si>
  <si>
    <t>DIPOLMA IN CIVIL ENGINEERING.</t>
  </si>
  <si>
    <t>THAKUR POLYTECHNIC, KANDIVALI(E), MUMBAI,MAHARASHTRA.</t>
  </si>
  <si>
    <t>UNIVERSAL COLLEGE OF ENGINEERING, VASAI, MAHARASHTRA.</t>
  </si>
  <si>
    <t>AutoCAD,MS Office,MS Project,Primavera,Candy,Autodesk BIM,Project Planning,Project Scheduling,Project Monitoring &amp; Control,Drawing interpretation,Ǫuantity Surveying of RCC works,Documentation Management,Material Management,Drawing management,Labor &amp; Staff</t>
  </si>
  <si>
    <t>Talib &amp; Shamsi.Pvt.Ltd. | Planning Engineer. | Borivali (East), Mumbai-400066. | Jan 2024 | Jun 2025 | 1Y 5M | 3.6
Thakur Polytechnic. | Lecturer. | Kandivali (East), Mumbai-400101. | Jul 2023 | Jan 2024 | 0Y 5M | 2.4</t>
  </si>
  <si>
    <t>Sobha Limited-India | Project Planning Intern | Bangalore | May 2026 | Jul 2026 | 9 Weeks | Campus Internship
Pentacle Consultants. | Trainee Engineer. | Powai,Mumbai-400079 | May 2019 | Jun 2019 | 5.7142857142857 Weeks</t>
  </si>
  <si>
    <t>Winners of Kabaddi in Intra College Sports &amp; Cultural Fest(Aurora 2023).
Course on Auto cad 2D,Certified by Max computer education, Kandivali (West),Mumbai.
Course on Primavera Project Management (P6),Certified by Cadd center,Andheri (East), Mumbai.</t>
  </si>
  <si>
    <t>P25702049</t>
  </si>
  <si>
    <t>PRAJAPATI</t>
  </si>
  <si>
    <t>ILESHBHAI</t>
  </si>
  <si>
    <t>Prajapati Aditya Ileshbhai</t>
  </si>
  <si>
    <t>prajapatiadi0223@gmail.com</t>
  </si>
  <si>
    <t>p25702049@student.nicmar.ac.in</t>
  </si>
  <si>
    <t>13-Apr-2002</t>
  </si>
  <si>
    <t>English, Hindi and Gujarati</t>
  </si>
  <si>
    <t>5209 4675 1948</t>
  </si>
  <si>
    <t>ILESHBHAI CHIMANBHAI PRAJAPATI</t>
  </si>
  <si>
    <t>SHARMISTHABEN ILESHBHAI PRAJAPATI</t>
  </si>
  <si>
    <t>Govardhan Park Society, Collage Chokdi</t>
  </si>
  <si>
    <t>Anand</t>
  </si>
  <si>
    <t>ST. MARY'S HIGH SCHOOL</t>
  </si>
  <si>
    <t>KNOWLEDGE HIGH SCHOOL</t>
  </si>
  <si>
    <t>B AND B INSTITUTE OF TECHNOLOGY, V V NAGAR</t>
  </si>
  <si>
    <t>DHARMSINH DESAI UNIVERSITY</t>
  </si>
  <si>
    <t>DHARMSINH DESAI UNIVERSITY, NADIAD</t>
  </si>
  <si>
    <t>RUDRANI INFRASTRUCTURE &amp; DEVELOPER | Project Management Intern | VADODARA | May 2026 | Jul 2026 | 8.7142857142857 Weeks | Campus Internship
Road and Building department Anand | Supervisor  | Anand | Feb 2024 | Mar 2025 | 60.142857142857 Weeks</t>
  </si>
  <si>
    <t>P25702050</t>
  </si>
  <si>
    <t>NIPUN</t>
  </si>
  <si>
    <t>GARUD</t>
  </si>
  <si>
    <t>Nipun Garud</t>
  </si>
  <si>
    <t>nipun.patil2002@gmail.com</t>
  </si>
  <si>
    <t>p25702050@student.nicmar.ac.in</t>
  </si>
  <si>
    <t>19-Oct-2002</t>
  </si>
  <si>
    <t>Chess,cricket,reading books,travelling</t>
  </si>
  <si>
    <t>8634 0814 1855</t>
  </si>
  <si>
    <t>PRAVIN GARUD</t>
  </si>
  <si>
    <t>PALLAVI GARUD</t>
  </si>
  <si>
    <t>519 A Usha Nagar Ext,Indore,M.P,254009</t>
  </si>
  <si>
    <t>CHHATRAPATI SHIVAJI PUBLIC SCHOOL</t>
  </si>
  <si>
    <t>SHRI VAISHNAV POLYTECHNIC COLLEGE INDORE M.P</t>
  </si>
  <si>
    <t>RAJIV GANDHI PROUDYOGIKI VISHWAVIDYALAYA,BHOPAL</t>
  </si>
  <si>
    <t>ACROPOLIS INSTITUTE OF TECHNOLOGY &amp; RESEARCH, INDORE, M.P</t>
  </si>
  <si>
    <t>AutoCAD,MS Office,MS Project,Primavera,3DS MAX,TABLEAU,POWER BI,EXCEL AI,BIM,REVIT</t>
  </si>
  <si>
    <t>EZ REALTY  | Real Estate Market Research Intern | Kharadi, Pune | May 2026 | Jul 2026 | 8.7142857142857 Weeks | Campus Internship
Make My House | 2D &amp; 3D Designer  | Indore, Madhya Pradesh  | Dec 2021 | Mar 2023 | 65 Weeks</t>
  </si>
  <si>
    <t>P25702051</t>
  </si>
  <si>
    <t>GANGANAPALLI</t>
  </si>
  <si>
    <t>MUSKIN</t>
  </si>
  <si>
    <t>Ganganapalli Muskin</t>
  </si>
  <si>
    <t>muskinganganapalli89@gmail.com</t>
  </si>
  <si>
    <t>p25702051@student.nicmar.ac.in</t>
  </si>
  <si>
    <t>05-Aug-2002</t>
  </si>
  <si>
    <t>ENGLISH,HINDI,TELUGU,KANNADA</t>
  </si>
  <si>
    <t>GARDENING,TRAVELING,CRICKET</t>
  </si>
  <si>
    <t>4049 9009 6186</t>
  </si>
  <si>
    <t>GANGANAPALLI RAGHUF</t>
  </si>
  <si>
    <t>GANGANAPALLI MUSKINAMMA</t>
  </si>
  <si>
    <t>MAIN ROAD_x000D_
NEAR GOVERNMENT HIGH SCHOOL TALUPULA</t>
  </si>
  <si>
    <t>6-164,Ganjivaripalli (v), Talupula Mandal,Vepamanipeta</t>
  </si>
  <si>
    <t>SREE VALMEEKI E M HIGH SCHOOL</t>
  </si>
  <si>
    <t>BOARD OF  SECONDARY EDUCATION ,ANDHRA PRADESH</t>
  </si>
  <si>
    <t>SRI CHAITANYA JUNIOR COLLEGE,TIRUPATI</t>
  </si>
  <si>
    <t>MADANAPALLE INSTITUTE OF TECHNOLOGY AND SCIENCE</t>
  </si>
  <si>
    <t>SURYA PRIYA CONSTRUCTIONS PRIVATE LIMITED | SITE ENGINEER | Hosakote, Bangalore | Jan 2024 | Jun 2025 | 1Y 4M | 4.67</t>
  </si>
  <si>
    <t>P25702052</t>
  </si>
  <si>
    <t>Ayush Santosh Jadhav</t>
  </si>
  <si>
    <t>ayushjadhav14@gmail.com</t>
  </si>
  <si>
    <t>p25702052@student.nicmar.ac.in</t>
  </si>
  <si>
    <t>14-Feb-2001</t>
  </si>
  <si>
    <t>3935 1515 3132</t>
  </si>
  <si>
    <t>SANTOSH JADHAV</t>
  </si>
  <si>
    <t>TEJASWI JADHAV</t>
  </si>
  <si>
    <t>GOVT LEACTURER</t>
  </si>
  <si>
    <t>1307a Renuka Nivas Foujdar Galli Satyavijay Chowk Rissila Road Khanbhag Sangli</t>
  </si>
  <si>
    <t>CAMBRIDGE JR COLLAHE</t>
  </si>
  <si>
    <t>RAJARAMBAPU INSTITUTE OF TECHNOLOGY SAKHARALE ISLAMPUR</t>
  </si>
  <si>
    <t>Mantra Properties And Developers Pvt Ltd | Land Acquisition &amp; Business Developement  | Pune  | May 2026 | Jul 2026 | 8.7142857142857 Weeks | Campus Internship
MANTRA PROPERTIES AND DEVELOPERS PVT LTD | INTERN PROJECT CO-ORDINATOR RE-DEVELOMENT DIVISION | PUNE MUMBAI  | Jan 2023 | May 2023 | 20 Weeks</t>
  </si>
  <si>
    <t>Engineering Problem Solving using TK Solver and Advanced MS Excel Organized by Department of Civil Engineering of Rajarambapu Institute of Technology In Association with ICACI RIT Student Chapter "CONCRITUS"</t>
  </si>
  <si>
    <t>P25702053</t>
  </si>
  <si>
    <t>SURENDRA</t>
  </si>
  <si>
    <t>Kaushal Surendra Shetty</t>
  </si>
  <si>
    <t>kaushalshetty188@gmail.com</t>
  </si>
  <si>
    <t>p25702053@student.nicmar.ac.in</t>
  </si>
  <si>
    <t>ENGLISH , HINDI , MARATHI , TULU</t>
  </si>
  <si>
    <t>Unconventional travelling,Volunteeering and social impact,Edurance sports,Creative arts</t>
  </si>
  <si>
    <t>7839 2968 3005</t>
  </si>
  <si>
    <t>SURENDRA SHETTY</t>
  </si>
  <si>
    <t>SMITHA SHETTY</t>
  </si>
  <si>
    <t>Plot No 18 Sai Vrandavan Colony Paithan Road</t>
  </si>
  <si>
    <t>CHHATRAPATI SHIVAJI PREPARATORY HIGH SCHOOL</t>
  </si>
  <si>
    <t>MAHARASTRA</t>
  </si>
  <si>
    <t>MIT ACADEMY OF ENGINEERING</t>
  </si>
  <si>
    <t>AutoCAD,MS Office,MS Project,MS Excel</t>
  </si>
  <si>
    <t>GIGFACTORY | BUISNESS DEVELOPMENT | MUMBAI | May 2026 | Jul 2026 | 8.7142857142857 Weeks | Campus Internship
INTERNSHIPWALA CAREERS | BUILDING CONSTRUCTOR | PUNE | Jun 2021 | Aug 2021 | 8.7142857142857 Weeks</t>
  </si>
  <si>
    <t>P25702054</t>
  </si>
  <si>
    <t>SHRIVASTAVA</t>
  </si>
  <si>
    <t>Yash Rajesh Shrivastava</t>
  </si>
  <si>
    <t>yash130502@gmail.com</t>
  </si>
  <si>
    <t>p25702054@student.nicmar.ac.in</t>
  </si>
  <si>
    <t>13-May-2002</t>
  </si>
  <si>
    <t>ENGLISH, HINDI ,MARATHI</t>
  </si>
  <si>
    <t>6540 4120 1327</t>
  </si>
  <si>
    <t>RAJESH SHRIVASTAVA</t>
  </si>
  <si>
    <t>MAMTA SHRIVASTAVA</t>
  </si>
  <si>
    <t>A-302, ACCORD CHS LTD,TANK ROAD,KANDIVALI VILLAGE, OFF M G ROAD, KANDIVALI WEST,MUMBAI</t>
  </si>
  <si>
    <t>SARDAR VALLABHBHAI PATEL VIVIDHLAKSHI VIDYLAYA</t>
  </si>
  <si>
    <t>MAHARASHTRA STATE BOARD OF SECONDARY AND HIGHER SECONDARY EDUCATION,MUMBAI</t>
  </si>
  <si>
    <t>SHRI TIKAMDAS PURSHOTAM BHATIA COLLEGE OF SCIENCE</t>
  </si>
  <si>
    <t>THAKUR POLYTECHNIC, MUMBAI, MAHARASHTRA</t>
  </si>
  <si>
    <t>SHREE L R TIWARI COLLEGE OF ENGINEERING ,MIRA-BHAYANDAR, THANE, MAHARASHTRA</t>
  </si>
  <si>
    <t>AutoCAD,MS Office,MS Project,Canva,Candy,Primavera</t>
  </si>
  <si>
    <t>SJ PROJECT MANAGEMENT CONSULTANT | Graduate Engineer Trainee (Civil) | Dattani Village,Vasai West, Mumbai,Maharashtra | Oct 2024 | Jun 2025 | 0Y 8M | 2.64</t>
  </si>
  <si>
    <t>PSP Projects Ltd | Civil Intern  | Mumbai, Maharashtra | May 2026 | Jul 2026 | 8.7142857142857 Weeks | Campus Internship</t>
  </si>
  <si>
    <t>AutoCAD for Civil Engineers
FINLATICS EQUITY MARKETS ANALYST
Introduction to financial accounting</t>
  </si>
  <si>
    <t>P25702055</t>
  </si>
  <si>
    <t>DHANVIJAY</t>
  </si>
  <si>
    <t>Manasi Narendra Dhanvijay</t>
  </si>
  <si>
    <t>mansidhanvijay2001@gmail.com</t>
  </si>
  <si>
    <t>p25702055@student.nicmar.ac.in</t>
  </si>
  <si>
    <t>3752 3688 9319</t>
  </si>
  <si>
    <t>NARENDRA DHANVIJAY</t>
  </si>
  <si>
    <t>PRABHA DHANVIJAY</t>
  </si>
  <si>
    <t>VARAD RESIDENCY, BALEWADI ROAD, BALEWADI .</t>
  </si>
  <si>
    <t>Gaurav Residency Lashkaribagh Bhoslewadi  Nagpur</t>
  </si>
  <si>
    <t>ST JOESPH CONVENT GIRLS HIGH SCHOOL &amp; JR COLLEGE</t>
  </si>
  <si>
    <t>CIVIL ENGINERING</t>
  </si>
  <si>
    <t>ANJUMAN POLYTECHNIC NAGPUR</t>
  </si>
  <si>
    <t>RASHTRASANT TUKODOJI MAHARAJ NAGPUR</t>
  </si>
  <si>
    <t>G H RAISONI INSTITUTE OF ENGINEERING AND TECHNOLOGY, NAGPUR</t>
  </si>
  <si>
    <t>Green City | Intern  | Jafan Nagar, main road  | May 2019 | Jun 2019 | 5.8571428571429 Weeks
Rahat Ali Civil Contractor | Intern  | Jafan Nagar  | Jun 2022 | Jul 2022 | 4.2857142857143 Weeks
Faecom | Intern  | IT Park Nagpur  | Jan 2024 | May 2024 | 21.571428571429 Weeks</t>
  </si>
  <si>
    <t>Introduction to financial accounting
Urban land economics and real estate market dynamics</t>
  </si>
  <si>
    <t>P25702056</t>
  </si>
  <si>
    <t>JEEVA</t>
  </si>
  <si>
    <t>KARTHICK</t>
  </si>
  <si>
    <t>Jeeva Karthick K</t>
  </si>
  <si>
    <t>jeevakarthick1130@gmail.com</t>
  </si>
  <si>
    <t>p25702056@student.nicmar.ac.in</t>
  </si>
  <si>
    <t>30-Nov-2000</t>
  </si>
  <si>
    <t>TAMIL &amp; ENGLISH</t>
  </si>
  <si>
    <t>6479 1505 4993</t>
  </si>
  <si>
    <t>KANAGARAJ R</t>
  </si>
  <si>
    <t>GEETHA LAKSHMI K</t>
  </si>
  <si>
    <t>4/380 A1, Jeevakarthick Illam, Sasi Nagar, Kaveri Street, Thanbal Thandi Nagar Virivakkam,</t>
  </si>
  <si>
    <t>Madurai</t>
  </si>
  <si>
    <t>CEOA MATRICULATION HIGHER SECONDARY SCHOOL</t>
  </si>
  <si>
    <t>MADURAI, TAMILNADU</t>
  </si>
  <si>
    <t>MADURAI</t>
  </si>
  <si>
    <t>CHENGALPATTU, TAMIL NADU</t>
  </si>
  <si>
    <t>AutoCAD,MS Office,sketchup,lumion,photoshop,Indesign,Enscape</t>
  </si>
  <si>
    <t>Le-arch design studio | Junior architect | Adyar, chennai | Jul 2024 | Dec 2024 | 0Y 5M | 2.16</t>
  </si>
  <si>
    <t>Balaji associates | Intern | Chennai | Jun 2022 | Sep 2022 | 14.428571428571 Weeks</t>
  </si>
  <si>
    <t>P25702057</t>
  </si>
  <si>
    <t>YERNE</t>
  </si>
  <si>
    <t>Rakesh Sunil Yerne</t>
  </si>
  <si>
    <t>rakeshyerne0208@gmail.com</t>
  </si>
  <si>
    <t>p25702057@student.nicmar.ac.in</t>
  </si>
  <si>
    <t>02-Aug-2001</t>
  </si>
  <si>
    <t>ENGLSIH,HINDI,MARATHI</t>
  </si>
  <si>
    <t>5381 5544 4304</t>
  </si>
  <si>
    <t>SUNIL YERNE</t>
  </si>
  <si>
    <t>SHALU YERNE</t>
  </si>
  <si>
    <t>SKYLINE PG 2, INFRONT OF HIRAI SITAI MANDIR,HINJEWADI</t>
  </si>
  <si>
    <t>S/o Sunil Yerne, Durga Nagar, Tumsar, Bhandara</t>
  </si>
  <si>
    <t>PROGRESSIVE ENGLISH SCHOOL</t>
  </si>
  <si>
    <t>CBSE-DELHI</t>
  </si>
  <si>
    <t>KAVIKULGURU INSTITUTE OF TECHNOLOGY AND SCIENCE</t>
  </si>
  <si>
    <t>SHRI SHAKTI CONSTRUCTION | TRAINEE ENGINEER | GONDIA | Jul 2023 | Dec 2023 | 21.857142857143 Weeks
PS PROJECTS INDIA | TRAINEE ENGINEER | CHAKAN , PUNE | Dec 2024 | May 2025 | 21.571428571429 Weeks</t>
  </si>
  <si>
    <t>The Board of TIJER- International Research Journal
PG Diploma in Advanced Computing</t>
  </si>
  <si>
    <t>P25702058</t>
  </si>
  <si>
    <t>ANUBROTO</t>
  </si>
  <si>
    <t>GHOSH</t>
  </si>
  <si>
    <t>Anubroto Ghosh</t>
  </si>
  <si>
    <t>anubrotoghosh09@gmail.com</t>
  </si>
  <si>
    <t>p25702058@student.nicmar.ac.in</t>
  </si>
  <si>
    <t>09-Dec-2000</t>
  </si>
  <si>
    <t>ENGLISH, HINDI, BENGALI, ASSAMESE</t>
  </si>
  <si>
    <t>9336 4529 7725</t>
  </si>
  <si>
    <t>SUJIT GHOSH</t>
  </si>
  <si>
    <t>SREEPARNA GHOSH</t>
  </si>
  <si>
    <t>Sujit Ghosh, Flat # F/C, R S Sengupta Villa, Behind Bandhav Samity Club, East Bankimpally, Madhyamgram, Kolkata, WestÂ Bengal</t>
  </si>
  <si>
    <t>JULIEN DAY SCHOOL</t>
  </si>
  <si>
    <t>KALINGA INSTITUTE OF INDUSTRIAL TECHNOLOGY, BHUBANESHWAR</t>
  </si>
  <si>
    <t>AutoCAD,MS Office,MS Project,Adobe Suite,Revit,Twinmotion,Lumion,Enscape</t>
  </si>
  <si>
    <t>Address Advisors Pvt. Ltd.  | Business Development | Bengaluru  | May 2026 | Jul 2026 | 9.5714285714286 Weeks | Campus Internship</t>
  </si>
  <si>
    <t>P25702059</t>
  </si>
  <si>
    <t>GAURAVI</t>
  </si>
  <si>
    <t>Gauravi Dilip Sonawane</t>
  </si>
  <si>
    <t>gauravisonawane5@gmail.com</t>
  </si>
  <si>
    <t>p25702059@student.nicmar.ac.in</t>
  </si>
  <si>
    <t>05-Jun-2000</t>
  </si>
  <si>
    <t>MARATHI,HINDI AND ENGLISH</t>
  </si>
  <si>
    <t>9406 8857 4701</t>
  </si>
  <si>
    <t>PRAMILA</t>
  </si>
  <si>
    <t>507, Ashok Vatika, Yashasvi Nagar, Dokali Road, Thane (w)</t>
  </si>
  <si>
    <t>GRAMIN SHIKSHAN SANSTHA ENGLISH HIGH SCHOOL AND JUNIOR COLLEGE</t>
  </si>
  <si>
    <t>MAHARASHTRA STATE BOARD, MAHARASTRA</t>
  </si>
  <si>
    <t>M.H. HIGH SCHOOL AND JUNIOR COLLEGE</t>
  </si>
  <si>
    <t>PILLAI HOC COLLEGE OF ARCHITECTURE,PANVEL, RASAYANI, MAHARASHTRA</t>
  </si>
  <si>
    <t>AutoCAD,MS Office,Revit,SketchUp,Lumion</t>
  </si>
  <si>
    <t>O'archilos | Architect | Thane | Oct 2022 | May 2024 | 1Y 7M | 2.91
Apices | Jr. Architect | Thane | Aug 2024 | Jun 2025 | 0Y 9M | 3.36</t>
  </si>
  <si>
    <t>Sandeep Shikre &amp; Associates (SSA) | Project Management Intern | Mumbai, Maharashtra | May 2026 | Jul 2026 | 8 Weeks | Campus Internship
AVM ARCHITECTS | INTERN | THANE | Jan 2021 | May 2021 | 18.142857142857 Weeks</t>
  </si>
  <si>
    <t>P25702060</t>
  </si>
  <si>
    <t>NAYAK</t>
  </si>
  <si>
    <t>Anshuman Nayak</t>
  </si>
  <si>
    <t>anshubablu24@gmail.com</t>
  </si>
  <si>
    <t>p25702060@student.nicmar.ac.in</t>
  </si>
  <si>
    <t>WATCHING NEWS,GETTING UPDATES ON GLOBAL CONFLICTS AND WARS,DEFENCE UPDATES OF VARIOUS COUNTRIES</t>
  </si>
  <si>
    <t>7840 9981 9522</t>
  </si>
  <si>
    <t>SHESHADEV NAYAK</t>
  </si>
  <si>
    <t>RETD GOVT SERVANT</t>
  </si>
  <si>
    <t>MAMATA NAYAK</t>
  </si>
  <si>
    <t>NURSING OFFICER</t>
  </si>
  <si>
    <t>PLOT NO-318/894 RANASINGPUR NEAR AIIMS BBSR DIST-KHORDHA BHUBANESWAR</t>
  </si>
  <si>
    <t>KENDRIYA VIDYALAYA NO-2 CRPF BHUBANESWAR ODISHA</t>
  </si>
  <si>
    <t>CENTRAL BOARD OF SECONDARY EDUCATION,  BHUBANESWAR/ODISHA</t>
  </si>
  <si>
    <t>BUXI JAGABANDHU ENGLISH MEDIUM SCHOOL 2, SATYABHAMAPUR BHUBANESWAR ODISHA</t>
  </si>
  <si>
    <t>VEER SURENDRA SAI UNIVERSITY OF TECHNOLOGY, BURLA SAMBALPUR ODISHA</t>
  </si>
  <si>
    <t>CENTRAL TOOL ROOM &amp; TRAINING CENTRE | INTERN | BHUBANESWAR | Jun 2022 | Jun 2022 | 4.1428571428571 Weeks
ODISHA INDUSTRIAL INFRASTRUCTURE DEVELOPEMENT CORPORATION | INTERN | BHUBANESWAR | May 2023 | Jun 2023 | 2.7142857142857 Weeks
OFFICE OF THE EXECUTIVE ENGINEER (R&amp;B) BHUBANESWAR | TENDERING ,SOPS OF GOVT WORKING AND ESTIMATION WORKS | BHUBANESWAR | May 2023 | Jun 2023 | 4.2857142857143 Weeks</t>
  </si>
  <si>
    <t>STAAD PRO</t>
  </si>
  <si>
    <t>P25702061</t>
  </si>
  <si>
    <t>PRACHET</t>
  </si>
  <si>
    <t>ACHARY</t>
  </si>
  <si>
    <t>Prachet Babu Achary</t>
  </si>
  <si>
    <t>prachetkaka2010@gmail.com</t>
  </si>
  <si>
    <t>p25702061@student.nicmar.ac.in</t>
  </si>
  <si>
    <t>18-May-2002</t>
  </si>
  <si>
    <t>ENGLISH, HINDI, MARATHI AND MALAYALAM</t>
  </si>
  <si>
    <t>8999 1555 8994</t>
  </si>
  <si>
    <t>2nd Ranjana Niwas, Near Samarth Gym, Tank Pakhadi, Road No.3, Sahar Village, Andheri East_x000D_
Near Sahar BMC Ground</t>
  </si>
  <si>
    <t>BOMBAY CAMBRIDGE SCHOOL, MUMBAI</t>
  </si>
  <si>
    <t>DIVINE CHILD JUNIOR COLLEGE, MUMBAI</t>
  </si>
  <si>
    <t>SHREE L.R.TIWARI COLLEGE OF ENGINEERING, MIRA-BHAYANDAR, THANE, MAHARASHTRA</t>
  </si>
  <si>
    <t>AutoCAD,MS Excel</t>
  </si>
  <si>
    <t>Address Advisors | Business Development | Bangalore | May 2026 | Jul 2026 | 9.5714285714286 Weeks | Campus Internship
Varun Enterprises | Trainee Site Supervisor | Mumbai | Dec 2022 | Jan 2023 | 4.4285714285714 Weeks
Shree L.R. Tiwari College Of Engineering | Intern | Mira Road | Jan 2023 | Jan 2023 | 3 Weeks</t>
  </si>
  <si>
    <t>Corporate Finance
Urban Land Economics and Real Estate Market Dynamics</t>
  </si>
  <si>
    <t>P25702062</t>
  </si>
  <si>
    <t>PAWAN</t>
  </si>
  <si>
    <t>ANILRAO</t>
  </si>
  <si>
    <t>WANKAR</t>
  </si>
  <si>
    <t>Pawan Anilrao Wankar</t>
  </si>
  <si>
    <t>pawanwankar09@gmail.com</t>
  </si>
  <si>
    <t>p25702062@student.nicmar.ac.in</t>
  </si>
  <si>
    <t>08-Apr-2001</t>
  </si>
  <si>
    <t>2665 7870 3059</t>
  </si>
  <si>
    <t>ANIL DADAJI WANKAR</t>
  </si>
  <si>
    <t>MAYA ANILRAO WANKAR</t>
  </si>
  <si>
    <t>GANJRE LAYOUT, PIPRI, WARDHA.</t>
  </si>
  <si>
    <t>RASHTRA SANT TUKDOJI MAHARAJ VIDYALAY, WARDHA.</t>
  </si>
  <si>
    <t>MAHARASHTRA STATE BOARD OF SECONDARY AND HIGHER SECONDARY EDUCATION, WARDHA, MAHARASHTRA.</t>
  </si>
  <si>
    <t>JANKIDEVI BAJAJ COLLEGE OF SCIENCE, WARDHA.</t>
  </si>
  <si>
    <t>DR. BABASAHEB AMBEDKAR TECHNOLOGICAL UNIVERSITY, LONERE.</t>
  </si>
  <si>
    <t>BAJAJ INSTITUTE OF TECHNOLOGY, WARDHA.</t>
  </si>
  <si>
    <t>MS Project, Primavera P6, AutoCAD, MS Office, Revit-Architecture, Revit-Structure</t>
  </si>
  <si>
    <t>HARSHAL BUILDCON LLP. | Site Engineer | Bajaj Auto Limited, Chakan, Plant - II, Pune. | Sep 2022 | Jun 2023 | 0Y 9M | 1.56
MILLENNIUM ENGINEERS &amp; CONTRACTORS PVT.LTD. | Jr. Engineer - Execution | Vishrantwadi, Pune. | Jul 2023 | Jun 2024 | 0Y 11M | 2.8
PS PROJECTS INDIA | Jr. Engineer - Execution | Malpani Industrial and logistic park, Chakan, Pune | Jun 2024 | Jul 2025 | 1Y 0M | 4.08</t>
  </si>
  <si>
    <t>ECAS.CO | Business Development - Intern | Remote | May 2026 | Jul 2026 | 8.7142857142857 Weeks | Campus Internship
HARSHAL BULDCON LLP. | Technical coordinator- Execution | Bajaj Auto Limited Phase- II, Chakan, Pune. | Feb 2022 | Jun 2022 | 18.142857142857 Weeks</t>
  </si>
  <si>
    <t>P25702063</t>
  </si>
  <si>
    <t>TANVI</t>
  </si>
  <si>
    <t>SUNE</t>
  </si>
  <si>
    <t>Tanvi Anil Sune</t>
  </si>
  <si>
    <t>tanvisune2@gmail.com</t>
  </si>
  <si>
    <t>p25702063@student.nicmar.ac.in</t>
  </si>
  <si>
    <t>25-Nov-2000</t>
  </si>
  <si>
    <t>8077 9405 5263</t>
  </si>
  <si>
    <t>ANIL P SUNE</t>
  </si>
  <si>
    <t>SANGITA ANIL SUNE</t>
  </si>
  <si>
    <t>12, New ITI Colony Kanta Nagar Camp, Amravati_x000D_
Near Gajanan Maharaj Mandir</t>
  </si>
  <si>
    <t>SAINT PAUL'S ACADEMY, AKOT, AKOLA, MAHARASHTRA, 444101</t>
  </si>
  <si>
    <t>LAL BAHADUR SHASTRI DNYANPEETH, JUNIOR COLLEGE OF SCIENCE &amp; COMMERCE, AKOT, AKOLA, MAHARASHTRA, 444101</t>
  </si>
  <si>
    <t>D.Y.PATIL SCHOOL OF ARCHITECTURE, AMBI, PUNE, MAHARSHTRA</t>
  </si>
  <si>
    <t>AutoCAD,MS Office,sketch up,lumion</t>
  </si>
  <si>
    <t>Kymera Design Studio | Intern Architect  | Aundh, Pune | Jun 2022 | Dec 2022 | 26.285714285714 Weeks</t>
  </si>
  <si>
    <t>P25702064</t>
  </si>
  <si>
    <t>BHASKARA SAI</t>
  </si>
  <si>
    <t>CHAKRAVARTULA</t>
  </si>
  <si>
    <t>Bhaskara Sai Chakravartula</t>
  </si>
  <si>
    <t>bhaskarasaic@gmail.com</t>
  </si>
  <si>
    <t>p25702064@student.nicmar.ac.in</t>
  </si>
  <si>
    <t>3939 0703 8961</t>
  </si>
  <si>
    <t>GANGA KUMAR CHAKRAVARTULA</t>
  </si>
  <si>
    <t>TULASI CHAKRAVARTULA</t>
  </si>
  <si>
    <t>H.NO-5, Phase-3, Jewel County Apartments Road, Sri Sai Srinivasa Nagar Colony, Keserapalli.</t>
  </si>
  <si>
    <t>P OBUL REDDY PUBLIC SCHOOL</t>
  </si>
  <si>
    <t>CENTRAL BOARD OF SECONDARY EDUCATION, TELANGANA</t>
  </si>
  <si>
    <t>VELAGAPUDI RAMAKRISHNA SIDDHARTHA ENGINEERING COLLEGE</t>
  </si>
  <si>
    <t>Address Advisors | Business development Intern  | Hyderabad | May 2026 | Jul 2026 | 9.5714285714286 Weeks | Campus Internship</t>
  </si>
  <si>
    <t>P25702065</t>
  </si>
  <si>
    <t>VED</t>
  </si>
  <si>
    <t>Ved Manoj Patel</t>
  </si>
  <si>
    <t>vedpatel9158@gmail.com</t>
  </si>
  <si>
    <t>p25702065@student.nicmar.ac.in</t>
  </si>
  <si>
    <t>ENGLISH, HINDI, MARATHI AND GUJARATI</t>
  </si>
  <si>
    <t>9560 6682 2240</t>
  </si>
  <si>
    <t>MANOJ PATEL</t>
  </si>
  <si>
    <t>RITA PATEL</t>
  </si>
  <si>
    <t>Samarpan Society, Moshi Pradhikaran Pune</t>
  </si>
  <si>
    <t>SHRI P P D SANSKAR MANDIR PUNE</t>
  </si>
  <si>
    <t>CBSE PUNE/MAHARASHTRA</t>
  </si>
  <si>
    <t>PRATIBHA JUNIOR COLLEGE</t>
  </si>
  <si>
    <t>MAHARASHTRA BOARD PUNE/MAHARASHTRA</t>
  </si>
  <si>
    <t>SYMBIOSIS SKILLS AND PROFESSIONAL UNIVERSITY</t>
  </si>
  <si>
    <t>SYMBIOSIS SKILLS AND PROFESSIONAL UNIVERSITY PUNE/MAHARASHTRA</t>
  </si>
  <si>
    <t>MS Office,MS Project,Tableau</t>
  </si>
  <si>
    <t>Future Icon | Web Developer  | Mumbai | Feb 2025 | Jun 2025 | 17.428571428571 Weeks
ARC Solution | Data Analyst Intern  | Pune | Jun 2024 | Aug 2024 | 8 Weeks
Cyber Secured India | Web Developer  | Pune | Jun 2023 | Sep 2023 | 15.285714285714 Weeks</t>
  </si>
  <si>
    <t>P25702066</t>
  </si>
  <si>
    <t>DHARMESH</t>
  </si>
  <si>
    <t>ZANJARI</t>
  </si>
  <si>
    <t>Dharmesh Pradeep Zanjari</t>
  </si>
  <si>
    <t>dharmeshzanjari011@gmail.com</t>
  </si>
  <si>
    <t>p25702066@student.nicmar.ac.in</t>
  </si>
  <si>
    <t>11-Apr-2004</t>
  </si>
  <si>
    <t>5412 2477 0926</t>
  </si>
  <si>
    <t>ENTREPRENEUR</t>
  </si>
  <si>
    <t>SAINATH COLONY,GANGAPUR ROAD,VAIJAPUR 423701</t>
  </si>
  <si>
    <t>SAINT MONICA ENGLISH SCHOOL</t>
  </si>
  <si>
    <t>DEOGIRI COLLEGE OF COMMERCE</t>
  </si>
  <si>
    <t>BRIHAN MAHARASHTRA COLLEGE OF COMMERCE</t>
  </si>
  <si>
    <t>other,MS EXCEL</t>
  </si>
  <si>
    <t>AADI ENGINEERS AND CONSULTANTS | PROJECT MANAGEMENT | AURANGABAD | Apr 2025 | Jul 2025 | 13 Weeks
Suryam Developers LLP | Project Planning and Site Management Intern | Ahmedabad | May 2026 | Jul 2026 | 8.5714285714286 Weeks</t>
  </si>
  <si>
    <t>P25702067</t>
  </si>
  <si>
    <t>SHRAVANI</t>
  </si>
  <si>
    <t>Shravani Deepak Garud</t>
  </si>
  <si>
    <t>shravanigarud317109@gmail.com</t>
  </si>
  <si>
    <t>p25702067@student.nicmar.ac.in</t>
  </si>
  <si>
    <t>17-Jan-2004</t>
  </si>
  <si>
    <t>8969 5155 1552</t>
  </si>
  <si>
    <t>Paras Nagar, Shendurni Tal: Jamner Dist: Jalgaon</t>
  </si>
  <si>
    <t>A G R GARUD M V SHENDURNI</t>
  </si>
  <si>
    <t>MAHARASHTRA CITY: SHENDURNI</t>
  </si>
  <si>
    <t>GOVERNMENT POLYTECHNIQUE JALGAON</t>
  </si>
  <si>
    <t>AMRUTVAHINI COLLEGE OF ENGINEERING SANGAMNER</t>
  </si>
  <si>
    <t>Godrej Properties Limited  | Operation | Maan-Hinje Pune  | May 2026 | Jul 2026 | 8.7142857142857 Weeks | Campus Internship
Swaraj Construction Pvt Limited, Sangamner | Site Supervisor Trainee | sangamner | Dec 2023 | Jan 2024 | 4.4285714285714 Weeks</t>
  </si>
  <si>
    <t>Project management</t>
  </si>
  <si>
    <t>P25702068</t>
  </si>
  <si>
    <t>JAINIL</t>
  </si>
  <si>
    <t>UPESHBHAI</t>
  </si>
  <si>
    <t>Jainil Upeshbhai Shah</t>
  </si>
  <si>
    <t>jainil523@icloud.com</t>
  </si>
  <si>
    <t>p25702068@student.nicmar.ac.in</t>
  </si>
  <si>
    <t>11-Aug-2003</t>
  </si>
  <si>
    <t>HINDI,ENGLISH,GUJRATI</t>
  </si>
  <si>
    <t>7707 2952 7940</t>
  </si>
  <si>
    <t>UPESH SHAH</t>
  </si>
  <si>
    <t>BUISNESSMAN</t>
  </si>
  <si>
    <t>AMITA SHAH</t>
  </si>
  <si>
    <t>A-35 Shantiniketan Society Opposite Aashirvad Complex Beside Suryanagar Garba Ground ,waghodiya Road_x000D_
Colony</t>
  </si>
  <si>
    <t>BRIGHT SCHOOL</t>
  </si>
  <si>
    <t>GUJRAT SECONDARY AND HIGHER SECONDARY BOARD OF EDUCATION</t>
  </si>
  <si>
    <t>VITTHAL VIDHYALAYA</t>
  </si>
  <si>
    <t>GUJRAT TECHNICAL UNIVERSITY</t>
  </si>
  <si>
    <t>SARDAR VALLABHBHAI PATEL INSTITUTE OF TECHNOLOGY,VASAD</t>
  </si>
  <si>
    <t>DESAI CONSTRUCTION PRIVATE LIMITED  | SITE EXECUTION  | DHARAMPUR,GUJRAT  | May 2026 | Jul 2026 | 8.7142857142857 Weeks | Campus Internship
NILAMBER GROUPS | CONSTRUCTION SITE  (CONSTRUCTION EXECUTED BY NCCCL) | VADODARA | Feb 2025 | Apr 2025 | 11 Weeks</t>
  </si>
  <si>
    <t>P25702069</t>
  </si>
  <si>
    <t>Tejas Santosh Shede</t>
  </si>
  <si>
    <t>shedetejas2001@gmail.com</t>
  </si>
  <si>
    <t>p25702069@student.nicmar.ac.in</t>
  </si>
  <si>
    <t>4988 9063 7317</t>
  </si>
  <si>
    <t>SONAM</t>
  </si>
  <si>
    <t>At Post.Sakharpa, Tai- Sangameshwar</t>
  </si>
  <si>
    <t>SHREEMAN TUKARAM GANSHET GANDHI VIDYALAY, KONDGAON</t>
  </si>
  <si>
    <t>KOKAN DIVISIONAL BOARD/MAHARASHTRA</t>
  </si>
  <si>
    <t>KAI.SAU.MEENATAI THAKARE KANISHTA MAHAVIDYALAY, SADVALI</t>
  </si>
  <si>
    <t>D.Y.PATIL COLLEGE OF ENGINEERING AND TECHNOLOGY, KASABA, BAWADA, KOLHAPUR</t>
  </si>
  <si>
    <t>AutoCAD,ETABS</t>
  </si>
  <si>
    <t>B G Shirke Construction Technology Pvt. Ltd. | Site Execution | Navade, Navi Mumbai (CIDCO Project-IV) | May 2026 | Jul 2026 | 8.7142857142857 Weeks | Campus Internship</t>
  </si>
  <si>
    <t>ETABS
Autocad</t>
  </si>
  <si>
    <t>P25702070</t>
  </si>
  <si>
    <t>Daksh Vinod Patel</t>
  </si>
  <si>
    <t>dakshp640@gmail.com</t>
  </si>
  <si>
    <t>p25702070@student.nicmar.ac.in</t>
  </si>
  <si>
    <t>01-Sep-2004</t>
  </si>
  <si>
    <t>HINDI, GUJARATI, MARATHI, ENGLISH</t>
  </si>
  <si>
    <t>9522 9240 9735</t>
  </si>
  <si>
    <t>VINOD V. PATEL</t>
  </si>
  <si>
    <t>CHANDRIKA V. PATEL</t>
  </si>
  <si>
    <t>HOUSE WIFE/ HOUSE MAKER</t>
  </si>
  <si>
    <t>Behind Aashirwad Hall, Umred</t>
  </si>
  <si>
    <t>MODERN HIGH SCHOOL</t>
  </si>
  <si>
    <t>MAHARASHTRA STATE BOARD (SSC), NAGPUR, MAHARASHTRA</t>
  </si>
  <si>
    <t>ASHOK JUNIOR COLLEGE</t>
  </si>
  <si>
    <t>MAHARASHTRA STATE BOARD (HSC), NAGPUR, MAHARASHTRA</t>
  </si>
  <si>
    <t>CITY PRIMER COLLEGE, NAGPUR, MAHARASHTRA</t>
  </si>
  <si>
    <t>AutoCAD,MS Office,MS Project,Tally,Visual Studio Code,Tally Prime,TypingMaster</t>
  </si>
  <si>
    <t>The Tax Therapist  | Inten Finance, Taxation and Accounting  | Mumbai (Hybrid) | May 2026 | Jul 2026 | 9.8571428571429 Weeks | Campus Internship</t>
  </si>
  <si>
    <t>Certificate Course in Advance Accounting
Sustainable Urban Water System
Urban Land Economics and Real Estate Market Dynamics
Introduction to Financial Accounting
Fundamentals of the C Language: Getting Started</t>
  </si>
  <si>
    <t>P25702071</t>
  </si>
  <si>
    <t>RISHIPATHAK</t>
  </si>
  <si>
    <t>Sarvesh Sanjay Rishipathak</t>
  </si>
  <si>
    <t>sarveshrishipathak2003@gmail.com</t>
  </si>
  <si>
    <t>p25702071@student.nicmar.ac.in</t>
  </si>
  <si>
    <t>2439 7294 9922</t>
  </si>
  <si>
    <t>SANJAY RAMESH RISHIPATHAK</t>
  </si>
  <si>
    <t>VAISHALI SANJAY RISHIPATHAK</t>
  </si>
  <si>
    <t>Flat No. 203, Plot No. 230, Priyadarshani Chs, Sector-04, Airoli, Navi Mumbai, 400708</t>
  </si>
  <si>
    <t>SMT. RADHIKABAI MEGHE VIDYALAYA, AIROLI, NAVI MUMBAI</t>
  </si>
  <si>
    <t>FR. AGNEL POLYTECHNIC, VASHI, NAVI MUMBAI</t>
  </si>
  <si>
    <t>MAHATMA GANDHI MISSION'S COLLEGE OF ENGINEERING, KAMOTHE, NAVI MUMBAI</t>
  </si>
  <si>
    <t>B.G Shirke Construction Technology Pvt.Ltd | Site Execution | Nawade, Navi Mmumbai | May 2026 | Jul 2026 | 8.7142857142857 Weeks | Campus Internship
B G Shirke Construction Technology Pvt Ltd | Intern | Taloja, Navi Mumbai | Aug 2021 | Sep 2021 | 4.5714285714286 Weeks</t>
  </si>
  <si>
    <t>P25702072</t>
  </si>
  <si>
    <t>GHANGALE</t>
  </si>
  <si>
    <t>Pradnya Laxman Ghangale</t>
  </si>
  <si>
    <t>ghangalepradnya72@gmail.com</t>
  </si>
  <si>
    <t>p25702072@student.nicmar.ac.in</t>
  </si>
  <si>
    <t>17-May-2001</t>
  </si>
  <si>
    <t>6836 2431 8567</t>
  </si>
  <si>
    <t>WAKDEWADI,SHIVAJINAGAR,PUNE,411003_x000D_</t>
  </si>
  <si>
    <t>AT POST RAJURI,TAL-JUNNAR,DIST-PUNE</t>
  </si>
  <si>
    <t>VIDYA VIKAS MANDIR,RAJURI</t>
  </si>
  <si>
    <t>DR.BHANUBEN NANAVATI COLLEGE OF ARCHITECTURE,PUNE</t>
  </si>
  <si>
    <t>Wani Projects and Infra Pvt. Ltd. | Project Planning Intern | Vimannagar, Pune, Maharashtra  | May 2026 | Jun 2026 | 8.1428571428571 Weeks | Campus Internship
INESIS ARCHITECTS | ARCHITECTURE INTERN | JAIPUR  | Jun 2024 | Oct 2024 | 18.428571428571 Weeks</t>
  </si>
  <si>
    <t>EDGE
NPTEL- Housing planning and policy
COURSERA-Urban land Economics and real estate market dynamics
COURSERA- Introduction to Financial accounting</t>
  </si>
  <si>
    <t>P25702073</t>
  </si>
  <si>
    <t>SARPE</t>
  </si>
  <si>
    <t>Kunal Kiran Sarpe</t>
  </si>
  <si>
    <t>kunalsarpe242003@gmail.com</t>
  </si>
  <si>
    <t>p25702073@student.nicmar.ac.in</t>
  </si>
  <si>
    <t>24-Apr-2003</t>
  </si>
  <si>
    <t>9721 5358 6358</t>
  </si>
  <si>
    <t>KIRAN SARPE</t>
  </si>
  <si>
    <t>VISHAKHA SARPE</t>
  </si>
  <si>
    <t>SHIVAJI NAGAR, PUNE</t>
  </si>
  <si>
    <t>Shivaji Nagar, Pune</t>
  </si>
  <si>
    <t>DR K. D. SHENDGE ENGLISH MEDIUM SHOOL</t>
  </si>
  <si>
    <t>B.H.CHATE JR. COLLEGE , KHEDSHIVAPUR, PUNE</t>
  </si>
  <si>
    <t>SAVITARIBAI PHULE PUNE UNIVERSITY</t>
  </si>
  <si>
    <t>AISSMS COE, PUNE, MAHARASTRA</t>
  </si>
  <si>
    <t>MS Office,STADPRO</t>
  </si>
  <si>
    <t>Majestic Realty  | Digital Marketing &amp; Business Development  | Pune | May 2026 | Jun 2026 | 7.7142857142857 Weeks | Campus Internship
MILLENNIUM ENGG.AND CONTRACTORS PVT.LTD | RESIDENTICAL PROJECT | PRIDE WORLD CITY, DHANORI, PUNE | Dec 2023 | Jan 2024 | 4.1428571428571 Weeks</t>
  </si>
  <si>
    <t>P25702074</t>
  </si>
  <si>
    <t>Rishikesh Patil</t>
  </si>
  <si>
    <t>rishi.pat17@gmail.com</t>
  </si>
  <si>
    <t>p25702074@student.nicmar.ac.in</t>
  </si>
  <si>
    <t>9925 4399 9305</t>
  </si>
  <si>
    <t>PADMAKAR PATIL</t>
  </si>
  <si>
    <t>PALLAVI PATIL</t>
  </si>
  <si>
    <t>B503, NISARG NIRMITI SOCIETY,_x000D_
KOKANE CHOWK, PIMPLE SAUDAGAR, PUNE</t>
  </si>
  <si>
    <t>Khedi Vyavhardal,_x000D_
Kurhe Khurd,_x000D_
Amalner, Jalgaon</t>
  </si>
  <si>
    <t>PODAR INTERNATIONAL SCHOOL , BESA NAGPUR</t>
  </si>
  <si>
    <t>CBSE, NAGPUR</t>
  </si>
  <si>
    <t>MKH SANCHETI PUBLIC SCHOOL AND JUNIOR COLLEGE</t>
  </si>
  <si>
    <t>AMITY UNIVERSITY, UTTAR PRADESH</t>
  </si>
  <si>
    <t>AMITY GLOBAL BUSINESS SCHOOL, PUNE</t>
  </si>
  <si>
    <t>MS Office,MS Project,Primavera,EXCEL,PowerBI,Candy,Equity Research,Infra finance,Risk Management,Investment Analysis,Budgeting,Marketing Analytics,Business Development,MS Word,Infra Management,Project Appraisal,Asset Management</t>
  </si>
  <si>
    <t>Edsom Fintech Pvt. Ltd | Finance and Banking Operations Intern | Pune | May 2026 | Jun 2026 | 8 Weeks | Campus Internship
MITTAL BROTHERS PVT LTD | SALES And Project Coordination Intern | PUNE | Jun 2024 | Aug 2024 | 8.5714285714286 Weeks</t>
  </si>
  <si>
    <t>Supply Chain Principles
Introduction To Business Analysis
Introduction To Corporate Finance
Real Estate Development: Building Value In Your Community
Internal Communications Framework
External Communications Channels
Introduction To Corporate Communications
Indian Town Planning And Architecture
Introduction To Financial Accounting
Housing Policy And Planning
Urban Land Economics And Real Estate Market Dynamics
Mckinsey Forward
Accounting Fundamentals
Excel Basics
AI and Chatgpt Workshop</t>
  </si>
  <si>
    <t>P25702075</t>
  </si>
  <si>
    <t>Anushka Anil Shet</t>
  </si>
  <si>
    <t>shetanushka1@gmail.com</t>
  </si>
  <si>
    <t>p25702075@student.nicmar.ac.in</t>
  </si>
  <si>
    <t>19-Sep-2000</t>
  </si>
  <si>
    <t>ENGLISH, HINDI, MARATHI, KONKANI</t>
  </si>
  <si>
    <t>3097 9364 4862</t>
  </si>
  <si>
    <t>ANIL SHET</t>
  </si>
  <si>
    <t>AKSHADA</t>
  </si>
  <si>
    <t>31, B-wing, Wildflower Hall CHS, Amboli, Andheri West</t>
  </si>
  <si>
    <t>ST. BLAISE HIGH SCHOOL</t>
  </si>
  <si>
    <t>BHAVAN'S COLLEGE, ANDHERI</t>
  </si>
  <si>
    <t>CTES COA, MUMBAI, MAHARASHTRA</t>
  </si>
  <si>
    <t>AutoCAD,MS Office,MS Project,Revit,Photoshop,Sketchup,Rhino</t>
  </si>
  <si>
    <t>Gautam Desai Designs | Junior Architect | Mumbai, Fort, Ministry of new. | Jul 2023 | Jun 2025 | 1Y 11M | 2.64</t>
  </si>
  <si>
    <t>Thite Valuers &amp; Engineers Pvt. Ltd | Intern | Mumbai | May 2026 | Jul 2026 | 8.7142857142857 Weeks | Campus Internship
VAASTU VIDHAN PROJECTS | INTERN DESIGNER | BORIVALI, MUMBAI | Dec 2021 | May 2022 | 24.571428571429 Weeks</t>
  </si>
  <si>
    <t>P25702076</t>
  </si>
  <si>
    <t>JITESH</t>
  </si>
  <si>
    <t>RATHI</t>
  </si>
  <si>
    <t>Jitesh Gopal Rathi</t>
  </si>
  <si>
    <t>jiteshrathi10@gmail.com</t>
  </si>
  <si>
    <t>p25702076@student.nicmar.ac.in</t>
  </si>
  <si>
    <t>07-Oct-2000</t>
  </si>
  <si>
    <t>2770 5964 1818</t>
  </si>
  <si>
    <t>Gopal Kirana, In Front Of Mahavir Medical, Main Road, Hiwarkhed</t>
  </si>
  <si>
    <t>SAHADEORAO BHOPLE VIDYALAYA AND JR COLLEGE HIWARKHED</t>
  </si>
  <si>
    <t>SHREE RAMKRISHNA KRIDA KANISHTHA MAHAVIDYALAYA,AMRAVATI</t>
  </si>
  <si>
    <t>VIVEKANAND INSTITUTE OF TECHNOLOGY'S PADMABHUSHAN DR. VASANTDADA PATIL COLLEGE OF ARCHITECTURE, PUNE</t>
  </si>
  <si>
    <t>AutoCAD , Graphisoft Archicad ,SketchUp,Enscape, Adobe Photoshop,Primavera P6, Microsoft Project (MS Project),Microsoft Office , Advanced Microsoft Excel</t>
  </si>
  <si>
    <t>Ashok Mokha Architect | Junior Architect | Nagpur,Maharashtra | Jul 2024 | Mar 2025 | 0Y 8M | 1.8</t>
  </si>
  <si>
    <t>Asain Paints | Executive I/II Sales Engineering-WP | Mumbai | May 2026 | Jul 2026 | 8.7142857142857 Weeks | Campus Internship
SHILANYAS DESIGN CONSULTANT |  ARCHITECT TRAINEE | AHEMDABAD | Jun 2023 | Dec 2023 | 26.285714285714 Weeks</t>
  </si>
  <si>
    <t>P25702077</t>
  </si>
  <si>
    <t>PERICHARLA</t>
  </si>
  <si>
    <t>Pericharla Narendra Varma</t>
  </si>
  <si>
    <t>narendravarma2810@gmail.com</t>
  </si>
  <si>
    <t>p25702077@student.nicmar.ac.in</t>
  </si>
  <si>
    <t>2581 3171 5866</t>
  </si>
  <si>
    <t>VARA PRASADA RAJU</t>
  </si>
  <si>
    <t>INDUSTRIAL CONSULTANT</t>
  </si>
  <si>
    <t>SRIDEVI</t>
  </si>
  <si>
    <t>Plot No.33,sun City, Near Hanuman Nagar Bridge, Padamatalakulu, Eluru.</t>
  </si>
  <si>
    <t>SIKHARA SCHOOL</t>
  </si>
  <si>
    <t>BOARD OF SECONDARY EDUCATION</t>
  </si>
  <si>
    <t>FIITJEE JR. COLLEGE</t>
  </si>
  <si>
    <t>BOARD OF INTERMEDIATE EDUCATION, VIJAYAWADA / ANDHRA PRADESH</t>
  </si>
  <si>
    <t>GANDHI INSTITUTION OF TECHNOLOGY AND MANAGEMENT</t>
  </si>
  <si>
    <t>GITAM (DEEMED TO BE UNIVERSITY) / VISAKHAPATNAM</t>
  </si>
  <si>
    <t>ADROIT TECHNICAL SERVICES PRIVATE LIMITED | VALUATION SERVICES INTERN | HYDERABAD | May 2026 | Jul 2026 | 8.7142857142857 Weeks | Campus Internship
SVS MOOKAMBIKA CONSTRUCTIONS PVT. LTD. | INTERN | VISAKHAPATNAM | May 2024 | Jun 2024 | 4.5714285714286 Weeks</t>
  </si>
  <si>
    <t>managing employee performance
recruiting, hiring, and onboarding employees
autocad for design and drafting exam prep
Introduction to computers and office productivity software
evreyday excel part 3</t>
  </si>
  <si>
    <t>P25702078</t>
  </si>
  <si>
    <t>HULE</t>
  </si>
  <si>
    <t>Manav Mahesh Hule</t>
  </si>
  <si>
    <t>manav.hule@gmail.com</t>
  </si>
  <si>
    <t>p25702078@student.nicmar.ac.in</t>
  </si>
  <si>
    <t>7893 2987 9855</t>
  </si>
  <si>
    <t>BUSINESS PERSON</t>
  </si>
  <si>
    <t>F203 Gulmarg Chs_x000D_
Chembur Naka_x000D_
Chembur,_x000D_
Mumbai 71, _x000D_
Maharashtra</t>
  </si>
  <si>
    <t>SWAMI VIVEKANAND HIGH SCHOOL</t>
  </si>
  <si>
    <t>MAHARASTRA STATE BOARD</t>
  </si>
  <si>
    <t>RAMNIRANJAN ANANDLAL PODAR COLLEGE OF COMMERCE AND ECONOMICS</t>
  </si>
  <si>
    <t>RAMNIRANJAN ANANDILAL PODAR COLLEGE OF COMMERCE AND ECONOMICS</t>
  </si>
  <si>
    <t>AutoCAD,MS Office,MS Project,Primavera,Advance excel</t>
  </si>
  <si>
    <t>Asian Paints  | Sales engineer | mumbai  | May 2026 | Jul 2026 | 8.7142857142857 Weeks | Campus Internship</t>
  </si>
  <si>
    <t>P25702079</t>
  </si>
  <si>
    <t>BHELKE</t>
  </si>
  <si>
    <t>Kartik Ravindra Bhelke</t>
  </si>
  <si>
    <t>kartikrbhelke@gmail.com</t>
  </si>
  <si>
    <t>p25702079@student.nicmar.ac.in</t>
  </si>
  <si>
    <t>18-Apr-2003</t>
  </si>
  <si>
    <t>Trekking,Drama,Drawings,Hiking,Music</t>
  </si>
  <si>
    <t>4359 5470 1344</t>
  </si>
  <si>
    <t>RAVINDRA BHELKE</t>
  </si>
  <si>
    <t>VIDYA BHELKE</t>
  </si>
  <si>
    <t>Shreepad,Sr No-624, Bakul Nagar, Bibwewadi, Pune -411037</t>
  </si>
  <si>
    <t>ST VINCENT'S HIGH SCHOOL AND JUNIOR COLLEGE</t>
  </si>
  <si>
    <t>MAHARASTRA STATE BOARD EDUCATION,PUNE ,MAHARASTRA</t>
  </si>
  <si>
    <t>POONA GLOBAL SCHOOL AND JUNIOR COLLEGE</t>
  </si>
  <si>
    <t>MAHARASTRA STATE BOARD OF EDUCATION,PUNE,MAHARASTRA</t>
  </si>
  <si>
    <t>VISHWARMA INSTITUTE OF INFORMATION TECHNOLOGY AFFLIATED WITH SAVITRIBAI PHULE PUNE UNIVERSITY</t>
  </si>
  <si>
    <t>VISHWAKARMA INSTITUTE OF INFORMATION TECHONOLGY,PUNE ,MAHARASTRA</t>
  </si>
  <si>
    <t>AutoCAD,Excel</t>
  </si>
  <si>
    <t>Ascendas Firstspace  | Intern Facility and Operations  | Mumbai | May 2026 | Jun 2026 | 8.1428571428571 Weeks | Campus Internship
Pragati Engineers | Project Manegment and Operational Intern | Pune | Jan 2025 | Jun 2025 | 21.571428571429 Weeks</t>
  </si>
  <si>
    <t>P25702081</t>
  </si>
  <si>
    <t>TANYA</t>
  </si>
  <si>
    <t>Tanya Singh</t>
  </si>
  <si>
    <t>tanya.dps99@gmail.com</t>
  </si>
  <si>
    <t>p25702081@student.nicmar.ac.in</t>
  </si>
  <si>
    <t>30-May-1999</t>
  </si>
  <si>
    <t>9908 9535 3395</t>
  </si>
  <si>
    <t>NAVEEN KR. SINGH</t>
  </si>
  <si>
    <t>SPM</t>
  </si>
  <si>
    <t>SEEMA SINGH</t>
  </si>
  <si>
    <t>A1-303, ARAVALI ENCLAVE, SECTOR-12,_x000D_
VRINDAVAN COLONY</t>
  </si>
  <si>
    <t>DELHI PUBLIC SCHOOL ALLAHABAD</t>
  </si>
  <si>
    <t>CENTRAL BOARD OF SECONDARY EXAMINATION, DELHI</t>
  </si>
  <si>
    <t>AutoCAD,MS Office,PHOTOSHOP,REVIT,LUMION,ENSCAPE,SKETCHUP</t>
  </si>
  <si>
    <t>PNC Infratech Limited  | Contract Model, Financial Engineering and Site Execution  | Pune  | May 2026 | Jul 2026 | 9.5714285714286 Weeks | Campus Internship
Concept Designers | Junior Architect | Lucknow | Sep 2023 | Dec 2024 | 69.571428571429 Weeks
M.K. Singh &amp; Associates | Trainee Architect | Prayagraj | Jan 2022 | May 2022 | 17.142857142857 Weeks</t>
  </si>
  <si>
    <t>Sustainable Urban Water Systems
Urban Land Economics and Real Estate Market Dynamics
Corporate Finance</t>
  </si>
  <si>
    <t>P25702082</t>
  </si>
  <si>
    <t>PARAB</t>
  </si>
  <si>
    <t>Abhishek Sunil Parab</t>
  </si>
  <si>
    <t>abhishek.parab005@gmail.com</t>
  </si>
  <si>
    <t>p25702082@student.nicmar.ac.in</t>
  </si>
  <si>
    <t>5282 7926 1711</t>
  </si>
  <si>
    <t>SUNIL NARAYAN PARAB</t>
  </si>
  <si>
    <t>SONALI SUNIL PARAB</t>
  </si>
  <si>
    <t>C-14/3, P&amp;T Colony, Sahar Road, Andheri East</t>
  </si>
  <si>
    <t>OUR LADY OF HEALTH HIGH SCHOOL</t>
  </si>
  <si>
    <t>THAKUR POLYTECHNIC, MUMBAI</t>
  </si>
  <si>
    <t>UNIVERSAL COLLEGE OF ENGINEERING</t>
  </si>
  <si>
    <t>AutoCAD,MS Office,MS Project,Primavera,Revit,Naviswork,BIM 360,ACC,Civil 3D,Canva</t>
  </si>
  <si>
    <t>Transven Consulting Pvt Ltd | BIM Modeler (Senior) | Mumbai | Jun 2024 | Apr 2025 | 0Y 10M | 4.32
Chemionix E Solutions | BIM Engineer | Mumbai | Nov 2022 | Jan 2024 | 1Y 2M | 2.82</t>
  </si>
  <si>
    <t>ACE Project Management Consultant | Trainee engineer | Mumbai | Dec 2021 | Feb 2022 | 8.1428571428571 Weeks
Chemionix e Solutions | BIM Intern | Mumbai | Aug 2022 | Nov 2022 | 13.142857142857 Weeks</t>
  </si>
  <si>
    <t>P25702083</t>
  </si>
  <si>
    <t>Patel Priyansh Deepak</t>
  </si>
  <si>
    <t>priyanshpatel.1504@gmail.com</t>
  </si>
  <si>
    <t>p25702083@student.nicmar.ac.in</t>
  </si>
  <si>
    <t>15-Sep-2004</t>
  </si>
  <si>
    <t>7087 9098 8794</t>
  </si>
  <si>
    <t>PATEL DEEPAK PRIYAKANT</t>
  </si>
  <si>
    <t>PATEL BHAVITA DEEPAK</t>
  </si>
  <si>
    <t>E-104, SEPAL RESIDENCY BEHIND GANGOTRI PARTY PLOT, SAMA SAVLI ROAD, SAMA, VADODARA</t>
  </si>
  <si>
    <t>112-1,Panchmukhi Madhav Pole, Opposite Amdavadi Pole, Raopura, Vadodara.</t>
  </si>
  <si>
    <t>GUJARAT SECONDARY &amp; HIGHER SECONDARY BOARD</t>
  </si>
  <si>
    <t>NAVRACHANA VIDYANI VIDHAYALAY</t>
  </si>
  <si>
    <t>NAVRACHANA UNIVERSITY</t>
  </si>
  <si>
    <t>VADODARA, GUJARAT</t>
  </si>
  <si>
    <t>MS Office,MS Project,Excel,PowerBI,IBM SPSS</t>
  </si>
  <si>
    <t>SEAL FOR LIFE INDUSTRIES | Intern | Vadodara | May 2024 | Jul 2024 | 5.2857142857143 Weeks</t>
  </si>
  <si>
    <t>P25702084</t>
  </si>
  <si>
    <t>PIMPLE</t>
  </si>
  <si>
    <t>Yash Anil Pimple</t>
  </si>
  <si>
    <t>yashpimpale7@gmail.com</t>
  </si>
  <si>
    <t>p25702084@student.nicmar.ac.in</t>
  </si>
  <si>
    <t>20-Aug-2002</t>
  </si>
  <si>
    <t>2966 8180 8198</t>
  </si>
  <si>
    <t>ANIL SHANTARAM PIMPLE</t>
  </si>
  <si>
    <t>BUILDER/CONTRACTOR</t>
  </si>
  <si>
    <t>APURVA ANIL PIMPLE</t>
  </si>
  <si>
    <t>B-106 Shrushti Shobha Apartment, Near Navdeep Sarees, Tembhode Road, Palghar</t>
  </si>
  <si>
    <t>TWINKLE STAR ENGLISH HIGH SCHOOL</t>
  </si>
  <si>
    <t>ST. JOHN COLLEGE OF ENGINEERING AND MANAGEMENT, PALGHAR, MAHARASHTRA</t>
  </si>
  <si>
    <t>MS Office,MS Project, Candy</t>
  </si>
  <si>
    <t>Bangalore Metro Rail Corporation Limited (BMRCL) | Site Execution Intern | Bangalore | May 2026 | Jul 2026 | 0Y 2M | 00</t>
  </si>
  <si>
    <t>P25702085</t>
  </si>
  <si>
    <t>Sakshi Rajesh Mane</t>
  </si>
  <si>
    <t>p25702085@student.nicmar.ac.in</t>
  </si>
  <si>
    <t>13-Feb-2000</t>
  </si>
  <si>
    <t>BADMINTON,DESIGNING,DANCING,TRAVELLING,PHOTOGRAPHY,COOKING</t>
  </si>
  <si>
    <t>3795 9001 3698</t>
  </si>
  <si>
    <t>MANGAL VASTRA ALANKAR, PUSESAWALI, SATARA</t>
  </si>
  <si>
    <t>SWAMI VIVEKANAND JUNIOR COLLEGE</t>
  </si>
  <si>
    <t>MAHARASHTRA STATE BOARD OF EDUCATION, MUMBAI, MAHARASHTRA</t>
  </si>
  <si>
    <t>VIVEKANAND EDUCATION SOCIETY'S COLLEGE OF ARCHITECTURE, MUMBAI, MAHARASHTRA</t>
  </si>
  <si>
    <t>TEAM ONE ARTEq  Pvt. Ltd. | JR Architect | BKC, Mumbai | Jul 2023 | Apr 2024 | 0Y 9M | 2.5</t>
  </si>
  <si>
    <t>SUPRABHA CONSTRUCTION COMPANY PVT.LTD |  Sales-marketing and documentaion-tendering process | Nashik | May 2026 | Jul 2026 | 9.5714285714286 Weeks | Campus Internship
GA DESIGN CONSULTANTS LLP | ARCHITECT INTERN | CHEMBUR, MUMBAI | Dec 2021 | Apr 2022 | 20 Weeks</t>
  </si>
  <si>
    <t>P25702086</t>
  </si>
  <si>
    <t>KARTHIGEYAN</t>
  </si>
  <si>
    <t>Karthigeyan M S</t>
  </si>
  <si>
    <t>karthigeyanms5@gmail.com</t>
  </si>
  <si>
    <t>p25702086@student.nicmar.ac.in</t>
  </si>
  <si>
    <t>ENGLISH,TAMIL,MALAYALAM,HINDI</t>
  </si>
  <si>
    <t>Chess,Music,Design</t>
  </si>
  <si>
    <t>3511 5312 7205</t>
  </si>
  <si>
    <t>SWAMINATHAN A</t>
  </si>
  <si>
    <t>GEETHANJALI N</t>
  </si>
  <si>
    <t>No.79,5th Street, Ponnammal Garden, Thottipalayam Road, Karamadai, Coimbatore,Tamil Nadu. 641104</t>
  </si>
  <si>
    <t>SVGV MATRICULATION HR SEC SCHOOL KARAMADAI COIMBATORE</t>
  </si>
  <si>
    <t>SVGV MATRICULATION HR SEC SCHOOL KARAMADAI</t>
  </si>
  <si>
    <t>MANIPAL SCHOOL OF ARCHITECTURE AND PLANNING, MANIPAL.</t>
  </si>
  <si>
    <t>AutoCAD,MS Office,MS Project,AutoDesk Revit,Sketch Up,Rhinoceros,Design Builder,Lumion,Chaos Enscape,Adobe Photoshop,Adobe Indesign,Twin Motion</t>
  </si>
  <si>
    <t>Sankar and Associates | Junior Architect | Coimbatore | Dec 2024 | May 2025 | 0Y 5M | 1.81
Quadometry Designs (OPC) | Junior Architect | Bengaluru | Jul 2024 | Nov 2024 | 0Y 3M | 2.4</t>
  </si>
  <si>
    <t>Knight Frank India | Valuations and Advisory Services Intern | Bengaluru | May 2026 | Jul 2026 | 9.1428571428571 Weeks | Campus Internship
SHIBANEE+KAMAL ARCHITECTS (TOTAL ENVIRONMENT) | ARCHITECTURAL DESIGN INTERN | BENGALURU | Jan 2023 | May 2023 | 17.714285714286 Weeks</t>
  </si>
  <si>
    <t>â€œVulnerability Assessment and Resilience Development for Human Habitatsâ€ by the National Institute of Disaster Management (Ministry of Home Affairs, Govt. of India)
Smart Cities â€“ Management of Smart Urban Infrastructures by Ã‰cole Polytechnique FÃ©dÃ©rale de Lausanne
Research Methodologies by Queen Mary University of London
Managing Responsibly: Practicing Sustainability, Responsibility and Ethics by University of Manchester</t>
  </si>
  <si>
    <t>P25702089</t>
  </si>
  <si>
    <t>BHUVAN</t>
  </si>
  <si>
    <t>SUGOOR</t>
  </si>
  <si>
    <t>KS</t>
  </si>
  <si>
    <t>Bhuvan Sugoor Ks</t>
  </si>
  <si>
    <t>bhuvansugoor37@gmail.com</t>
  </si>
  <si>
    <t>p25702089@student.nicmar.ac.in</t>
  </si>
  <si>
    <t>2502 9645 0592</t>
  </si>
  <si>
    <t>SATHYANARAYANA K.A</t>
  </si>
  <si>
    <t>SAVITHA P</t>
  </si>
  <si>
    <t>Ashok Nagar_x000D_
Near Sharadhamba College</t>
  </si>
  <si>
    <t>ARVIND INTERNATIONAL HIGH SCHOOL</t>
  </si>
  <si>
    <t>KARNATAKA SECONDARY EDUCATION BOARD</t>
  </si>
  <si>
    <t>MAHESH PU COLLEGE TUMKUR</t>
  </si>
  <si>
    <t>DEPARTMENT OF PRE UNIVERSITY EDUCATION KARNATAKA</t>
  </si>
  <si>
    <t>VISVESVARAYA TECHNOLOGICAL UIVERSITY, BELAGAVI</t>
  </si>
  <si>
    <t>SIDDAGANGA INSTITUTE OF TECHNOLOGY, TUMKUR, KARNATAKA</t>
  </si>
  <si>
    <t>Infra Support Engineering Consultant Pvt. Ltd | Project Engineer | Chitradurga, Karnataka  | Oct 2024 | May 2025 | 0Y 7M | 1.92</t>
  </si>
  <si>
    <t>Certificate for plumbing course and emulsion application at Asian Paints
Training on Construction Management</t>
  </si>
  <si>
    <t>P25702090</t>
  </si>
  <si>
    <t>RAMTEKE</t>
  </si>
  <si>
    <t>Yash Atul Ramteke</t>
  </si>
  <si>
    <t>yash11klose@gmail.com</t>
  </si>
  <si>
    <t>p25702090@student.nicmar.ac.in</t>
  </si>
  <si>
    <t>27-Sep-1999</t>
  </si>
  <si>
    <t>Music Production,Football,Dj</t>
  </si>
  <si>
    <t>8997 4079 6015</t>
  </si>
  <si>
    <t>ATUL RAMTEKE</t>
  </si>
  <si>
    <t>PRITI RAMTEKE</t>
  </si>
  <si>
    <t>Plot No: 377, Yashoda Building, Kamptee Road, Near Indora Police Chowki, Indora, Bezonbagh, Nagpur.</t>
  </si>
  <si>
    <t>TULI PUBLIC SCHOOL</t>
  </si>
  <si>
    <t>DADA RAMCHAND BAKHRU SINDHU MAHAVIDYALAYA</t>
  </si>
  <si>
    <t>SHRI DATTA MEGHE POLYTECHNIC</t>
  </si>
  <si>
    <t>MIT-ADT UNIVERSITY</t>
  </si>
  <si>
    <t>MIT-SOES, PUNE</t>
  </si>
  <si>
    <t>AutoCAD,MS Office,MS Project,Primavera,Fl Studio (Sound Production),Abelton (Sound Production)</t>
  </si>
  <si>
    <t>P25702091</t>
  </si>
  <si>
    <t>MUKESHKUMAR</t>
  </si>
  <si>
    <t>Om Mukeshkumar Patel</t>
  </si>
  <si>
    <t>ompatel7320@gmail.com</t>
  </si>
  <si>
    <t>p25702091@student.nicmar.ac.in</t>
  </si>
  <si>
    <t>9608 0143 5478</t>
  </si>
  <si>
    <t>MUKESHKUMAR M PATEL</t>
  </si>
  <si>
    <t>PRAVINABEN M PATEL</t>
  </si>
  <si>
    <t>101, Samarpan Society, Sec-9, Moshi, Pune- 412105</t>
  </si>
  <si>
    <t>B.S.MEMORIAL SCHOOL</t>
  </si>
  <si>
    <t>PRATIBHA JR. COLLAGE</t>
  </si>
  <si>
    <t>INDIRA INSTITUTE OF MANAGEMENT, PUNE, MAHARASHTRA</t>
  </si>
  <si>
    <t>MS Office,MS Project,Canva,wix,zero bounce</t>
  </si>
  <si>
    <t>Rajshree Landmark LLP | Sales Executive | Dudulgaon, Moshi, Pune | Jun 2024 | Nov 2024 | 26 Weeks</t>
  </si>
  <si>
    <t>Linked In Learning (Advertising on Facebook 2022)
Linked In Learning (Advertising on Youtube 2020)</t>
  </si>
  <si>
    <t>P25702092</t>
  </si>
  <si>
    <t>ANSAF ALI</t>
  </si>
  <si>
    <t>A A</t>
  </si>
  <si>
    <t>Ansaf Ali A A</t>
  </si>
  <si>
    <t>p25702092@student.nicmar.ac.in</t>
  </si>
  <si>
    <t>P25702093</t>
  </si>
  <si>
    <t>RATNAKUMAR</t>
  </si>
  <si>
    <t>HIRASKAR</t>
  </si>
  <si>
    <t>Shreyas Ratnakumar Hiraskar</t>
  </si>
  <si>
    <t>hiraskarshreyas7@gmail.com</t>
  </si>
  <si>
    <t>p25702093@student.nicmar.ac.in</t>
  </si>
  <si>
    <t>04-Sep-2002</t>
  </si>
  <si>
    <t>Outdoor Sports,Video Games,Drawing,Art &amp; Craft</t>
  </si>
  <si>
    <t>3314 2364 7042</t>
  </si>
  <si>
    <t>Shivpooja Residency, Flat 3, Plot 104, Sector 4, Santnagar, Moshi Pradhikaran, Pune</t>
  </si>
  <si>
    <t>MARATHWADA MITRA MANDAL'S INSTITUTE OF TECHNOLOGY LOHEGAON PUNE</t>
  </si>
  <si>
    <t>Shree Ashtavinayak Developers | Intern | Pune | Feb 2023 | Feb 2023 | 3.8571428571429 Weeks</t>
  </si>
  <si>
    <t>P25702094</t>
  </si>
  <si>
    <t>Anuj Uttam Patil</t>
  </si>
  <si>
    <t>anujpatil7025@gmail.com</t>
  </si>
  <si>
    <t>p25702094@student.nicmar.ac.in</t>
  </si>
  <si>
    <t>01-May-2002</t>
  </si>
  <si>
    <t>8750 6192 4313</t>
  </si>
  <si>
    <t>UTTAM ANANDARAO PATIL</t>
  </si>
  <si>
    <t>USHA UTTAM PATIL</t>
  </si>
  <si>
    <t>A/P Arag</t>
  </si>
  <si>
    <t>ARAG HIGHSCHOOL, ARAG, SANGLI</t>
  </si>
  <si>
    <t>SANYOOGITA PATIL CAMBRIDGE SCHOOL AND JR. COLLEGE, MIRAJ</t>
  </si>
  <si>
    <t>DBATU, LONERE</t>
  </si>
  <si>
    <t>PADMABHOOSHAN VASANTRAODADA PATIL INSTITUTE OF TECHNOLOGY,BUDHGAON</t>
  </si>
  <si>
    <t>AutoCAD, Microsoft Project, Primavera p6, Microsoft office</t>
  </si>
  <si>
    <t>Vardhaman Amrante Pvt. Ltd. | Planning &amp; Monitoring of Finishing Sequence | Ludhiana, Panjab | May 2026 | Jul 2026 | 9.5714285714286 Weeks | Campus Internship
Shivgayatri Buildcon Pvt Ltd | Jr. Engineer | Sangli | Mar 2024 | Apr 2025 | 60.285714285714 Weeks</t>
  </si>
  <si>
    <t xml:space="preserve">Urban Land Economics and Real Estate Market Dynamics
Sustainable Urban Water Systems
Asian Paints Participation
Infrastructure Economics 
Business Writing  
Introduction to Corporate Finance
Real Estate Development: Building Value in Your Community
Indian Town planning &amp; Architecture </t>
  </si>
  <si>
    <t>P25702095</t>
  </si>
  <si>
    <t>PASHAM</t>
  </si>
  <si>
    <t>Pasham Akshith Yadav</t>
  </si>
  <si>
    <t>akshithyadavpasham6.0@gmail.com</t>
  </si>
  <si>
    <t>p25702095@student.nicmar.ac.in</t>
  </si>
  <si>
    <t>06-Jan-2004</t>
  </si>
  <si>
    <t>3549 1506 4361</t>
  </si>
  <si>
    <t>PASHAM RAMESH YADAV</t>
  </si>
  <si>
    <t>PASHAM ANITHA YADAV</t>
  </si>
  <si>
    <t>7-1-92, VANI NAGAR, FEROZGUDA, Kukatpally, Hyderabad.</t>
  </si>
  <si>
    <t>ST PETERS HIGH SCHOOL</t>
  </si>
  <si>
    <t>PAGE JUNIOR COLLEGE</t>
  </si>
  <si>
    <t>MANIPAL SCHOOL OF ECONOMICS AND COMMERCE</t>
  </si>
  <si>
    <t>MS Office,MS Project,Primavera,POWER BI,TABLEAU</t>
  </si>
  <si>
    <t>Lalitha FoodTech Pvt Ltd | Finance Intern  | Hyderabad | Jan 2023 | May 2023 | 17 Weeks
Instabites | Finance and Marketing  Intern  | Hyderabad | Apr 2025 | Jun 2025 | 8.7142857142857 Weeks
Risinia Builders | Project Coordination | Hyderabad | Dec 2024 | Apr 2025 | 17.142857142857 Weeks</t>
  </si>
  <si>
    <t>Create Social Media Dashboards in Tableau
Foundations of Business Strategy
Entrepreneurship I: Laying the Foundation</t>
  </si>
  <si>
    <t>P25702096</t>
  </si>
  <si>
    <t>KETAKI</t>
  </si>
  <si>
    <t>MUNDIWALE</t>
  </si>
  <si>
    <t>Ketaki Jayant Mundiwale</t>
  </si>
  <si>
    <t>ketakimundiwale1309@gmail.com</t>
  </si>
  <si>
    <t>p25702096@student.nicmar.ac.in</t>
  </si>
  <si>
    <t>Sports (Badminton),Trekking,Sketching and painting,Reading</t>
  </si>
  <si>
    <t>8963 1196 3877</t>
  </si>
  <si>
    <t>JAYANT SHAMRAO MUNDIWALE</t>
  </si>
  <si>
    <t>ELECTRICAL ENGINEER</t>
  </si>
  <si>
    <t>SEEMA JAYANT MUNDIWALE</t>
  </si>
  <si>
    <t>Plot No. 137, Bhausaheb Surve Nagar, Jaitala Road</t>
  </si>
  <si>
    <t>D. Y. PATIL INTERNATIONAL SCHOOL, MIHAN</t>
  </si>
  <si>
    <t>INTERNATIONAL GENERAL CERTIFICATE OF SECONDARY EDUCATION, NAGPUR</t>
  </si>
  <si>
    <t>ST. XAVIERS HIGH SCHOOL, HINGNA BRANCH</t>
  </si>
  <si>
    <t>BHARATI VIDYAPEETH (DEEMED TO BE) UNIVERSITY, PUNE</t>
  </si>
  <si>
    <t>BHARATI VIDYAPEETH COLLEGE OF ARCHITECTURE, PUNE, MAHARASHTRA</t>
  </si>
  <si>
    <t>AutoCAD,MS Office,MS Project,Lumion,Photoshop,sketchup</t>
  </si>
  <si>
    <t>Yo+ Architects | Architecture Intern | Pune | Jan 2016 | May 2024 | 433.71428571429 Weeks</t>
  </si>
  <si>
    <t>Housing Policy and Planning
Urban Land Economics and Real Estate Market Dynamics</t>
  </si>
  <si>
    <t>P25702097</t>
  </si>
  <si>
    <t>SHIVSHANKAR</t>
  </si>
  <si>
    <t>Pradip Shivshankar Chavan</t>
  </si>
  <si>
    <t>chavanprdp7@gmail.com</t>
  </si>
  <si>
    <t>p25702097@student.nicmar.ac.in</t>
  </si>
  <si>
    <t>25-Nov-1995</t>
  </si>
  <si>
    <t>ENGLISH , MARATHI &amp; HINDI</t>
  </si>
  <si>
    <t>Swimming,ESports,Cricket</t>
  </si>
  <si>
    <t>7381 0724 8111</t>
  </si>
  <si>
    <t>SHIVSHANKAR CHAVAN</t>
  </si>
  <si>
    <t>PUSHPA CHAVAN</t>
  </si>
  <si>
    <t>A/P Mudhe Galli , Mangalwedha_x000D_
Taluka - Mangalwedha District - Solapur</t>
  </si>
  <si>
    <t>ENGLISH SCHOOL MANGALWEDHA</t>
  </si>
  <si>
    <t>WALCHAND COLLEGE OF ARTS AND SCIENCE SOLAPUR</t>
  </si>
  <si>
    <t>DR. J J MAGDUM COLLEGE OF ENGINEERING , JAYSINGPUR</t>
  </si>
  <si>
    <t>Sri Vaarahi Real Assets | Real Estate Advisory  | Hyderabad | May 2026 | Jul 2026 | 8.7142857142857 Weeks | Campus Internship</t>
  </si>
  <si>
    <t>Elements &amp; Application Of Total Station In Civil Engineering
Structural Drafting Using AUTOCAD</t>
  </si>
  <si>
    <t>P25702098</t>
  </si>
  <si>
    <t>Vinayak Sharma</t>
  </si>
  <si>
    <t>vs5280791@gmail.com</t>
  </si>
  <si>
    <t>p25702098@student.nicmar.ac.in</t>
  </si>
  <si>
    <t>ENGLISH,HINDI,PUNJABI</t>
  </si>
  <si>
    <t>2209 1512 4165</t>
  </si>
  <si>
    <t>SUSHEEL SHARMA</t>
  </si>
  <si>
    <t>MONIKA AWASTHI</t>
  </si>
  <si>
    <t>C/o Himachal Metal Industry Industrial Area, Kangra H.P</t>
  </si>
  <si>
    <t>Kangra</t>
  </si>
  <si>
    <t>AADHUNIK PUBLIC SENIOR SECONDARY SCHOOL</t>
  </si>
  <si>
    <t>THAPAR UNIVERSITY</t>
  </si>
  <si>
    <t>THAPAR INSTITUTE OF ENGINEERING AND TECHNOLOGY, PATIALA, PUNJAB</t>
  </si>
  <si>
    <t>AutoCAD,MS Office,MS Project,Business Development,Site Execution,Project Management</t>
  </si>
  <si>
    <t>NHAI | Engineer across all domains of highway | CHANDIGARH | Jun 2024 | Dec 2024 | 30.428571428571 Weeks</t>
  </si>
  <si>
    <t>Urban Land economics and Real estate Market Dynamics
NPTEL Housing Policy and planning
Autocad</t>
  </si>
  <si>
    <t>P25702099</t>
  </si>
  <si>
    <t>KAUSTUBH</t>
  </si>
  <si>
    <t>Kaustubh Vijay Mohane</t>
  </si>
  <si>
    <t>kaustubh.mohane00@gmail.com</t>
  </si>
  <si>
    <t>p25702099@student.nicmar.ac.in</t>
  </si>
  <si>
    <t>20-Jul-2000</t>
  </si>
  <si>
    <t>Smart cities,urban planning,and infrastructure innovation.2)Project management and real estate finance</t>
  </si>
  <si>
    <t>8049 5469 4367</t>
  </si>
  <si>
    <t>VIJAY BHAURAO MOHANE</t>
  </si>
  <si>
    <t>GOVERMENT MEDICAL OFFICER</t>
  </si>
  <si>
    <t>ANJANA HIRALAL MORE</t>
  </si>
  <si>
    <t>GOVERMENT ICDS SUPERVISOR</t>
  </si>
  <si>
    <t>Audumbar Colony-A, House No-46.warje Jakat Naka. Karvenagar Pune411052</t>
  </si>
  <si>
    <t>ABHINAV VIDYALAYA HIGHSCHOOL, NAL STOP</t>
  </si>
  <si>
    <t>MAHARASHTRA STATE BOARD OF SECONDARY AND HIGHER SECONDARY EDUCATION. PUNE.MAHARASHTRA</t>
  </si>
  <si>
    <t>POOJYA SANE GURUJI VIDHYA PRASHASAK MANDAL. SHAHADA</t>
  </si>
  <si>
    <t>MAHARASHTRA STATE BOARD OF SECONDARY EDUCATION,MAHARASHTRA</t>
  </si>
  <si>
    <t>G.M CHOUDHARI POLYTECHNIC SHAHADA</t>
  </si>
  <si>
    <t>SINHGAD INSTITUTE OF TECHNOLOGY AND SCIENCE,NARHE</t>
  </si>
  <si>
    <t>Suprabha construction company Pvt.Ltd. | Valuation department | Nashik | May 2026 | Jul 2026 | 9.5714285714286 Weeks | Campus Internship
Suprabha construction PVT.LTD | Site supervisor | Nashik | Jan 2023 | Feb 2023 | 2.8571428571429 Weeks</t>
  </si>
  <si>
    <t>P25702101</t>
  </si>
  <si>
    <t>NIMBA</t>
  </si>
  <si>
    <t>Snehal Nimba Salunke</t>
  </si>
  <si>
    <t>snehalsalunke1725@gmail.com</t>
  </si>
  <si>
    <t>p25702101@student.nicmar.ac.in</t>
  </si>
  <si>
    <t>17-Aug-2000</t>
  </si>
  <si>
    <t>Dance,Playing batminton,Travelling,Playing chess,Drawing and painting,Anchoring,Theater</t>
  </si>
  <si>
    <t>6416 6395 2456</t>
  </si>
  <si>
    <t>NIMBA SALUNKE</t>
  </si>
  <si>
    <t>GRADUATE TEACHER</t>
  </si>
  <si>
    <t>Plot No. 20 Behind Vaibhav Mangal Karyalay Bhadgaon Road , Chalisgaon</t>
  </si>
  <si>
    <t>DR. KAKASAHEB PURNPATRE MADHYAMIK VIDHYALAY , CHALISGAON</t>
  </si>
  <si>
    <t>RASHTRIYA VIDHYALAY JUNIOR COLLEGE OF SCIENCE , CHALISGAON</t>
  </si>
  <si>
    <t>RAJARSHI SHAHU COLLEGE OF ENGINEERING , PUNE</t>
  </si>
  <si>
    <t>AutoCAD,MS Office,MS Project,Primavera,revit,civil3d,sketch up,photoshop,staadpro</t>
  </si>
  <si>
    <t>M Infra Projects Pvt. Ltd. | Project Management and Project Coordination intern | Baner , Pune | May 2026 | Jul 2026 | 8.5714285714286 Weeks | Campus Internship
OCEANFRONT CONSTRUCTION | Quantity Estimation Intern | Boisar, Palghar | Oct 2024 | May 2025 | 34.571428571429 Weeks
GIRITIRTH ASSOCIATES | INTERN AT SITE  | RAVET NEAR SHINDE VASTI  | Feb 2023 | Jun 2023 | 17.142857142857 Weeks
S. K. CONSTRUCTION | INTERN  | â€˜Aâ€™ WING, 2ND FLOOR, RANJAN HEIGHTS, RAVET, PUNE- 412 101 | Jan 2023 | Feb 2023 | 6.1428571428571 Weeks
KING MONGKUT'S INSTITUTE OF TECHNOLOGY LADKRABANG, THAILAND | RESEARCH INTERN  | ONLINE MODE  | Mar 2022 | Mar 2022 | 4.2857142857143 Weeks</t>
  </si>
  <si>
    <t>Global environment Management</t>
  </si>
  <si>
    <t>P25702102</t>
  </si>
  <si>
    <t>HEET</t>
  </si>
  <si>
    <t>Heet Dilip Jain</t>
  </si>
  <si>
    <t>jainheet2001@gmail.com</t>
  </si>
  <si>
    <t>p25702102@student.nicmar.ac.in</t>
  </si>
  <si>
    <t>12-Oct-2001</t>
  </si>
  <si>
    <t>ENGLISH,HINDI,GUJRATI,MARWARI,MARATHI</t>
  </si>
  <si>
    <t>5427 4409 4000</t>
  </si>
  <si>
    <t>DILIP AMBALAL JAIN</t>
  </si>
  <si>
    <t>PINKY DILIP JAIN</t>
  </si>
  <si>
    <t>31, Jariwala Building, Sadashiv Cross Road,Sickanagar_x000D_</t>
  </si>
  <si>
    <t>SHRI SHAKUNTALA KANTILAL ISHWARLAL JAIN HIGH SCHOOL</t>
  </si>
  <si>
    <t>MAHARASHTRA STATE BOARD OF SECONDARY AND HIGHER SECONDARY EDUCATION  , MUMBAI</t>
  </si>
  <si>
    <t>KISHINCHAND CHELLARAM COLLEGE</t>
  </si>
  <si>
    <t>MAHARASHTRA STATE BOARD OF SECONDARY AND HIGHER SECONDARY EDUCATION , MUMBAI</t>
  </si>
  <si>
    <t>INDIAN EDUCATION SOCIETY COLLEGE OF ARCHITECTURE</t>
  </si>
  <si>
    <t>AutoCAD,MS Office,MS Project,Revit,Sketchup,Lumion,Enscape,Navisworks,Adobe Photoshop,Adobe Illustrator,InDesign</t>
  </si>
  <si>
    <t>Studio MH02 | Architect | Vile Parle,Mumbai | Jun 2024 | Mar 2025 | 0Y 9M | 2.52
Access Architects | Architect | Dadar,Mumbai | Apr 2025 | Jun 2025 | 0Y 2M | 3.84</t>
  </si>
  <si>
    <t>Thite Valuers and Engineers | Valuation Intern | Mumbai | May 2026 | Jul 2026 | 8.7142857142857 Weeks | Campus Internship</t>
  </si>
  <si>
    <t>Urban Land Economics and Real Estate Market Dynamics
Corporate Finance</t>
  </si>
  <si>
    <t>P25702103</t>
  </si>
  <si>
    <t>ATHARV</t>
  </si>
  <si>
    <t>Atharv Pramod Bhalgat</t>
  </si>
  <si>
    <t>atharv.bhalgat1209@gmail.com</t>
  </si>
  <si>
    <t>p25702103@student.nicmar.ac.in</t>
  </si>
  <si>
    <t>12-Sep-2004</t>
  </si>
  <si>
    <t>English, Hindi, Marathi, Marwadi, Spanish(Beginner), French(Beginner)</t>
  </si>
  <si>
    <t>Trekking,Swimming,Boxing,Exploring</t>
  </si>
  <si>
    <t>6293 7718 5143</t>
  </si>
  <si>
    <t>PRAMOD BHALGAT</t>
  </si>
  <si>
    <t>KAVITA BHALGAT</t>
  </si>
  <si>
    <t>Anand Hospital, Dhamangoan Road_x000D_
Kada</t>
  </si>
  <si>
    <t>THE BISHOP'S CO-ED SCHOOL</t>
  </si>
  <si>
    <t>ICSE, PUNE</t>
  </si>
  <si>
    <t>P.M. MUNOT JUNIOR COLLEGE</t>
  </si>
  <si>
    <t>HSC, KADA/MAHARASHTRA</t>
  </si>
  <si>
    <t>NMIMS UNIVERSITY</t>
  </si>
  <si>
    <t>NMIMS, MUMBAI</t>
  </si>
  <si>
    <t>MS Office,MS Project,Canva</t>
  </si>
  <si>
    <t>Amanora (City Corporation Ltd.) | Project Management Intern | Pune | May 2026 | Jul 2026 | 8 Weeks | Campus Internship
Study Befikar | Digital Marketing Intern | Remote | Mar 2023 | May 2023 | 8.7142857142857 Weeks</t>
  </si>
  <si>
    <t>Sustainable Urban Water Systems
Urban Land Economics and Real Estate Market Dynamics
Housing Policy and Planning</t>
  </si>
  <si>
    <t>P25702104</t>
  </si>
  <si>
    <t>LEKHRAJ</t>
  </si>
  <si>
    <t>ROTTI</t>
  </si>
  <si>
    <t>Lekhraj Ishwar Rotti</t>
  </si>
  <si>
    <t>lekraj007@gmail.com</t>
  </si>
  <si>
    <t>p25702104@student.nicmar.ac.in</t>
  </si>
  <si>
    <t>24-Apr-2001</t>
  </si>
  <si>
    <t>Literature,Sports,Editing</t>
  </si>
  <si>
    <t>4037 4487 2200</t>
  </si>
  <si>
    <t>RETIRED S/O AT BSNL</t>
  </si>
  <si>
    <t>MILLENNIUM BOYS HOSTEL, NICMAR UNIVERSITY, PUNE</t>
  </si>
  <si>
    <t>Shri Laxmi Nivas, H.No. 158/B/13, Sabadi Compound, Near Old I.B., Extn. Area, Bagalkot</t>
  </si>
  <si>
    <t>SRI SATHYA SAI LOKA SEVA VIDYAKENDRA, ALIKE</t>
  </si>
  <si>
    <t>CENTRAL BOARD FOR SECONDARY EDUCATION, ALIKE, KARNATAKA</t>
  </si>
  <si>
    <t>PRARTHANA PU SCIENCE COLLEGE, BAGALKOT</t>
  </si>
  <si>
    <t>KARNATAKA STATE EDUCATION BOARD, BAGALKOT</t>
  </si>
  <si>
    <t>BANGALORE INSTITUTE OF TECHNOLOGY, BENGALURU, KARNATAKA</t>
  </si>
  <si>
    <t>AutoCAD,MS Office,MS Project,Primavera,REVIT,GIS,Adobe PhotoShop</t>
  </si>
  <si>
    <t>Puravankara Limited | Project Management Intern | Bengaluru | May 2026 | Jul 2026 | 8.7142857142857 Weeks | Campus Internship
NISHICON INFRASTRUCTURES | RETROFITTING AND REHABILITATION ENGINEER | KADUGODI, BENGALURU | Feb 2023 | Mar 2023 | 4 Weeks</t>
  </si>
  <si>
    <t>P25702105</t>
  </si>
  <si>
    <t>PRARTHANA</t>
  </si>
  <si>
    <t>Prarthana Subhash Pawar</t>
  </si>
  <si>
    <t>pawarprarthna@gmail.com</t>
  </si>
  <si>
    <t>p25702105@student.nicmar.ac.in</t>
  </si>
  <si>
    <t>8674 3400 1493</t>
  </si>
  <si>
    <t>SUBHASH PAWAR</t>
  </si>
  <si>
    <t>JAYSHREE PAWAR</t>
  </si>
  <si>
    <t>Punai Chaitanya Wadi Ward Number 16 Buldhana</t>
  </si>
  <si>
    <t>ST JOSEPH ENGLISH HIGH SCHOOL BULDHANA</t>
  </si>
  <si>
    <t>BULDHANA</t>
  </si>
  <si>
    <t>MGM POLYTECHNIC AURANGABAD</t>
  </si>
  <si>
    <t>DR.D.Y.PATIL INSTITUTE OF TECHNOLOGY PIMPRI PUNE 18</t>
  </si>
  <si>
    <t>AutoCAD,Excel,Power Point Presentation</t>
  </si>
  <si>
    <t>M/S. Niranjan Jayasingh More  | Site Execution and documentation studies | Pune | May 2026 | Jul 2026 | 8.5714285714286 Weeks | Campus Internship
BUILDER ASSOCIATION OF INDIA | INTER  | PUNE | Dec 2023 | Jan 2024 | 4.2857142857143 Weeks</t>
  </si>
  <si>
    <t>P25702106</t>
  </si>
  <si>
    <t>MUDGAL</t>
  </si>
  <si>
    <t>Mudgal Aditya Gopichand</t>
  </si>
  <si>
    <t>adityamudgal8006@gmail.com</t>
  </si>
  <si>
    <t>p25702106@student.nicmar.ac.in</t>
  </si>
  <si>
    <t>6574 9491 9651</t>
  </si>
  <si>
    <t>GOPICHAND MUDGAL</t>
  </si>
  <si>
    <t>12TH</t>
  </si>
  <si>
    <t>SONIYA MUDGAL</t>
  </si>
  <si>
    <t>FLAT-503 FELICITY RAVET OPPOSITE CELEASTIAL CITY PHASE 1 RAVET</t>
  </si>
  <si>
    <t>46/32 Maatru Chhaya House,Vidyanagar,North Sadar Bazar, Behind Civil Hospital Solapur</t>
  </si>
  <si>
    <t>ST JOHN BOSCO HIGH SCHOOL</t>
  </si>
  <si>
    <t>MAHARASHTRA STATE BOARD OF SECOUNDARY AND HIGHER SECOUNDARY EDUCATION PUNE/MAHARASHTRA</t>
  </si>
  <si>
    <t>BHAUSAHEB VARTAK POLYTECHNIC VASAI/MAHARASHTRA</t>
  </si>
  <si>
    <t>DR D Y PATIL INSTITUTE OF ENGINEERING MANAGEMENT AND RESEARCH PUNE/MAHARASHTRA</t>
  </si>
  <si>
    <t>P25702108</t>
  </si>
  <si>
    <t>Ankita Dipak Patil</t>
  </si>
  <si>
    <t>ankitapatil200355@gmail.com</t>
  </si>
  <si>
    <t>p25702108@student.nicmar.ac.in</t>
  </si>
  <si>
    <t>08-Jul-2003</t>
  </si>
  <si>
    <t>9797 7255 2008</t>
  </si>
  <si>
    <t>DIPAK PATIL</t>
  </si>
  <si>
    <t>GAYTRI PATIL</t>
  </si>
  <si>
    <t>Patwari Colony, Sadaguru Apartment Amalner,Dist. Jalgaon</t>
  </si>
  <si>
    <t>SANE GURUJI KANYA HIGHSCHOOL AMALNER</t>
  </si>
  <si>
    <t>MAHARASHRA</t>
  </si>
  <si>
    <t>GOVT. POLYTECHNIC JALGAON</t>
  </si>
  <si>
    <t>RASIKLAL M. DHARIWAL SINHGAD TECHNICAL INSTITUTE PUNE , MAHARASHTRA</t>
  </si>
  <si>
    <t>Lagoo Apte Promoters &amp; Developers | Site Intern | Pune | May 2026 | Jun 2026 | 8.1428571428571 Weeks | Campus Internship
M/S. KAUSTUBH AJAY WALUNJ CIVIL ENGINEER &amp; GOVERNMENT CONTRACTOR | OPERATIONS INTERN - CIVIL EXECUTION  | AKOLE | Dec 2023 | Feb 2024 | 8.8571428571429 Weeks</t>
  </si>
  <si>
    <t>P25702109</t>
  </si>
  <si>
    <t>AAYUSH</t>
  </si>
  <si>
    <t>Aayush Agrawal</t>
  </si>
  <si>
    <t>aayushagrawal2018@gmail.com</t>
  </si>
  <si>
    <t>p25702109@student.nicmar.ac.in</t>
  </si>
  <si>
    <t>6685 7215 9795</t>
  </si>
  <si>
    <t>DINESH KUMAR AGRAWAL</t>
  </si>
  <si>
    <t>BUSINESS MEN</t>
  </si>
  <si>
    <t>RENU AGRAWAL</t>
  </si>
  <si>
    <t>YOUTHVILLE HOSTEL, BALEWADI 2,NEAR MITCON COLLEGE, BALEWADI,PUNE</t>
  </si>
  <si>
    <t>Hno.56 Bajrang Para, Sirsa Road Kohka, Bhilai</t>
  </si>
  <si>
    <t>MILE STONE ACADEMY</t>
  </si>
  <si>
    <t>CBSE/DURG</t>
  </si>
  <si>
    <t>LAL BAHADUR SHASTRI CONVENT SCHOOL</t>
  </si>
  <si>
    <t>CBSE/KOTA</t>
  </si>
  <si>
    <t>CSVTU</t>
  </si>
  <si>
    <t>BIT RAIPUR/RAIPUR</t>
  </si>
  <si>
    <t>AutoCAD,MS Office,MS Project,REVIT AND STAAD PRO</t>
  </si>
  <si>
    <t>Singhania Buildcon  | Site Execution Intern | Raipur, Chhattisgarh | May 2026 | Jul 2026 | 8.7142857142857 Weeks | Campus Internship
C.G. STATE MANDI BOARD (DURG) | TRAINEE | DURG | Jul 2023 | Aug 2023 | 4.4285714285714 Weeks
PUBLIC WORKS DEPARTMENT (C.G.) GOVERNMENT | TRAINEE | DURG | Jul 2022 | Aug 2022 | 4.4285714285714 Weeks</t>
  </si>
  <si>
    <t>PROFESSIONAL AUTOCAD</t>
  </si>
  <si>
    <t>P25702110</t>
  </si>
  <si>
    <t>NITINKUMAR</t>
  </si>
  <si>
    <t>Om Nitinkumar Patel</t>
  </si>
  <si>
    <t>patel19om@gmail.com</t>
  </si>
  <si>
    <t>p25702110@student.nicmar.ac.in</t>
  </si>
  <si>
    <t>ENGLISH,HINDI,GUJRATI,MARATHI</t>
  </si>
  <si>
    <t>2705 9848 9561</t>
  </si>
  <si>
    <t>NITINKUMAR PATEL</t>
  </si>
  <si>
    <t>MEENA PATEL</t>
  </si>
  <si>
    <t>Shree Hari Society,sec-06,moshipradhikaran,pune</t>
  </si>
  <si>
    <t>SHREE PARSHWA PRADNYALAY DNYAN SANSKAR MANDIR</t>
  </si>
  <si>
    <t>CBSE-MAHARASHTRA</t>
  </si>
  <si>
    <t>SSC-MAHARASHTRA</t>
  </si>
  <si>
    <t>PRATIBHA COLLEGE OF COMMERCE AND COMPUTER STUDIES,PUNE,MAHARASHTRA</t>
  </si>
  <si>
    <t>Diamond Developers | Management Intern | Pune | May 2026 | Jul 2026 | 8.7142857142857 Weeks | Campus Internship</t>
  </si>
  <si>
    <t>P25702111</t>
  </si>
  <si>
    <t>SAHU</t>
  </si>
  <si>
    <t>Ketan Sahu</t>
  </si>
  <si>
    <t>arketansahu@gmail.com</t>
  </si>
  <si>
    <t>p25702111@student.nicmar.ac.in</t>
  </si>
  <si>
    <t>09-Apr-2003</t>
  </si>
  <si>
    <t>Biking,Travelling,Cycling,Swimming</t>
  </si>
  <si>
    <t>3634 3167 7333</t>
  </si>
  <si>
    <t>CHANDRA SHEKHAR SAHU</t>
  </si>
  <si>
    <t>ASSISTANT ENGINEER AT MUNICIPAL CORPORATION BILASPUR (C.G)</t>
  </si>
  <si>
    <t>SWATI SAHU</t>
  </si>
  <si>
    <t>329/16 Chadda Badi, Nehru Nagar, Bilaspur (C.G) -  495001</t>
  </si>
  <si>
    <t>DELHI PUBLIC SCHOOL BILASPUR</t>
  </si>
  <si>
    <t>PADMABHUSHAN DR. VASANTDADA PATIL COLLEGE OF  ARCHITECTURE, PUNE, MAHARASHTRA</t>
  </si>
  <si>
    <t>AutoCAD,MS Office,MS Project,Primavera,Revit,Photoshop,Lumion,Sketchup,Illustrator,Indesign</t>
  </si>
  <si>
    <t>Manjeet Developers | Project Planning | Pune | May 2026 | Jul 2026 | 8.7142857142857 Weeks | Campus Internship
Techno Architecture INC | Intern Architect | Bengaluru | Jun 2024 | Dec 2024 | 26.714285714286 Weeks</t>
  </si>
  <si>
    <t>P25702113</t>
  </si>
  <si>
    <t>MEERA</t>
  </si>
  <si>
    <t>FADNIS</t>
  </si>
  <si>
    <t>Meera Fadnis</t>
  </si>
  <si>
    <t>p25702113@student.nicmar.ac.in</t>
  </si>
  <si>
    <t>4427 9695 7468</t>
  </si>
  <si>
    <t>MAKARAND FADNIS</t>
  </si>
  <si>
    <t>MADHURIMA FADNIS</t>
  </si>
  <si>
    <t>YOUTH VILLE</t>
  </si>
  <si>
    <t>102 - Kedar Wing, Yashodham Enclave, Prashant Nagar, Ajni Sq., Wardha Road</t>
  </si>
  <si>
    <t>R.S. MUNDLE ENGLISH SCHOOL AND JUNIOR COLLEGE</t>
  </si>
  <si>
    <t>M.K.H. SANCHETI PUBLIC SCHOOL AND JUNIOR COLLEGE</t>
  </si>
  <si>
    <t>AutoCAD,MS Office,MS Project,SketchUp,Lumion,AdobePhotoshop,TwinMotion</t>
  </si>
  <si>
    <t>K &amp; J Projects Private Limited | Project Management Intern | Nagpur, Maharashtra, India | May 2026 | Jul 2026 | 8.5714285714286 Weeks | Campus Internship
Malewar Architects | Intern Architect | Nagpur | Jun 2023 | Oct 2023 | 16.285714285714 Weeks
Earthscapes Consultancy | Intern Architect | Ahmedabad | Jul 2022 | Nov 2022 | 17.571428571429 Weeks</t>
  </si>
  <si>
    <t>Edge Certification</t>
  </si>
  <si>
    <t>P25702114</t>
  </si>
  <si>
    <t>JAISWAL</t>
  </si>
  <si>
    <t>Ankita Jaiswal</t>
  </si>
  <si>
    <t>jaiswala237@gmail.com</t>
  </si>
  <si>
    <t>p25702114@student.nicmar.ac.in</t>
  </si>
  <si>
    <t>11-Jan-2000</t>
  </si>
  <si>
    <t>9145 5288 5155</t>
  </si>
  <si>
    <t>BINOD JAISWAL</t>
  </si>
  <si>
    <t>MANORAMA JAISWAL</t>
  </si>
  <si>
    <t>Jaiswal Medical Hall, Link Road, Jaigaon, West Bengal</t>
  </si>
  <si>
    <t>Alipurduar</t>
  </si>
  <si>
    <t>G.D GOENKA PUBLIC SCHOOL</t>
  </si>
  <si>
    <t>SILIGURI, WEST BENGAL</t>
  </si>
  <si>
    <t>SARVODAYA SENIOR SECONDARY SCHOOL</t>
  </si>
  <si>
    <t>BIJU PATNAIK UNIVERSITY OF TECHNOLOGY, ROURKELA, ODISHA</t>
  </si>
  <si>
    <t>PILOO MODY COLLEGE OF ARCHITECTURE, ABIT, CUTTACK, ODISHA</t>
  </si>
  <si>
    <t>AutoCAD,VRay,LUMION,SKETCHUP,PHOTOSHOP</t>
  </si>
  <si>
    <t>Shree Balaji Engicons Limited | Junior architect  | Belpahar, Jharsuguda, Odisha | Sep 2023 | Dec 2024 | 1Y 3M | 3.2</t>
  </si>
  <si>
    <t>KMBD Architect &amp; Engineers Consortium Pvt.Ltd | Intern Architect | Siliguri | Sep 2022 | Dec 2022 | 16.285714285714 Weeks</t>
  </si>
  <si>
    <t>P25702115</t>
  </si>
  <si>
    <t>HEMYA</t>
  </si>
  <si>
    <t>VARMAN</t>
  </si>
  <si>
    <t>Hemya Varman</t>
  </si>
  <si>
    <t>hemya8055@gmail.com</t>
  </si>
  <si>
    <t>p25702115@student.nicmar.ac.in</t>
  </si>
  <si>
    <t>04-Oct-1999</t>
  </si>
  <si>
    <t>2521 8204 4599</t>
  </si>
  <si>
    <t>VEDHAGIRI NC</t>
  </si>
  <si>
    <t>SATHEESWARI R</t>
  </si>
  <si>
    <t>No.44, 12th Cross, 2nd Block, Akshaynagar, Ramamurthy Nagar, Bengaluru</t>
  </si>
  <si>
    <t>JAIGOPAL GARODIA RASHTROTTHANA VIDYA KENDRA</t>
  </si>
  <si>
    <t>CENTRAL BOARD OF SECONDARY EDUCATION, BENGALURU, KARNATAKA</t>
  </si>
  <si>
    <t>ST. JOSEPH'S PRE-UNIVERSITY COLLEGE</t>
  </si>
  <si>
    <t>GOVT OF KARNATAKA, DEPARTMENT OF PRE-UNIVERSITY EDUCATION</t>
  </si>
  <si>
    <t>SRM SAID, CHENGALPATTU, TAMIL NADU</t>
  </si>
  <si>
    <t>AutoCAD,MS Office,MS Project,Sketchup,Revit,Lumion,Enscape,Candy</t>
  </si>
  <si>
    <t>Collaborative Workspace Consultants LLP | Associate | Bengaluru | Sep 2023 | Jan 2025 | 1Y 4M | 3.6</t>
  </si>
  <si>
    <t>DEBRIQUE CREATIVE LABS PVT LTD (MODULUS HOUSING) | INTERN | IITM RESEARCH PARK, CHENNAI | May 2026 | Jul 2026 | 9.5714285714286 Weeks | Campus Internship
Colliers International (India) Property Services Private Limited | Intern | Bengaluru | Jun 2022 | Oct 2022 | 17.571428571429 Weeks</t>
  </si>
  <si>
    <t>Real Estate Development : Building Value in your community
Introduction to Corporate Finance
Corporate Communications
Urban Land Economics and Real Estate Market Dynamics
Real Estate Financial Modeling
Sustainable Urban Water Systems
Introduction to Financial Accounting</t>
  </si>
  <si>
    <t>P25702116</t>
  </si>
  <si>
    <t>Tushar Sanjay Sarpe</t>
  </si>
  <si>
    <t>tusharsarpe07@gmail.com</t>
  </si>
  <si>
    <t>p25702116@student.nicmar.ac.in</t>
  </si>
  <si>
    <t>07-Jun-2002</t>
  </si>
  <si>
    <t>8763 7422 9096</t>
  </si>
  <si>
    <t>SANJAY TUKARAM SARPE</t>
  </si>
  <si>
    <t>RETIRED DEPUTY ENGINEER</t>
  </si>
  <si>
    <t>ANJALI SANJAY SARPE</t>
  </si>
  <si>
    <t>Bhim Nagar,omerga</t>
  </si>
  <si>
    <t>PODAR INTERNATIONAL SCHOOL, LATUR</t>
  </si>
  <si>
    <t>DAYANAND SCIENCE JUNIOR COLLEGE</t>
  </si>
  <si>
    <t>Sarpe Builders and Developers  | Project Management &amp; Civil Engineering Intern | Omerga, Dharashiv, Maharashtra   | May 2026 | Jul 2026 | 9.1428571428571 Weeks</t>
  </si>
  <si>
    <t>P25702117</t>
  </si>
  <si>
    <t>MUNOT</t>
  </si>
  <si>
    <t>Sakshi Munot</t>
  </si>
  <si>
    <t>sakshimunot04@gmail.com</t>
  </si>
  <si>
    <t>p25702117@student.nicmar.ac.in</t>
  </si>
  <si>
    <t>English, Hindi, Marwadi, Marathi</t>
  </si>
  <si>
    <t>9347 0740 0576</t>
  </si>
  <si>
    <t>JITENDRA MUNOT</t>
  </si>
  <si>
    <t>RAJASHRI MUNOT</t>
  </si>
  <si>
    <t>Sakshi Plot No 25, Lane 9, Natraj Society, Karvenagar</t>
  </si>
  <si>
    <t>ST. MICHAEL'S SCHOOL</t>
  </si>
  <si>
    <t>PEMRAJSAR SARDA COLLEGE</t>
  </si>
  <si>
    <t>DR. BHANUBEN NANAVATI COLLEGE OF ARCHITECTURE FOR WOMEN, PUNE</t>
  </si>
  <si>
    <t>AutoCAD,MS Office,MS Project,Primavera,Adobe Photoshop,Adobe InDesign,Autodesk Revit,Sketchup,Rhinoceros 3D,Lumion</t>
  </si>
  <si>
    <t>Architect Sachin and Sujata Sule | Junior Architect | Pune | Feb 2025 | Jun 2025 | 0Y 4M | 1.8</t>
  </si>
  <si>
    <t>Kalpataru Limited | Design Intern | Pune | May 2026 | Jul 2026 | 8.5714285714286 Weeks | Campus Internship
Ignitus Architectural Studio | Intern Architect | Ahmedabad | Jul 2023 | Dec 2023 | 20.714285714286 Weeks</t>
  </si>
  <si>
    <t>P25702118</t>
  </si>
  <si>
    <t>Manav</t>
  </si>
  <si>
    <t>Kamat</t>
  </si>
  <si>
    <t>Manav Kamat</t>
  </si>
  <si>
    <t>p25702118@student.nicmar.ac.in</t>
  </si>
  <si>
    <t>P25702119</t>
  </si>
  <si>
    <t>PARTH</t>
  </si>
  <si>
    <t>Parth Aniruddha Pande</t>
  </si>
  <si>
    <t>parth.pande0112@gmail.com</t>
  </si>
  <si>
    <t>p25702119@student.nicmar.ac.in</t>
  </si>
  <si>
    <t>01-Dec-2003</t>
  </si>
  <si>
    <t>7436 7917 3207</t>
  </si>
  <si>
    <t>PALLAVI</t>
  </si>
  <si>
    <t>Flat No 202, C-wing, Jayanti Nagari-2, Besa, Beltarodi Road, Nagpur.</t>
  </si>
  <si>
    <t>T,B,R,A,N'S MUNDLE ENGLISH MEDIUM</t>
  </si>
  <si>
    <t>DIPLOMA IN CONSTRUCTION TECHNOLOGY</t>
  </si>
  <si>
    <t>DHARAMPETH POLYTECHNIC, NAGPUR, MAHARASHTRA</t>
  </si>
  <si>
    <t>ST VINCENT PALLOTI COLLEGE OF ENGINEERING AND TECHNOLOGY, NAGPUR, MAHARASHTRA</t>
  </si>
  <si>
    <t>P25702120</t>
  </si>
  <si>
    <t>RITISHA</t>
  </si>
  <si>
    <t>Ritisha Gupta</t>
  </si>
  <si>
    <t>ritishagupta1@gmail.com</t>
  </si>
  <si>
    <t>p25702120@student.nicmar.ac.in</t>
  </si>
  <si>
    <t>14-Nov-2001</t>
  </si>
  <si>
    <t>Digital Illustration &amp; Creative Design,Photography,Reading on Urban Development &amp; Architecture,Playing Sports,exploring architecture through travel</t>
  </si>
  <si>
    <t>7780 6164 4626</t>
  </si>
  <si>
    <t>COMPANY SECRETARY</t>
  </si>
  <si>
    <t>PALLAVI GUPTA</t>
  </si>
  <si>
    <t>A-11 Chandra Nagar Colony, MR-9 Square, A.B. Road, Behind Amarvilas Hotel</t>
  </si>
  <si>
    <t>SRI SATHYA SAI VIDYA VIHAR, INDORE</t>
  </si>
  <si>
    <t>SHRI VAISHNAV VIDYAPEETH VISHWAVIDALAYA, INDORE</t>
  </si>
  <si>
    <t>SHRI VAISHNAV INSTITUTE OF ARCHITECTURE, INDORE</t>
  </si>
  <si>
    <t>AutoCAD,MS Office,MS Project,Adobe Photoshop,Lumion,SketchUp,Advanced Excel,Adobe Illustrator,Canva</t>
  </si>
  <si>
    <t>Nine Squares Architects pvt. ltd. | Junior Architect | Indore | Jan 2025 | Jun 2025 | 0Y 5M | 3</t>
  </si>
  <si>
    <t>Fortress Infracon Limited | Infrastructure Advisory &amp; Project Consulting | Thane, Mumbai | May 2026 | Jul 2026 | 8.7142857142857 Weeks | Campus Internship
Archicon Design | Intern Architect | Pune | Jan 2023 | Jun 2023 | 21.285714285714 Weeks</t>
  </si>
  <si>
    <t>P25702121</t>
  </si>
  <si>
    <t>SARATH</t>
  </si>
  <si>
    <t>Sarath S</t>
  </si>
  <si>
    <t>srtart007@gmail.com</t>
  </si>
  <si>
    <t>p25702121@student.nicmar.ac.in</t>
  </si>
  <si>
    <t>24-Mar-2001</t>
  </si>
  <si>
    <t>ENGLISH, MALAYALAM, TAMIL AND HINDI</t>
  </si>
  <si>
    <t>8222 4298 5123</t>
  </si>
  <si>
    <t>SASIKUMAR</t>
  </si>
  <si>
    <t>RETIRED BANK EMPLOYEE</t>
  </si>
  <si>
    <t>RESMI D</t>
  </si>
  <si>
    <t>UPPER PRIMARY SCHOOL TEACHER</t>
  </si>
  <si>
    <t>9D NARAYANA APARTMENTS_x000D_
KALPATHY, PALAKKAD</t>
  </si>
  <si>
    <t>Aiswarya_x000D_
Arakurissi, Mannarkkad</t>
  </si>
  <si>
    <t>METEMHSS MANNARKKAD</t>
  </si>
  <si>
    <t>KERALA BOARD OF PUBLIC EXAMINATIONS</t>
  </si>
  <si>
    <t>GOVERNMENT HIGHER SECONDARY SCHOOL POTTASSERY</t>
  </si>
  <si>
    <t>BOARD OF HIGHER SECONDARY EXAMINATIONS, KERALA</t>
  </si>
  <si>
    <t>GOVERNMENT ENGINEERING COLLEGE THRISSUR, KERALA</t>
  </si>
  <si>
    <t>AutoCAD,MS Office,MS Project,Primavera,Sketchup,Revit,Adobe illustrator,Adobe photoshop,Lumion,D5 render</t>
  </si>
  <si>
    <t>Hilti India Pvt Ltd | Sales intern | Mumbai  | May 2026 | Jul 2026 | 8.5714285714286 Weeks | Campus Internship
Biom Medical Technology Pvt  Ltd | Design intern | Kerala | May 2025 | Jun 2025 | 8.5714285714286 Weeks
Hatch and Thatch Design Studio | Intern architect | Thrissur, Kerala | Jul 2023 | Dec 2023 | 21.857142857143 Weeks</t>
  </si>
  <si>
    <t>P25702122</t>
  </si>
  <si>
    <t>KHARAT</t>
  </si>
  <si>
    <t>Kharat Krishna Ravindra</t>
  </si>
  <si>
    <t>kharatpatil25@gmail.com</t>
  </si>
  <si>
    <t>p25702122@student.nicmar.ac.in</t>
  </si>
  <si>
    <t>3453 7590 3977</t>
  </si>
  <si>
    <t>C:1204, Cozy Homes , Awhalwadi Road ,wagholi ,pune</t>
  </si>
  <si>
    <t>LOKSEVA ENGLISH MEDIUM SCHOOL</t>
  </si>
  <si>
    <t>MAHARASHTRA STATE BOARD OF SECONDARY AND HIGHER SECONDARY EDUCATION,  PUNE</t>
  </si>
  <si>
    <t>BHIVRABAI SAWANT POLYTECHNIC , JSPM , WAGHOLI,PUNE</t>
  </si>
  <si>
    <t>IMPERIAL COLLEGE OF ENGINEERING AND RESEARCH , JSPM , WAGHOLI ,PUNE</t>
  </si>
  <si>
    <t>Amanora Park Town -City Corporation Limited | Planning  Department  | Gateway phase II - Hadapsar,Pune | May 2026 | Jul 2026 | 8.7142857142857 Weeks | Campus Internship
Larsen &amp; toubro | Intern in pipeline engineering  | Powai, Mumbai  | Apr 2025 | May 2025 | 8.5714285714286 Weeks</t>
  </si>
  <si>
    <t>P25702123</t>
  </si>
  <si>
    <t>Vivek Arya</t>
  </si>
  <si>
    <t>ar.vivek1997@gmail.com</t>
  </si>
  <si>
    <t>p25702123@student.nicmar.ac.in</t>
  </si>
  <si>
    <t>03-Jan-1997</t>
  </si>
  <si>
    <t>3858 9343 8768</t>
  </si>
  <si>
    <t>ASHOK ARYA</t>
  </si>
  <si>
    <t>SUPERINTENDENT AT NARCOTICS POLICE</t>
  </si>
  <si>
    <t>RAJSHREE ARYA</t>
  </si>
  <si>
    <t>Bungalow No. - 608, Omaxe Hills</t>
  </si>
  <si>
    <t>SANGAM SCHOOL OF EXCELLENCE</t>
  </si>
  <si>
    <t>SUBHASH ENGLISH H.S. SCHOOL</t>
  </si>
  <si>
    <t>BOARD OF SECONDARY EDUCATION, BHOPAL, MADHYA PRADESH</t>
  </si>
  <si>
    <t>UNIVERSITY INSTITUTE OF ARCHITECTURE, GHARUAN, PANJAB</t>
  </si>
  <si>
    <t>AutoCAD,MS Office,MS Project,Lumion,Rhinoceros,Site Survey,Virtual Reality,Client Handling,SAP,Project &amp; Operation Management,Detail Project Report</t>
  </si>
  <si>
    <t>TeamLease Services Limited  deputed to UltraTech Cement Limited |  Regional Lead Utec Experience centre | Jaipur | Aug 2022 | May 2024 | 1Y 9M | 5.12
Architect Raunak Parodkar | Junior Architect | Goa | Dec 2021 | Jun 2022 | 0Y 6M | 0.9</t>
  </si>
  <si>
    <t>M Infra Projects Pvt. Ltd. | Project Management and Project Coordination | Pune | May 2026 | Jul 2026 | 8.5714285714286 Weeks | Campus Internship
Guptas Associated &amp; Architects | Intern Architect | Indore | Jan 2020 | Jun 2020 | 24.285714285714 Weeks</t>
  </si>
  <si>
    <t>P25702124</t>
  </si>
  <si>
    <t>J K</t>
  </si>
  <si>
    <t>Aravind J K</t>
  </si>
  <si>
    <t>aravindjk21@gmail.com</t>
  </si>
  <si>
    <t>p25702124@student.nicmar.ac.in</t>
  </si>
  <si>
    <t>21-Feb-1997</t>
  </si>
  <si>
    <t>English, Hindi,Malayalam</t>
  </si>
  <si>
    <t>7932 0955 8784</t>
  </si>
  <si>
    <t>JAYAKUMAR G</t>
  </si>
  <si>
    <t>KUMARI SHEELA R</t>
  </si>
  <si>
    <t>RETIRED PRIVATE SCHOOL TEACHER</t>
  </si>
  <si>
    <t>Arunodayam, CRPN 113, Pangappara.P.O</t>
  </si>
  <si>
    <t>JYOTI NILAYAM SECONDARY SCHOOL, ST.ANDREWS, TRIVANDRUM, KERALA</t>
  </si>
  <si>
    <t>JYOTI NILAYAM HIGHER SECONDARY SCHOOL ST.ANDREWS TRIVANDRUM KERALA</t>
  </si>
  <si>
    <t>BOARD OF HIGHER SECONDARY EDUCATION KERALA</t>
  </si>
  <si>
    <t>APJ ABDUL KALAM TECHNOLOGICAL UNIVERSITY,THIRUVANANTHAPURAM, KERALA</t>
  </si>
  <si>
    <t>ST.THOMAS INSTITUTE FOR SCIENCE AND TECHNOLOGY, THIRUVANATHAPURAM, KERALA</t>
  </si>
  <si>
    <t>Sobha Limited | Planning, Project Management | Kochi, Kerala | May 2026 | Jul 2026 | 9 Weeks | Campus Internship
CONFIDENT GROUP | Site Engineer | Kozhikode, Thiruvanathapuram, Kerala | Oct 2024 | Jun 2025 | 33.571428571429 Weeks
RADIANZ Design-Build | Site Engineer | Thiruvananthapuram, Kerala | Apr 2022 | May 2023 | 58.714285714286 Weeks</t>
  </si>
  <si>
    <t>Business Communication
Foundations of Project Management
Sustainable Urban Water Systems
Real Estate Financial Modeling
Corporate Finance</t>
  </si>
  <si>
    <t>P25702125</t>
  </si>
  <si>
    <t>PRANITA</t>
  </si>
  <si>
    <t>PIPRADE</t>
  </si>
  <si>
    <t>Pranita Subhash Piprade</t>
  </si>
  <si>
    <t>pranitapiprade@gmail.com</t>
  </si>
  <si>
    <t>p25702125@student.nicmar.ac.in</t>
  </si>
  <si>
    <t>8967 5951 0219</t>
  </si>
  <si>
    <t>SHEGAON B.K NEAR BUS STOP AND PETROL PUMP</t>
  </si>
  <si>
    <t>Walmik Chowk, Sonal Talkies, Bhadrawati</t>
  </si>
  <si>
    <t>ST. ANNE'S HIGH SCHOOL WARORA</t>
  </si>
  <si>
    <t>SOMALWAR HIGH SCHOOL &amp; JUNIOR COLLEGE,NAGPUR</t>
  </si>
  <si>
    <t>PRIYADARSHINI INSTITUTE OF ARCHITECTURE &amp; DESIGN STUDIES</t>
  </si>
  <si>
    <t>AutoCAD,MS Office,photoshop,lumion,sketchup</t>
  </si>
  <si>
    <t>hasba design studio | junior architect | Nagpur | Jan 2024 | Apr 2025 | 1Y 2M | 1.2</t>
  </si>
  <si>
    <t>Bhate &amp; Raje construction company | Project Planning | Navi Mumbai | May 2026 | Jul 2026 | 8.4285714285714 Weeks | Campus Internship
VINAY JAISWAL AND ASSOCIATES | ARCHITECT INTERN | NAGPUR | Feb 2022 | Nov 2022 | 39.714285714286 Weeks</t>
  </si>
  <si>
    <t>autocad,photoshop,sketchup and lumion</t>
  </si>
  <si>
    <t>P25702126</t>
  </si>
  <si>
    <t>SAMANT</t>
  </si>
  <si>
    <t>Rahul Rajesh Samant</t>
  </si>
  <si>
    <t>rahul.r.samant@gmail.com</t>
  </si>
  <si>
    <t>p25702126@student.nicmar.ac.in</t>
  </si>
  <si>
    <t>20-Jul-1999</t>
  </si>
  <si>
    <t>Dance,Music,Gaming</t>
  </si>
  <si>
    <t>2861 3281 8106</t>
  </si>
  <si>
    <t>RAJESH SAMANT</t>
  </si>
  <si>
    <t>SAP CONSULTANT</t>
  </si>
  <si>
    <t>SHRUTI SAMANT</t>
  </si>
  <si>
    <t>BANK BRANCH MANAGER</t>
  </si>
  <si>
    <t>Room No. 4, Chandrauday Colony, Mahakali Caves Road, Near Little Flower High School, Andheri East</t>
  </si>
  <si>
    <t>ST. DOMINIC SAVIO HIGH SCHOOL</t>
  </si>
  <si>
    <t>SSC - MUMBAI, MAHRASHTRA</t>
  </si>
  <si>
    <t>BHAVAN'S COLLEGE</t>
  </si>
  <si>
    <t>HSC - MUMBAI, MAHARASHTRA</t>
  </si>
  <si>
    <t>VIVA SCHOOL OF ARCHITECTURE</t>
  </si>
  <si>
    <t>AutoCAD,MS Office,MS Project,Sketchup,Lumion,Enscape,Photoshop,Excel,Indesign</t>
  </si>
  <si>
    <t>TINGE By Rhea Truptesh | Jr. Architect | Andheri East, Mumbai | Jul 2022 | Jun 2024 | 1Y 11M | 2.37
Zeel Architects | Jr. Architect | Goregaon East, Mumbai | Jun 2024 | May 2025 | 0Y 11M | 3.36</t>
  </si>
  <si>
    <t>Kalpataru Ltd | Design Management | Mumbai | May 2026 | Jul 2026 | 9.5714285714286 Weeks | Campus Internship</t>
  </si>
  <si>
    <t>P25702127</t>
  </si>
  <si>
    <t>SUDHANSHU</t>
  </si>
  <si>
    <t>DAYMA</t>
  </si>
  <si>
    <t>Sudhanshu Mahendra Dayma</t>
  </si>
  <si>
    <t>sdayma316@gmail.com</t>
  </si>
  <si>
    <t>p25702127@student.nicmar.ac.in</t>
  </si>
  <si>
    <t>07-May-1996</t>
  </si>
  <si>
    <t>7205 9601 0877</t>
  </si>
  <si>
    <t>MAHENDRA DAYMA</t>
  </si>
  <si>
    <t>DURGA DAYMA</t>
  </si>
  <si>
    <t>Sukhakarta Row House No.9 Near Bus Stop , Shivaji Nagar, Satpur Nashik</t>
  </si>
  <si>
    <t>H.A.B ENGLISH MEDIUM SCHOOL</t>
  </si>
  <si>
    <t>GOKHALE'S EDUCATION SOCIETY (R.Y.K SCIENCE COLLEGE)</t>
  </si>
  <si>
    <t>OYSTER COLLEGE OF ARCHITECTURE, AURANGABAD, MAHARASHTRA</t>
  </si>
  <si>
    <t>AutoCAD,MS Office,MS Project,Primavera,Photoshop,Lumion,Adobe indesign,illustrator,corona render</t>
  </si>
  <si>
    <t>Puneet Urban spaces | Jr. Architect | Thane, Mumbai | Feb 2024 | Jul 2025 | 1Y 4M | 3.93
Atelier Design Studio | Jr. Architect | Kalyan | Dec 2021 | Jun 2023 | 1Y 5M | 2.16
Pvv infra | Jr. Architect | CST , Mumbai | Jun 2023 | Dec 2023 | 0Y 6M | 3.36</t>
  </si>
  <si>
    <t>3 Years 5 Months</t>
  </si>
  <si>
    <t>P25702128</t>
  </si>
  <si>
    <t>SAWALE</t>
  </si>
  <si>
    <t>Atharv Dipak Sawale</t>
  </si>
  <si>
    <t>atharvsawale2000@gmail.com</t>
  </si>
  <si>
    <t>p25702128@student.nicmar.ac.in</t>
  </si>
  <si>
    <t>ENGLISH,HINDI &amp; MARATHI</t>
  </si>
  <si>
    <t>2285 4256 3036</t>
  </si>
  <si>
    <t>HEMLATA</t>
  </si>
  <si>
    <t>PB BARBOLE FLAT NO. 8 RACHANA AVENUE, GOODLUK CHOUK, FC ROAD, DECCAN, PUNE</t>
  </si>
  <si>
    <t>Solapur Road,Sawale Chal, Barshi</t>
  </si>
  <si>
    <t>SULAKHE HIGH SCHOOL BARSHI</t>
  </si>
  <si>
    <t>SHRIMAN BHAUSAHEB ZADBUKE JR COLLEGE BARSHI</t>
  </si>
  <si>
    <t>MAEER'S MIT COLLEGE OF RAILWAY ENGINEERING &amp; RESEARCH, JAMGAON BARSHI</t>
  </si>
  <si>
    <t>Karan Builders  | Planning Intern  | Pune | May 2026 | Jul 2026 | 8.7142857142857 Weeks | Campus Internship</t>
  </si>
  <si>
    <t>Diploma Course in Railway Track Technology</t>
  </si>
  <si>
    <t>P25702129</t>
  </si>
  <si>
    <t>HIMMATBHAI</t>
  </si>
  <si>
    <t>MAKWANA</t>
  </si>
  <si>
    <t>Akash Himmatbhai Makwana</t>
  </si>
  <si>
    <t>akashmakwana347971@gmail.com</t>
  </si>
  <si>
    <t>p25702129@student.nicmar.ac.in</t>
  </si>
  <si>
    <t>16-Oct-1997</t>
  </si>
  <si>
    <t>ENGLISH, HINDI, GUJARATHI, MARATHI</t>
  </si>
  <si>
    <t>4485 4265 3650</t>
  </si>
  <si>
    <t>HIMMATBHAI BABUBHAI MAKWANA</t>
  </si>
  <si>
    <t>JAYA HIMMATBHAI MAKWANA</t>
  </si>
  <si>
    <t>5A/103, Shraddha Building, Asha Nagar, Thakur Complex, Kandivali East.</t>
  </si>
  <si>
    <t>CHILDRENS ACADEMY</t>
  </si>
  <si>
    <t>MAHARASHTRA STATE BOARD OF SECONDARY AND HIGHER SECONDARY EDUCATION, MUMBAI</t>
  </si>
  <si>
    <t>SHRI T P BHATIA COLLEGE OF SCIENCE, MUMBAI</t>
  </si>
  <si>
    <t>UNIVERSITY OF MUMBAI, MAHARASHTRA</t>
  </si>
  <si>
    <t>UNIVERSAL COLLEGE OF ENGINEERING, VASAI</t>
  </si>
  <si>
    <t>F. M. ENTERPRISES | PROJECT ENGINEER | MUMBAI | Mar 2021 | Jul 2022 | 1Y 4M | 1.92
C B AND SONS CONSTRUCTIONS PVT LTD | SITE ENGINEER | MUMBAI | Aug 2019 | Feb 2021 | 1Y 6M | 1.56</t>
  </si>
  <si>
    <t>P25702130</t>
  </si>
  <si>
    <t>VARUDEV</t>
  </si>
  <si>
    <t>Varudev Singh</t>
  </si>
  <si>
    <t>varudevsingh551@gmail.com</t>
  </si>
  <si>
    <t>p25702130@student.nicmar.ac.in</t>
  </si>
  <si>
    <t>30-Aug-2003</t>
  </si>
  <si>
    <t>HINDI , ENGLISH</t>
  </si>
  <si>
    <t>7134 6368 2680</t>
  </si>
  <si>
    <t>SURYADEV SINGH</t>
  </si>
  <si>
    <t>ANITA SINGH</t>
  </si>
  <si>
    <t>34 D Vijay Mandal Enclave Kalu Sarai</t>
  </si>
  <si>
    <t>THE MOTHERS INTERNATIONAL SCHOOL</t>
  </si>
  <si>
    <t>NEW DELHI</t>
  </si>
  <si>
    <t>THAPAR INSTITUTE OF ENGINEERING AND TECHNOLOGY PATIALA PUNJAB</t>
  </si>
  <si>
    <t xml:space="preserve"> Emaar Properties | Project Planning Intern | gurgaon | May 2026 | Jul 2026 | 8.5714285714286 Weeks | Campus Internship</t>
  </si>
  <si>
    <t>P25702131</t>
  </si>
  <si>
    <t>JAVALIKAR</t>
  </si>
  <si>
    <t>Tushar Kumar Javalikar</t>
  </si>
  <si>
    <t>tusharjavalikar7@gmail.com</t>
  </si>
  <si>
    <t>p25702131@student.nicmar.ac.in</t>
  </si>
  <si>
    <t>29-Sep-2002</t>
  </si>
  <si>
    <t>ENGLISH,HINDI,MARATHI,KANNADA.</t>
  </si>
  <si>
    <t>4158 1680 2368</t>
  </si>
  <si>
    <t>KUMAR JAVALIKAR</t>
  </si>
  <si>
    <t>BUISNESS MAN</t>
  </si>
  <si>
    <t>ANUPAMA KUMAR JAVALIKAR</t>
  </si>
  <si>
    <t>NEAR IB OFFICE PATTEKAR LAYOUT HALIYAL_x000D_</t>
  </si>
  <si>
    <t>Uttara Kannada</t>
  </si>
  <si>
    <t>At Post Mangalwad Tq Haliyal.</t>
  </si>
  <si>
    <t>V.V.D SCHOOL OF EXCELLENCE HALIYAL</t>
  </si>
  <si>
    <t>KLS PU COLLEGE HALIYAL</t>
  </si>
  <si>
    <t>KLS VDIT HALIYAL</t>
  </si>
  <si>
    <t>KLS VDIT HALIYAL KARNATAKA</t>
  </si>
  <si>
    <t>Repplen Projects Private Limited  | Intern-Planning  | Pune New Sangvi  | May 2026 | Jun 2026 | 8.1428571428571 Weeks | Campus Internship
B.M.ASSOCIATES | Site Engineer  | huballi karnataka | Aug 2023 | Sep 2023 | 3.4285714285714 Weeks</t>
  </si>
  <si>
    <t>CIVIL ENGINEERS TRAINING INSTITUTE</t>
  </si>
  <si>
    <t>P25702132</t>
  </si>
  <si>
    <t>KHYATI</t>
  </si>
  <si>
    <t>SUSHIL</t>
  </si>
  <si>
    <t>Khyati Sushil Gupta</t>
  </si>
  <si>
    <t>ar.khyati08@gmail.com</t>
  </si>
  <si>
    <t>p25702132@student.nicmar.ac.in</t>
  </si>
  <si>
    <t>28-Mar-2001</t>
  </si>
  <si>
    <t>4241 5494 8087</t>
  </si>
  <si>
    <t>SUSHIL GUPTA</t>
  </si>
  <si>
    <t>MONIKA KUMARI</t>
  </si>
  <si>
    <t>804, Hitakshi Heights, Indralok, Phase-8, Near Kamlakar Patil Hall, Bhayander East, Thane-401105</t>
  </si>
  <si>
    <t>MAHARASHTRA STATE BOARD OF SECONDARY AND HIGHER SECONDARY EDUCATION â€“ THANE, MAHARASHTRA</t>
  </si>
  <si>
    <t>SARDAR VALLABHBHAI PATEL VIDYALAYA AND JR. COLLEGE</t>
  </si>
  <si>
    <t>MAHARASHTRA STATE BOARD OF SECONDARY AND HIGHER SECONDARY EDUCATION â€“ MUMBAI, MAHARASHTRA</t>
  </si>
  <si>
    <t>THAKUR SCHOOL OF ARCHITECTURE AND PLANNING â€“ MUMBAI, MAHARASHTRA</t>
  </si>
  <si>
    <t>AutoCAD,MS Office,MS Project,Photoshop,Sketchup,lumion,powerpoint</t>
  </si>
  <si>
    <t>Vision 1 Architects | Junior Architect | Kandivali East, Mumbai, Maharashtra 400093 | Jul 2023 | Apr 2024 | 0Y 9M | 2.16
EKA Architects | Junior Architect | Andheri West, Mumbai, Maharashtra 400093 | Jun 2024 | Dec 2024 | 0Y 6M | 3</t>
  </si>
  <si>
    <t>ANA DESIGNS PVT. LTD. | INTERN ARCHITECT | ANDHERI EAST, MUMBAI, MAHARASHTRA | Feb 2022 | May 2022 | 15.714285714286 Weeks
Ashwin Sheth Group | Planning Intern | Thane, Mumbai | May 2026 | Jul 2026 | 8.8571428571429 Weeks</t>
  </si>
  <si>
    <t>Architecture Software &amp; Workshops</t>
  </si>
  <si>
    <t>P25702133</t>
  </si>
  <si>
    <t>ANGAD</t>
  </si>
  <si>
    <t>SIRSAT</t>
  </si>
  <si>
    <t>Omkar Angad Sirsat</t>
  </si>
  <si>
    <t>omkarsirsat15@gmail.com</t>
  </si>
  <si>
    <t>p25702133@student.nicmar.ac.in</t>
  </si>
  <si>
    <t>15-Jun-2003</t>
  </si>
  <si>
    <t>2545 4480 2875</t>
  </si>
  <si>
    <t>ANGAD SIRSAT</t>
  </si>
  <si>
    <t>ANURADHA SIRSAT</t>
  </si>
  <si>
    <t>Dhaneshwar,plot No-45, Sector No-10 Shriram Colony , Sector-10, Bhosari Pradhikaran</t>
  </si>
  <si>
    <t>PIMPRI CHINCHWAD POLYTECHNIC / PUNE</t>
  </si>
  <si>
    <t>DR.D.Y. PATIL SCHOOL OF ENGINEERING&amp;TECHNOLOGY PUNE-26</t>
  </si>
  <si>
    <t xml:space="preserve">Asian Paints | Sales engineering Intern | Pune | May 2026 | Jul 2026 | 0Y 2M | 3.5 </t>
  </si>
  <si>
    <t>R.D. DESPANDAY CONSULTANTS PVT LTD | TRAINEE ENGINEER  | PRADHIKARAN NIGDI | May 2024 | Nov 2024 | 25.142857142857 Weeks</t>
  </si>
  <si>
    <t>P25702134</t>
  </si>
  <si>
    <t>Prajapati Kirtan Nitinkumar</t>
  </si>
  <si>
    <t>prajapatikirtan09@gmail.com</t>
  </si>
  <si>
    <t>p25702134@student.nicmar.ac.in</t>
  </si>
  <si>
    <t>31-Aug-2004</t>
  </si>
  <si>
    <t>ENGLISH, GUJARATI, HINDI</t>
  </si>
  <si>
    <t>3059 4229 8769</t>
  </si>
  <si>
    <t>YOGITABEN</t>
  </si>
  <si>
    <t>2/889, Bhagvati Society, Behind Mahi Colony, Collage Chowkdi, Petlad</t>
  </si>
  <si>
    <t>CONVENT OF JESUS AND MARY HIGH SCHOOL</t>
  </si>
  <si>
    <t>DHARMSINH DESAI UNIVERSITY NADIAD</t>
  </si>
  <si>
    <t>AutoCAD,MS Office,MS Project,Primavera,SketchUp,Revit/BIM</t>
  </si>
  <si>
    <t>RUDRANI INFRASTRUCTURE &amp; DEVELOPER | PROJECT MANAGEMENT INTERN | VADODARA | May 2026 | Jul 2026 | 8.7142857142857 Weeks | Campus Internship
R &amp; B Sub Division Anand | Civil Engineering Intern | Anand | Dec 2024 | Mar 2025 | 16.714285714286 Weeks
DARSHANAM SMART SPACES | JUNIOR CIVIL ENGINEER | VADODARA | May 2024 | Jun 2024 | 4.8571428571429 Weeks</t>
  </si>
  <si>
    <t>P25702136</t>
  </si>
  <si>
    <t>YASHWANT</t>
  </si>
  <si>
    <t>Swapnil Yashwant Jadhav</t>
  </si>
  <si>
    <t>31s.swapniljadhav@gmail.com</t>
  </si>
  <si>
    <t>p25702136@student.nicmar.ac.in</t>
  </si>
  <si>
    <t>27-Jul-2001</t>
  </si>
  <si>
    <t>5437 2265 3473</t>
  </si>
  <si>
    <t>GOLD VALUER</t>
  </si>
  <si>
    <t>FLAT NO -403, WING C, PLOT NO 12, VASTU. FILM CITY, ZONE 4 NR RAHEJA TOWER</t>
  </si>
  <si>
    <t>85/631, Swarganga  Co. Op. Housing Society, MHB Colony, Dindoshi  Nagar, Near Reliance Energy</t>
  </si>
  <si>
    <t>YASHODHAM HIGH SCHOOL &amp; JUNIOR COLLEGE</t>
  </si>
  <si>
    <t>THAKUR POLYTECHNIC, KANDIVALI(E), MUMBAI-400101, MAHARASHTRA</t>
  </si>
  <si>
    <t>VIDYA VIKAS EDUCATION TRUSTS UNIVERSAL  COLLEGE OF ENGINEERING,KAMAN,VASAI-401208</t>
  </si>
  <si>
    <t>AutoCAD,MS Office,MS Project,Primavera,Interpretation of structural and architectural drawings,Labor and staff management,Good communication skills,Leadership skills,Time management,Analytical &amp; Problem Solving  Skills,Material management,Quantity Take-Of</t>
  </si>
  <si>
    <t>Prithvi Enterprises | Trainee Engineer | Goregaon(W), Mumbai-400104, Maharashtra  | Jun 2023 | Dec 2023 | 0Y 6M | 2.64
Talib &amp; Shamsi Construction PVT LTD | Jr Engineer | Borivali (E), Mumbai-400104, Maharashtra. | Jan 2024 | May 2025 | 1Y 4M | 3.24</t>
  </si>
  <si>
    <t>PSP Projects Limited | Civil Intern | Dharavi,Mumbai | May 2026 | Jun 2026 | 7.8571428571429 Weeks | Campus Internship</t>
  </si>
  <si>
    <t>Course on Primavera project management(P6),Certified by Cadd center, Andheri(East) ,Mumbai
Certification in auto cad 2D ,Certified by Max computer education, Kandivali (W),Mumbai
Certifications course in Auto cad 2D and Primavera P6 in project management
Certificate course in auto cad 2D and Primavera P6 project management
1) Certificate course in Auto cad 2D</t>
  </si>
  <si>
    <t>P25702137</t>
  </si>
  <si>
    <t>AASHAY</t>
  </si>
  <si>
    <t>Aashay Suresh Bhagat</t>
  </si>
  <si>
    <t>aashaybhagat22@gmail.com</t>
  </si>
  <si>
    <t>p25702137@student.nicmar.ac.in</t>
  </si>
  <si>
    <t>22-Oct-1999</t>
  </si>
  <si>
    <t>4902 5905 9130</t>
  </si>
  <si>
    <t>SURESH BHAGAT</t>
  </si>
  <si>
    <t>ARUNA BHAGAT</t>
  </si>
  <si>
    <t>YOUTHVILLE BALEWADI 2, NEAR AMAR TECH PARK, BALEWADI, PUNE</t>
  </si>
  <si>
    <t>10, Bhagat Nagar, Near Sutgirni, Wanadongri, Hingna, Nagpur</t>
  </si>
  <si>
    <t>VIMALTAI TIDKE CONVENT AND JR. COLLEGE</t>
  </si>
  <si>
    <t>AutoCAD,MS Office,MS Project,Primavera,Revit (Architectural MEP &amp; Structural),Navisworks,Recap Pro,Adobe InDesign,Lumion,Sketchup,Twinmotion</t>
  </si>
  <si>
    <t>Akshay Bobde and Associates | Jr. Architect | Nagpur | Sep 2023 | Jun 2024 | 0Y 9M | 1.5
Specuwin (a subsidiary of pinnacleiit) | BIM Modeller | Remote | Jan 2023 | Aug 2023 | 0Y 7M | 1.5</t>
  </si>
  <si>
    <t>Architect Rushikesh H. | Project Management Intern | Mumbai | May 2026 | Jul 2026 | 9.5714285714286 Weeks | Campus Internship
Ar. Joseph D'silva | Intern Architect | Panjim, Goa | Mar 2021 | Jul 2021 | 19.428571428571 Weeks</t>
  </si>
  <si>
    <t>Revit
Autocad
Advance BIM Professional Training</t>
  </si>
  <si>
    <t>P25702138</t>
  </si>
  <si>
    <t>BAPU</t>
  </si>
  <si>
    <t>Aditya Bapu Jadhav</t>
  </si>
  <si>
    <t>adityajadhav17831@gmail.com</t>
  </si>
  <si>
    <t>p25702138@student.nicmar.ac.in</t>
  </si>
  <si>
    <t>17-Jun-2003</t>
  </si>
  <si>
    <t>6469 4028 8753</t>
  </si>
  <si>
    <t>BAPU JADHAV</t>
  </si>
  <si>
    <t>USHA JADHAV</t>
  </si>
  <si>
    <t>FLAT NO 5 SHRI HARI PALACE SWAMI VIVEKANANDA COLONY  BEHIND ROYAL MEDICO CHAUDHARY PARK WAKAD</t>
  </si>
  <si>
    <t>Ramwadi Jinti Near Vitthal Temple Solapur</t>
  </si>
  <si>
    <t>SHRI FATTECHAND JAIN VIDYALAYA AND JUNIOR COLLEGE CHINCHWAD</t>
  </si>
  <si>
    <t>GOVERMENT POLYTECHNIC PUNE</t>
  </si>
  <si>
    <t>SINHGAD INSTITUTE OF TECHNOLOGY AND SCIENCE PUNE</t>
  </si>
  <si>
    <t>Sobha Ltd. | Project planning  | Sobha Ayana Bangalore  | May 2026 | Jul 2026 | 9 Weeks | Campus Internship
NYATI ENGINEERS CONSULTANTS PVT. LTD | SITE ENGINEER | THE CORINTHIANS RESORTS &amp; CLUB UNDRI PUNE | Aug 2021 | Sep 2021 | 5.7142857142857 Weeks
AK construction  &amp; Architectural | site engineer | mangalmay restaurant vidani tal.phaltan Dist.satara | Dec 2023 | Jan 2024 | 3.8571428571429 Weeks</t>
  </si>
  <si>
    <t>P25702139</t>
  </si>
  <si>
    <t>H</t>
  </si>
  <si>
    <t>Darshan B H</t>
  </si>
  <si>
    <t>darshanbhgowrpade@gmail.com</t>
  </si>
  <si>
    <t>p25702139@student.nicmar.ac.in</t>
  </si>
  <si>
    <t>15-Feb-2002</t>
  </si>
  <si>
    <t>ENGLISH, HINDI, KANNADA &amp; TELUGU</t>
  </si>
  <si>
    <t>9467 5920 7185</t>
  </si>
  <si>
    <t>HANUMANTHAPPA</t>
  </si>
  <si>
    <t>ASHA H B</t>
  </si>
  <si>
    <t>5/1 2ND FLOOR, 2ND MAIN_x000D_
AZADNAGAR, CHAMARAJPET</t>
  </si>
  <si>
    <t>S/O Hanumanthappa, Benkikere(v) Hodigere (p) Channagiri(T) Davanagere(D)</t>
  </si>
  <si>
    <t>SRI RAMAKRISHNA ENGLISH MEDIUM H S</t>
  </si>
  <si>
    <t>MAGANUR BASAPPA PU COLLAGE</t>
  </si>
  <si>
    <t>DEPARTMENT OF PRE-UNIVERCITY EDUCATION</t>
  </si>
  <si>
    <t>VISVESVARAYA TECHNOLOGICAL UNIVERCITY</t>
  </si>
  <si>
    <t>NITTE MEENAKSHI INSTITUE OF TECHNOLOGY</t>
  </si>
  <si>
    <t>SAFEX TECHNO SOLUTIONS | PROJECT MANAGEMENT INTERN | Kushalanagara | May 2026 | Jul 2026 | 10.571428571429 Weeks | Campus Internship
Sobha Limited | Trainee Site Engineer | Bangalore  | Jul 2023 | Aug 2023 | 4.4285714285714 Weeks</t>
  </si>
  <si>
    <t>P25702140</t>
  </si>
  <si>
    <t>SUBHASHREE</t>
  </si>
  <si>
    <t>ACHARYA</t>
  </si>
  <si>
    <t>Subhashree Acharya</t>
  </si>
  <si>
    <t>acharyasubhashree58@gmail.com</t>
  </si>
  <si>
    <t>p25702140@student.nicmar.ac.in</t>
  </si>
  <si>
    <t>01-Jul-1998</t>
  </si>
  <si>
    <t>8050 0226 1799</t>
  </si>
  <si>
    <t>BIRAJA PRASAD ACHARYA</t>
  </si>
  <si>
    <t>GOVT. EMPLOYEE</t>
  </si>
  <si>
    <t>SNEHALATA ACHARYA</t>
  </si>
  <si>
    <t>D-1, Lane-1, Bairagi Nagar, Jharpada Cenal Road</t>
  </si>
  <si>
    <t>VIVEKANANDA SIKSHA KENDRA</t>
  </si>
  <si>
    <t>BOARD OF SECONDARY EDUCATION, ODISHA</t>
  </si>
  <si>
    <t>ARCHITECTURAL ASSISTANTSHIP</t>
  </si>
  <si>
    <t>GOVERNMENT POLYTECHNIC, BHUBANESWAR</t>
  </si>
  <si>
    <t>PILOO MODY COLLEGE OF ARCHITECTURE, CUTTACK</t>
  </si>
  <si>
    <t>AutoCAD,MS Office,MS Project,Photoshop,sketchup,lumion,indesign,GIS</t>
  </si>
  <si>
    <t>Cushman &amp; Wakefield India | Project management Intern | Pune | May 2026 | Jul 2026 | 8.7142857142857 Weeks | Campus Internship</t>
  </si>
  <si>
    <t>P25702141</t>
  </si>
  <si>
    <t>PAYAL</t>
  </si>
  <si>
    <t>R.</t>
  </si>
  <si>
    <t>Payal R. Kshirsagar</t>
  </si>
  <si>
    <t>payalkshirsagar237@gmail.com</t>
  </si>
  <si>
    <t>p25702141@student.nicmar.ac.in</t>
  </si>
  <si>
    <t>24-Feb-2000</t>
  </si>
  <si>
    <t>3155 4040 6377</t>
  </si>
  <si>
    <t>101, Plot 208/209 Surangama Appartment_x000D_
Manewada</t>
  </si>
  <si>
    <t>KSHIRSAGAR PAYAL RAVINDRA</t>
  </si>
  <si>
    <t>INSTITUTE OF DESIGN EDUCATION &amp; ARCHITECTURAL STUDIES, NAGPUR, MAHARASHTRA</t>
  </si>
  <si>
    <t>AutoCAD,MS Office,MS Project,sketup,photoshop,lumion,revit,coral</t>
  </si>
  <si>
    <t>Origin Associates | Junior Architect | Pune  | Dec 2022 | Apr 2025 | 2Y 4M | 5.4</t>
  </si>
  <si>
    <t>aXYKno Capital Services Pvt Ltd | Real Estate Advisory Intern  | Nagpur | May 2026 | Jul 2026 | 8.7142857142857 Weeks | Campus Internship
Misal Architects And Associates | Intern  | Nagpur | May 2021 | Oct 2021 | 22.571428571429 Weeks</t>
  </si>
  <si>
    <t>P25702142</t>
  </si>
  <si>
    <t>RAIKAR</t>
  </si>
  <si>
    <t>Vedant Damodar Raikar</t>
  </si>
  <si>
    <t>raikar.vedant@gmail.com</t>
  </si>
  <si>
    <t>p25702142@student.nicmar.ac.in</t>
  </si>
  <si>
    <t>09-Mar-2000</t>
  </si>
  <si>
    <t>ENGLISH, HINDI, MARATHI, KONKANI, GUJRATI</t>
  </si>
  <si>
    <t>3984 6902 0953</t>
  </si>
  <si>
    <t>DAMODAR RAIKAR</t>
  </si>
  <si>
    <t>VIDYA RAIKAR</t>
  </si>
  <si>
    <t>501 VISHWADHAM CO-OP SOCIETY, NEHRU NAGAR, KURLA E</t>
  </si>
  <si>
    <t>A/14 Pethe Nagar Society, Kedarmal Road , Malad East</t>
  </si>
  <si>
    <t>AVM HIGH SCHOOL</t>
  </si>
  <si>
    <t>MUMBAI, MAHARASHTRA</t>
  </si>
  <si>
    <t>SHRI T P BHATIA JR. COLLEGE OF SCIENCE</t>
  </si>
  <si>
    <t>AutoCAD,MS Office,Lumion,Sketchup,Photoshop,vray</t>
  </si>
  <si>
    <t>Metadesigns | Junior Architect/ Project Architect | Mumbai, Maharashtra | Feb 2024 | Apr 2025 | 1Y 2M | 2.4
Form Space and Design Architects (FSND) | Junior Architect | Mumbai, Maharashtra | Jul 2023 | Sep 2023 | 0Y 2M | 2.16</t>
  </si>
  <si>
    <t>SHASHI PRABHU AND ASSOCIATES | INTERN ARCHITECT | MUMBAI, MAHARASHTRA | Dec 2021 | Apr 2022 | 18.428571428571 Weeks</t>
  </si>
  <si>
    <t>P25702143</t>
  </si>
  <si>
    <t>SIDDARTH</t>
  </si>
  <si>
    <t>Siddarth S</t>
  </si>
  <si>
    <t>siddarthselvaraj3@gmail.com</t>
  </si>
  <si>
    <t>p25702143@student.nicmar.ac.in</t>
  </si>
  <si>
    <t>24-May-2003</t>
  </si>
  <si>
    <t>Tamil, English, Kannada</t>
  </si>
  <si>
    <t>4940 0127 2075</t>
  </si>
  <si>
    <t>SELVARAJ K</t>
  </si>
  <si>
    <t>COOK</t>
  </si>
  <si>
    <t>NITHYANANTHI</t>
  </si>
  <si>
    <t>1/229, 4th Street, Rasichettipalayam,_x000D_
Zamin Uthukuli(PO),_x000D_
Pollachi - 642004</t>
  </si>
  <si>
    <t>MANI HIGHER SECONDARY SCHOOL</t>
  </si>
  <si>
    <t>TAMILNADU STATEBOARD</t>
  </si>
  <si>
    <t>KPR INSTITUTE OF ENGINEERING AND TECHNOLOGY, COIMBATORE, TAMIL NADU.</t>
  </si>
  <si>
    <t>AutoCAD,MS Office,MS Project,SketchUp,Tekla Structures,Adobe illustrator,RIB Candy</t>
  </si>
  <si>
    <t>Sublime Structures | Junior Detailing Engineer | Coimbatore | May 2024 | Jun 2025 | 1Y 1M | 2.4</t>
  </si>
  <si>
    <t>Modulus Housing | Founder's office - Operations | IITM. Chennai | May 2026 | Jul 2026 | 8.7142857142857 Weeks | Campus Internship
KPR Institute of Engineering and Technology | Designing Trainee | Coimbatore | Jun 2022 | Jun 2022 | 2 Weeks
G Ramamoorthi Constructions (I) Pvt Ltd | Assistant Site Engineer | Coimbatore | Dec 2021 | Dec 2021 | 2.2857142857143 Weeks</t>
  </si>
  <si>
    <t>L&amp;T Edutech - Formwork Engineering Practices
L&amp;T Edutech - Project Management For Engineers
L&amp;T Edutech - Concreting Techniques and Practices
NPTEL - Corporate Finance</t>
  </si>
  <si>
    <t>P25702144</t>
  </si>
  <si>
    <t>DAVE</t>
  </si>
  <si>
    <t>Hrishikesh Gopal Dave</t>
  </si>
  <si>
    <t>hrishikeshdave99@gmail.com</t>
  </si>
  <si>
    <t>p25702144@student.nicmar.ac.in</t>
  </si>
  <si>
    <t>Hindi, English, Marathi, Marwari</t>
  </si>
  <si>
    <t>Exploring new places,Interacting with new  people,Photography,Trekking &amp; hiking,Sports</t>
  </si>
  <si>
    <t>7019 2724 9204</t>
  </si>
  <si>
    <t>GOPAL MADANLAL DAVE</t>
  </si>
  <si>
    <t>REKHA GOPAL DAVE</t>
  </si>
  <si>
    <t>FL A 102 TODKAR ANGAN SN-41/2A YEWALEWADI NR. ZP SCHOOL PUNE-48</t>
  </si>
  <si>
    <t>ROSARY SCHOOLS &amp; JR COLLEGE</t>
  </si>
  <si>
    <t>MAHARASHTRA BOARD OF SECONDARY SCHOOL CERTIFICATE PUNE</t>
  </si>
  <si>
    <t>TRINITY POLYTECHNIC</t>
  </si>
  <si>
    <t>TRINITY ACADEMY COLLEGE OF ENGINEERING</t>
  </si>
  <si>
    <t>Pragati Engineering | Operational Intern  | Pune | Dec 2024 | May 2025 | 21.571428571429 Weeks</t>
  </si>
  <si>
    <t>P25702145</t>
  </si>
  <si>
    <t>CHORE</t>
  </si>
  <si>
    <t>Chore Vaibhavi Pradip</t>
  </si>
  <si>
    <t>vaibhavichore49@gmail.com</t>
  </si>
  <si>
    <t>p25702145@student.nicmar.ac.in</t>
  </si>
  <si>
    <t>3114 0649 1140</t>
  </si>
  <si>
    <t>Dnyneshwari Nagar,Near Arav Pride ,Shegaon-Rahatgaon Road,</t>
  </si>
  <si>
    <t>RAJESHWARI VIDYA MANDIR</t>
  </si>
  <si>
    <t>P.R.PATIL COLLEGE OF ARCHITECTURE, AMRAVATI</t>
  </si>
  <si>
    <t>AutoCAD,MS Office,MS Project, Primavera,MS PowerPoint, MS Excel, MS Word, Candy, Canva</t>
  </si>
  <si>
    <t>Krishna Rrealty | Operations Intern | Pune | May 2026 | Jul 2026 | 9.7142857142857 Weeks | Campus Internship</t>
  </si>
  <si>
    <t>Infrastructure Economics</t>
  </si>
  <si>
    <t>P25702146</t>
  </si>
  <si>
    <t>MOOLVANSHI</t>
  </si>
  <si>
    <t>Abhinav Moolvanshi</t>
  </si>
  <si>
    <t>abhinavmoolvanshi71617@gmail.com</t>
  </si>
  <si>
    <t>p25702146@student.nicmar.ac.in</t>
  </si>
  <si>
    <t>2835 7840 2701</t>
  </si>
  <si>
    <t>AKHILESH KUMAR</t>
  </si>
  <si>
    <t>9B/89 VRINDAVAN YOJNA,RAIBARELI ROAD,LUCKNOW</t>
  </si>
  <si>
    <t>LUCKNOW PUBLIC SCH VRINDAVAN YOJANA LUCKNOW UP</t>
  </si>
  <si>
    <t>CBSE LUCKNOW UP</t>
  </si>
  <si>
    <t>ST HENRY PUB IC MADEHGANJ KHADRA LUCKNOW</t>
  </si>
  <si>
    <t>UP BOARD, LUCKNOW/UTTAR PRADESH</t>
  </si>
  <si>
    <t>BABASAHEB BHIMRAO AMBEDKAR UNIVERSITY</t>
  </si>
  <si>
    <t>BABASAHEB BHIMRAO AMBEDKAR UNIVERSITY LUCKNOW</t>
  </si>
  <si>
    <t>AutoCAD,MS Office,MS Project,REVIT ARCHITECTURE 2021,STAAD PRO V8i</t>
  </si>
  <si>
    <t>REPPLEN PROJECTS PRIVATE LIMITED | INTERN-PLANNING | PRAYAGRAJ | May 2026 | Jun 2026 | 8.1428571428571 Weeks | Campus Internship
AMNA | Trainee | Basti | Mar 2024 | Sep 2024 | 30.285714285714 Weeks
RDSO | Trainee | Lucknow | Jun 2022 | Jul 2022 | 3.5714285714286 Weeks</t>
  </si>
  <si>
    <t>Autodesk AutoCad, Revit Architecture</t>
  </si>
  <si>
    <t>P25702147</t>
  </si>
  <si>
    <t>Bhushan Gopal Chaudhari</t>
  </si>
  <si>
    <t>chaudharibhushan9990@gmail.com</t>
  </si>
  <si>
    <t>p25702147@student.nicmar.ac.in</t>
  </si>
  <si>
    <t>18-Nov-2001</t>
  </si>
  <si>
    <t>2276 2390 8175</t>
  </si>
  <si>
    <t>GOPAL CHAUDHARI</t>
  </si>
  <si>
    <t>VANDANA CHAUDHARI</t>
  </si>
  <si>
    <t>Plot No.12,professor Colony,near Biyani High School,Bhusawal</t>
  </si>
  <si>
    <t>ST. ALOYSIUS CONVENT HIGH SCHOOL</t>
  </si>
  <si>
    <t>SCC MAHARASHTRA BOARD</t>
  </si>
  <si>
    <t>P O NAHATA COLLEGE, BHUSAWAL</t>
  </si>
  <si>
    <t>SHRI GULABRAO DEONAR COLLEGE OF ENGINEERING</t>
  </si>
  <si>
    <t>DR. BABASAHEB AMBEDKAR TECHNOLOGICAL UNIVERSITY, BHUSAWAL</t>
  </si>
  <si>
    <t>SHRI. SANT GADGEBABA COLLEGE OF ENGINEERING AND TECHNOLOGY, BHUSAWAL</t>
  </si>
  <si>
    <t>Quantity surveying and project billing using MS-EXCEL
Microsoft project
Autocad
Construction project management
Sustainable Urban Water Systems
Urban Land Economics and Real Estate Market Dynamics</t>
  </si>
  <si>
    <t>P25702148</t>
  </si>
  <si>
    <t>KHEMCHAND</t>
  </si>
  <si>
    <t>CHAINANI</t>
  </si>
  <si>
    <t>Aditya Khemchand Chainani</t>
  </si>
  <si>
    <t>adityachainani29@gmail.com</t>
  </si>
  <si>
    <t>p25702148@student.nicmar.ac.in</t>
  </si>
  <si>
    <t>09-Jun-2002</t>
  </si>
  <si>
    <t>Exploring new places,Interacting with new people,Photography,Trekking &amp; hiking,Sports</t>
  </si>
  <si>
    <t>2034 2840 7117</t>
  </si>
  <si>
    <t>VINITA</t>
  </si>
  <si>
    <t>LIFE REPUBLIC,R16 AREZO A, WING A, GAIKWAD NAGAR RD, PUNAWALE, PUNE</t>
  </si>
  <si>
    <t>Plot No 478,Sindhi Colony , Khamla, Nagpur</t>
  </si>
  <si>
    <t>SOMALWAR NIKALAS HIGH SCHOOL &amp; JR. COLLEGE</t>
  </si>
  <si>
    <t>MAHARASHTRA BOARD OF SECONDARY AND HIGHER SECONDARY EDUCATION PUNE. NAGPUR/MAHARASHTRA</t>
  </si>
  <si>
    <t>AutoCAD,MS Project,Project Planning and Management,NAVISWORK MANAGE 2025,REVIT ARCHITECTURE 2025</t>
  </si>
  <si>
    <t>Singhania Buildcon Pvt. Ltd. | Planning, Site execution &amp; Control, and Procurement  | Raipur, Chhattisgarh  | May 2026 | Jul 2026 | 8.7142857142857 Weeks | Campus Internship
NIRMAYI CONSTRUCTION | TRAINEE SITE ENGINEER | NAGPUR | Jun 2024 | Jul 2024 | 3.2857142857143 Weeks
PLA PROJECTS PRIVATE LIMITED | TRAINEE SITE ENGINEER | NAGPUR | Dec 2024 | Apr 2025 | 19 Weeks</t>
  </si>
  <si>
    <t>Naviswork Manage
Revit Architecture
Project Planning and Management</t>
  </si>
  <si>
    <t>P25702149</t>
  </si>
  <si>
    <t>p25702149@student.nicmar.ac.in</t>
  </si>
  <si>
    <t>P25702150</t>
  </si>
  <si>
    <t>SRUSHTI</t>
  </si>
  <si>
    <t>LOMTE</t>
  </si>
  <si>
    <t>Srushti Viraj Lomte</t>
  </si>
  <si>
    <t>lomte.srushti@gmail.com</t>
  </si>
  <si>
    <t>p25702150@student.nicmar.ac.in</t>
  </si>
  <si>
    <t>7587 6418 1462</t>
  </si>
  <si>
    <t>VIRAJ LOMTE</t>
  </si>
  <si>
    <t>YOGITA LOMTE</t>
  </si>
  <si>
    <t>I 1104 AMITS BLOOMFIELD,AMBEGAON BK . NEAR INDRAYANI SCHOOL PUNE</t>
  </si>
  <si>
    <t>Rajeev Township_x000D_
1 Vijayshree Apt_x000D_
Rajiv Nagar</t>
  </si>
  <si>
    <t>SYMBIOSIS SCHOOL , NASHIK</t>
  </si>
  <si>
    <t>SHREE PRAMOD PATIL JUNIOR COLLEGE</t>
  </si>
  <si>
    <t>SPACE EVOLVE CONSULTANTS | ARCHITECTURAL INTERN  | NASHIK  | Jun 2024 | Oct 2024 | 19.857142857143 Weeks
Suprabhat Buidcon | Business Development intern  | Nashik  | May 2026 | Jul 2026 | 8.7142857142857 Weeks</t>
  </si>
  <si>
    <t>Green Building certication , elective course</t>
  </si>
  <si>
    <t>P25702151</t>
  </si>
  <si>
    <t>RAJAT</t>
  </si>
  <si>
    <t>RASANE</t>
  </si>
  <si>
    <t>Rajat Rahul Rasane</t>
  </si>
  <si>
    <t>rajatxrasane@gmail.com</t>
  </si>
  <si>
    <t>p25702151@student.nicmar.ac.in</t>
  </si>
  <si>
    <t>06-May-2002</t>
  </si>
  <si>
    <t>6729 3291 5479</t>
  </si>
  <si>
    <t>RAHUL RASANE</t>
  </si>
  <si>
    <t>RAKHEE RASANE</t>
  </si>
  <si>
    <t>6, Shriketan Apartments, 425/13 TMV Colony, Mukundnagar, Pune 411037</t>
  </si>
  <si>
    <t>HUTCHINGS HIGH SCHOOL</t>
  </si>
  <si>
    <t>RAJIV GANDHI ACADEMY OF E-LEARNING SCHOOL &amp; JUNIOR COLLEGE OF SCIENCE</t>
  </si>
  <si>
    <t>M/s Rahul Rasane | Site Engineer / Project Manager | Girikunj - Taljai Hills, Taljai Pathar, Dhankawadi, Pune 411043 | Jun 2024 | Jan 2025 | 0Y 7M | 4.2</t>
  </si>
  <si>
    <t>Corporate Finance</t>
  </si>
  <si>
    <t>P25702152</t>
  </si>
  <si>
    <t>RUTIK</t>
  </si>
  <si>
    <t>LAXMANRAO</t>
  </si>
  <si>
    <t>GIRADKAR</t>
  </si>
  <si>
    <t>Rutik Laxmanrao Giradkar</t>
  </si>
  <si>
    <t>rutikgiradkar@gmail.com</t>
  </si>
  <si>
    <t>p25702152@student.nicmar.ac.in</t>
  </si>
  <si>
    <t>05-Oct-2000</t>
  </si>
  <si>
    <t>2470 1320 6060</t>
  </si>
  <si>
    <t>Ekurli, Po- Talegaon Talatule, Tah- Wardha, Dist- Wardha, Maharashtra, 442001</t>
  </si>
  <si>
    <t>INDIAN MILITARY SCHOOL</t>
  </si>
  <si>
    <t>SHRI VYANKAYTESH JUNIOR COLLEGE</t>
  </si>
  <si>
    <t>MS Project, Primavera P6, MS Office, AutoCAD, Revit-Architecture</t>
  </si>
  <si>
    <t>REPPLEN PROJECTS PRIVATE LIMITED | Planning Intern | Pune | May 2026 | Jun 2026 | 8.1428571428571 Weeks | Campus Internship
PUBLIC WORKS DIVISION | Intern | P.W. Sub Division, Seloo, Wardha, Maharashtra | Feb 2022 | Jul 2022 | 25.571428571429 Weeks
BAJAJ AUTO LIMITED | Intern | Bajaj Nagar, Waluj, Midc, Aurangabad, Maharashtra | Aug 2019 | Aug 2019 | 0.71428571428571 Weeks</t>
  </si>
  <si>
    <t>AutoCAD
Revit Architecture
SAP2000</t>
  </si>
  <si>
    <t>P25702153</t>
  </si>
  <si>
    <t>AMDHARE</t>
  </si>
  <si>
    <t>Ayush Narendra Amdhare</t>
  </si>
  <si>
    <t>ayush664041@gmail.com</t>
  </si>
  <si>
    <t>p25702153@student.nicmar.ac.in</t>
  </si>
  <si>
    <t>03-Dec-2002</t>
  </si>
  <si>
    <t>7673 1483 7106</t>
  </si>
  <si>
    <t>YOUTHVILLE BALEWADI 2, NEXT TO AMAR TECH PARK, PUNE, MAHARASHTRA 411045</t>
  </si>
  <si>
    <t>Plot No.31,kohley Layout,khadgaon Road,wadi,</t>
  </si>
  <si>
    <t>CDS SCHOOL NAGPUR</t>
  </si>
  <si>
    <t>G H RAISONI VIDYA NIKETAN NAGPUR MAHARASHTRA</t>
  </si>
  <si>
    <t>TIRPUDE INSTITUTE OF MANAGEMENT EDUCATION, SADAR, NAGPUR/MAHARASHTRA</t>
  </si>
  <si>
    <t>OPEN WINGS FOUNDATION | Non-profit organization | Noida, Uttar Pradesh | Jul 2024 | Oct 2024 | 13.142857142857 Weeks</t>
  </si>
  <si>
    <t>P2201001</t>
  </si>
  <si>
    <t>ESHIKA</t>
  </si>
  <si>
    <t>Eshika Vikas Patil</t>
  </si>
  <si>
    <t>eshikapatil8@gmail.com</t>
  </si>
  <si>
    <t>p2201001@student.nicmar.ac.in</t>
  </si>
  <si>
    <t>22-Jun-2004</t>
  </si>
  <si>
    <t>Dance,Singing,Painting,Swimming,Reading</t>
  </si>
  <si>
    <t>3568 7659 0201</t>
  </si>
  <si>
    <t>VIKAS TUKARAM PATIL</t>
  </si>
  <si>
    <t>MEGHA VIKAS PATIL</t>
  </si>
  <si>
    <t>H - 1003, Lake Vista Society, Shaninagar, Katraj</t>
  </si>
  <si>
    <t>AARYANS WORLDS SCHOOL</t>
  </si>
  <si>
    <t>NATIONAL INSTITUTE OF OPEN SCHOOLING</t>
  </si>
  <si>
    <t>NICMAR UNIVERSITY, PUNE</t>
  </si>
  <si>
    <t>MS Office,C++,c</t>
  </si>
  <si>
    <t>RUCHA GROUP | HR INTERN  | SHIVAJINAGAR, PUNE | May 2024 | Jul 2024 | 8.7142857142857 Weeks
COGNIZEN INNOVATION | HR+ MARKETING  | DELHI  | May 2025 | Jul 2025 | 8.7142857142857 Weeks</t>
  </si>
  <si>
    <t>Yoga and positive psychology for managing career and life
Hindi Bhasha Bodh
Korean I
English for research paper writing</t>
  </si>
  <si>
    <t>P2201002</t>
  </si>
  <si>
    <t>UDIT</t>
  </si>
  <si>
    <t>Udit Singh</t>
  </si>
  <si>
    <t>kabirsingh231456@gmail.com</t>
  </si>
  <si>
    <t>p2201002@student.nicmar.ac.in</t>
  </si>
  <si>
    <t>25-Feb-2004</t>
  </si>
  <si>
    <t>7816 1680 8281</t>
  </si>
  <si>
    <t>LOKENDRA SINGH</t>
  </si>
  <si>
    <t>RASHMI SINGH</t>
  </si>
  <si>
    <t>115, MBH BOYS HOSTEL, NICMAR UNIVERSITY, POST OFFICE, 25/1, BALEWADI ROAD, RAM NAGAR, BANER, PUNE, MAHARASHTRA</t>
  </si>
  <si>
    <t>HOUSE NUMBER 119, AVTAR SINGH ROAD, AGRA CANTT, AGRA, UTTAR PRADESH</t>
  </si>
  <si>
    <t>Agra</t>
  </si>
  <si>
    <t>NALANDA ACADEMY ANANTPURA, KOTA, RAJASTHAN</t>
  </si>
  <si>
    <t>CENTRAL BOARD OF SECONDARY EDUCATION, KOTA, RAJASTHAN</t>
  </si>
  <si>
    <t>MAHI INTERNATIONAL SCHOOL, AGRA, UTTAR PRADESH</t>
  </si>
  <si>
    <t>CENTRAL BOARD OF SECONDARY EDUCATION, AGRA, UTTAR PRADESH</t>
  </si>
  <si>
    <t>MS Office,C &amp; C++ PROGRAMMING,ORACLE,PHOTOSHOP,ILLUSTRATOR</t>
  </si>
  <si>
    <t>SRV MEDIA PVT. LTD | DIGITAL MARKETING | 3RD FLOOR, OFFICE NO. 301, NANDAN PROBIZ, NEAR BALEWADI HIGH STREET, LAXMAN NAGAR, BANER, PUNE, MAHARASHTRA 411045 | May 2024 | Jul 2024 | 8.7142857142857 Weeks
Nicmar | Data Analyst  | Online  | Jul 2024 | Sep 2024 | 8.8571428571429 Weeks
UNIVERSITY OF ILLINOIS | FINANCIAL ACCOUNTING WORK THROUGH COURSERA | ONLINE  | May 2025 | Jul 2025 | 8.7142857142857 Weeks</t>
  </si>
  <si>
    <t>P2201003</t>
  </si>
  <si>
    <t>VIJIT</t>
  </si>
  <si>
    <t>Vijit Yadav</t>
  </si>
  <si>
    <t>vijityadav37@gmail.com</t>
  </si>
  <si>
    <t>p2201003@student.nicmar.ac.in</t>
  </si>
  <si>
    <t>10-Feb-2005</t>
  </si>
  <si>
    <t>ENGLISH AND  HINDI</t>
  </si>
  <si>
    <t>Sports,Yoga,Trekking,Reading,Rubik&amp;#39;s Cube</t>
  </si>
  <si>
    <t>8589 1137 0658</t>
  </si>
  <si>
    <t>GREESH CHANDRA YADAV</t>
  </si>
  <si>
    <t>EX-SERVICEMAN</t>
  </si>
  <si>
    <t>MANJU LATA</t>
  </si>
  <si>
    <t>NICMAR UNIVERSITY, MBH ROOM NO- 116, 25/1, BALEWADI, NEAR NIA POST OFFICE</t>
  </si>
  <si>
    <t>14/ JASWANT ESTATE COLONY, KOLLAKHA, DEORI ROAD, AGRA, UTTAR PRADESH</t>
  </si>
  <si>
    <t>VIJIT YADAV</t>
  </si>
  <si>
    <t>MS Office,Python (programming language),C (programming language),RDBMS (relational database management system),MS EXCEL,Adobe Photoshop,Adobe Illustrator</t>
  </si>
  <si>
    <t>SRV MEDIA PVT. LTD | DIGITAL MARKETING  | PUNE | May 2024 | Jul 2024 | 8.7142857142857 Weeks
UNIVERSITY OF ILLINOIS | FINANCIAL ACCOUNTING WORK THROUGH COURSERA | ONLINE | May 2025 | Jul 2025 | 8.7142857142857 Weeks</t>
  </si>
  <si>
    <t>Excel in finance
Python</t>
  </si>
  <si>
    <t>P2201006</t>
  </si>
  <si>
    <t>ANINDITA</t>
  </si>
  <si>
    <t>JEEVAN</t>
  </si>
  <si>
    <t>Anindita Jeevan</t>
  </si>
  <si>
    <t>aninditaj1234@gmail.com</t>
  </si>
  <si>
    <t>p2201006@student.nicmar.ac.in</t>
  </si>
  <si>
    <t>20-May-2003</t>
  </si>
  <si>
    <t>ENGLISH,HINDI,MALAYALAM,MARATHI,FRENCH</t>
  </si>
  <si>
    <t>Dancing,Painting,Content creation,Journalling,Swimming,Singing,Listening to Music</t>
  </si>
  <si>
    <t>9731 1150 6250</t>
  </si>
  <si>
    <t>JEEVAN KOOLOTHUMKANDY</t>
  </si>
  <si>
    <t>SONA JEEVAN</t>
  </si>
  <si>
    <t>C 902, Vatsalya Vihar, Nagras Road, Aundh,Pune 411007</t>
  </si>
  <si>
    <t>INDIRA NATIONAL SCHOOL</t>
  </si>
  <si>
    <t>CBSE DELHI BOARD(MAHARASHTRA)</t>
  </si>
  <si>
    <t>MS Office,Basics of MS Excel,MYSQL Basics,PYTHON Basics,ILLUSTRATOR Basics,Photoshop basics,Office 365,RDBMS BASICS,C++ basics</t>
  </si>
  <si>
    <t>Dancing Curve Institute | Instructor, Admin | Aundh  | Aug 2021 | Sep 2025 | 4Y 1M | 2</t>
  </si>
  <si>
    <t>Millennium Engineers and Contractors | HR INTERN | Balewadi Pune | May 2024 | Jul 2024 | 8 Weeks
Dancing Curve Institute | Marketing , Sales and Administration Executive | Pune | May 2025 | Jul 2025 | 8.7142857142857 Weeks</t>
  </si>
  <si>
    <t>Getting started with MS Office 365</t>
  </si>
  <si>
    <t>P2201007</t>
  </si>
  <si>
    <t>BHANGALE</t>
  </si>
  <si>
    <t>Pooja Jayant Bhangale</t>
  </si>
  <si>
    <t>pjbnicmar@gmail.com</t>
  </si>
  <si>
    <t>p2201007@student.nicmar.ac.in</t>
  </si>
  <si>
    <t>21-Jul-2003</t>
  </si>
  <si>
    <t>Music,Badminton,Trekking</t>
  </si>
  <si>
    <t>2527 7626 9526</t>
  </si>
  <si>
    <t>CHARUSHILA</t>
  </si>
  <si>
    <t>B-2 Suyash Row Bunglow, Krushna Park, Panchak, Jail Road, Nashik Road</t>
  </si>
  <si>
    <t>RYAN INTERNATIONAL SCHOOL</t>
  </si>
  <si>
    <t>NUTAN VIDYAMANDIR</t>
  </si>
  <si>
    <t>NICMAR UNIVERSITY,. PUNE</t>
  </si>
  <si>
    <t>MS Office,PowerPoint</t>
  </si>
  <si>
    <t>RUCHA GROUP | HR INTERN | SHIVAJI NAGAR, PUNE | May 2024 | Jul 2024 | 8.7142857142857 Weeks
COGNIZEN INNOVATIONS | HR AND MARKETING INTERN  | DELHI-NCR (WORK FROM HOME) | May 2025 | Jul 2025 | 8.7142857142857 Weeks</t>
  </si>
  <si>
    <t>Yoga and Positive Psychology for Managing Career and Life
Hindi Bhasha Bhod
English for research paper writing</t>
  </si>
  <si>
    <t>P2201008</t>
  </si>
  <si>
    <t>ZAKIYA</t>
  </si>
  <si>
    <t>SHAMSHUDDIN</t>
  </si>
  <si>
    <t>MULLA</t>
  </si>
  <si>
    <t>Zakiya Shamshuddin Mulla</t>
  </si>
  <si>
    <t>zakiyamulla08@gmail.com</t>
  </si>
  <si>
    <t>p2201008@student.nicmar.ac.in</t>
  </si>
  <si>
    <t>08-Jul-2004</t>
  </si>
  <si>
    <t>English ,Hindi ,Marathi</t>
  </si>
  <si>
    <t>sketching,painting,singing,travelling,learning new languages</t>
  </si>
  <si>
    <t>5174 4560 7081</t>
  </si>
  <si>
    <t>RETIRED STATE GOVERNMENT OFFICER</t>
  </si>
  <si>
    <t>TARANNUM</t>
  </si>
  <si>
    <t>A-403 Mithras Park ,Near Shivar Chowk, Pimple Saudagar</t>
  </si>
  <si>
    <t>D A V PUBLIC SCHOOL</t>
  </si>
  <si>
    <t>S N B P INTERNATIONAL SCHOOL</t>
  </si>
  <si>
    <t>NICMAR UNIVERISTY, PUNE</t>
  </si>
  <si>
    <t>Application of SQL(Queries and Joints), Application of Python, Excel (Dashboards; Data analytics; pivot charts),Strategic Generative AI Research,MS Project, Ms office,PowerBi,Adobe Photoshop and illustrator</t>
  </si>
  <si>
    <t>Econstruct Design and Build Private Limited | Project Management Intern | Bengaluru | May 2026 | Jun 2026 | 8.1428571428571 Weeks | Campus Internship
SRV MEDIA PVT. LTD | DIGITAL MARKETING - INTERN | BALEWADI HIGH STREET, LAXMAN NAGAR, BANER, PUNE, MAHARASHTRA 411045 | May 2024 | Jun 2024 | 7.5714285714286 Weeks
UNIVERSITY OF ILLINOIS | FINANCIAL ACCOUNTING WORK THROUGH COURSERA | ONLINE  | May 2025 | Jul 2025 | 8.7142857142857 Weeks</t>
  </si>
  <si>
    <t>Lean Six Sigma Green Belt Certification Programme by KPMG
Investment Risk Management
Create a Financial Statement using Microsoft Excel
Business Analysis &amp; Process Management
Financial Management
Financial Analysis - Skills  for Success</t>
  </si>
  <si>
    <t>P2201010</t>
  </si>
  <si>
    <t>PRAMIT</t>
  </si>
  <si>
    <t>Pramit - Gupta</t>
  </si>
  <si>
    <t>primepramit@gmail.com</t>
  </si>
  <si>
    <t>p2201010@student.nicmar.ac.in</t>
  </si>
  <si>
    <t>02-Sep-2004</t>
  </si>
  <si>
    <t>Artwork,collecting books,Technology,Simulators,Lego</t>
  </si>
  <si>
    <t>3771 5557 9327</t>
  </si>
  <si>
    <t>SOFTWARE ENGIRNEER,DIRECTOR</t>
  </si>
  <si>
    <t>GEETA</t>
  </si>
  <si>
    <t>HOUSEWIFE(PREVIOUSLY HOME TUTOR AND BUSINESS WOMAN)</t>
  </si>
  <si>
    <t>B 601 Golden Trellis ,golden Street,near Madhuban Society Balewadi,pune_x000D_
411045</t>
  </si>
  <si>
    <t>RADCLIFFE</t>
  </si>
  <si>
    <t>THANE</t>
  </si>
  <si>
    <t>BARNES SCHOOL AND JUNIOR COLLEGE</t>
  </si>
  <si>
    <t>NASIK</t>
  </si>
  <si>
    <t>NICMAR UNIVERSITY, PUNE/MAHARASTRA</t>
  </si>
  <si>
    <t>other,powerpoint</t>
  </si>
  <si>
    <t>CANOPUS INFOSYSTEMS PVT. LTD. | MARKET RESEARCHER  | MUNICH, GERMANNY | Jun 2024 | Jul 2024 | 8.5714285714286 Weeks
Coursera (Industry-Recognized Certification Program | Summer Intern (Finance &amp; Business Management via Online Certification | Remote/Online (Partner Universities: University of Pennsylvania, Duke University, University of Illinois Urbana-Champaign | Jun 2025 | Jul 2025 | 8.5714285714286 Weeks</t>
  </si>
  <si>
    <t>P25703001</t>
  </si>
  <si>
    <t>DHANPAL</t>
  </si>
  <si>
    <t>KAWALE</t>
  </si>
  <si>
    <t>Chinmay Dhanpal Kawale</t>
  </si>
  <si>
    <t>chinmayk090401@gmail.com</t>
  </si>
  <si>
    <t>p25703001@student.nicmar.ac.in</t>
  </si>
  <si>
    <t>09-Apr-2001</t>
  </si>
  <si>
    <t>9692 8181 4424</t>
  </si>
  <si>
    <t>DHANPAL KAWALE</t>
  </si>
  <si>
    <t>REKHA KAWALE</t>
  </si>
  <si>
    <t>SKY LINE PG 2, 503, OPPOSITE HIRAI SITAI MANDIR</t>
  </si>
  <si>
    <t>Sai Mauly Colony, Fulchur Peth</t>
  </si>
  <si>
    <t>GUJARATI NATIONAL HIGH SCHOOL, GONDIA-441614</t>
  </si>
  <si>
    <t>MAHARASHTRA STATE BOARD SECONDARY EDUCATION, PUNE, MAHARASHTRA</t>
  </si>
  <si>
    <t>SAKET JR. COLLEGE GONDIA</t>
  </si>
  <si>
    <t>KAVI KULGURU INSTITUTE OF TECHNOLOGY AND SCIENCE, RAMTEK</t>
  </si>
  <si>
    <t>P25703002</t>
  </si>
  <si>
    <t>ROSHNI</t>
  </si>
  <si>
    <t>SANDEEP</t>
  </si>
  <si>
    <t>GODBOLE</t>
  </si>
  <si>
    <t>Roshni Sandeep Godbole</t>
  </si>
  <si>
    <t>roshni.godbole7@gmail.com</t>
  </si>
  <si>
    <t>p25703002@student.nicmar.ac.in</t>
  </si>
  <si>
    <t>07-Sep-2003</t>
  </si>
  <si>
    <t>6498 5713 0324</t>
  </si>
  <si>
    <t>SANDEEP GODBOLE</t>
  </si>
  <si>
    <t>VIDYA GODBOLE</t>
  </si>
  <si>
    <t>Flat No.- 5, Jenika Apt, Near Shivaji Uday Mandal, Tanaji Nagar, Chinchwad, Pune-33.</t>
  </si>
  <si>
    <t>BLOSSOM PUBLIC SCHOOL, TATHAWADE</t>
  </si>
  <si>
    <t>MECHANICAL ENGINEERING</t>
  </si>
  <si>
    <t>GOVERNMENT POLYTECHNIC, PUNE, MAHARASHTRA</t>
  </si>
  <si>
    <t>PIMPRI CHINCHWAD COLLEGE OF ENGINEERING, NIGDI, PUNE-44.</t>
  </si>
  <si>
    <t>AutoCAD,MS Project,Solid Edge,Python,Tableau,SQL,Microsoft Power BI,MS Excel</t>
  </si>
  <si>
    <t>INTRAINZ INNOVATION PVT LTD. | RESEARCH INTERN  | BENGALURU, KARNATAKA | Feb 2024 | Apr 2024 | 8.5714285714286 Weeks
High Energy Materials Research Laboratory, DRDO, Ministry of Defence. | Design Intern | Sutarwadi, Pune-411021 | May 2024 | Jul 2024 | 10 Weeks</t>
  </si>
  <si>
    <t>emS Stock Market Institute - Basic to Advance (Indian stock market)
CAD DESK- NX CAD
NPTEL - Computer Integrated Manufacturing.
Unstop Brand Management
Coursera Operations Management
Coursera International Business</t>
  </si>
  <si>
    <t>P25703003</t>
  </si>
  <si>
    <t>PRERNA</t>
  </si>
  <si>
    <t>Prerna Kumari</t>
  </si>
  <si>
    <t>prerna840900@gmail.com</t>
  </si>
  <si>
    <t>p25703003@student.nicmar.ac.in</t>
  </si>
  <si>
    <t>11-Oct-2004</t>
  </si>
  <si>
    <t>5937 8786 3732</t>
  </si>
  <si>
    <t>HARENDRA KISHOR PD SINGH</t>
  </si>
  <si>
    <t>RITA KUMARI</t>
  </si>
  <si>
    <t>NICMAR UNIVERSITY, MILLENNIUM GIRL'S HOSTEL, _x000D_
ROOM NO - 801</t>
  </si>
  <si>
    <t>Simra , Parsa Bazar_x000D_</t>
  </si>
  <si>
    <t>DESTINY INTERNATIONAL SCHOOL</t>
  </si>
  <si>
    <t>GYANODAYA GURUKUL</t>
  </si>
  <si>
    <t>PATLIPUTRA UNIVERSITY</t>
  </si>
  <si>
    <t>ARCADE BUSINESS COLLAGE, PATNA</t>
  </si>
  <si>
    <t>MS Office,Tally prime</t>
  </si>
  <si>
    <t>Certificate of Completion Advance Diploma In Computer Application
Certificate for Completion of LibreOffice Suite Calc 6.3 Training by Spoken Tutorial Project
Certificate for Completion of LibreOffice Suite Impress 6.3 Training by Spoken Tutorial Project
Certificate For Completion of LibreOffice Suite Writer 6.3 Training by Spoken Tutorial Project
Certificate for Completion of Introduction to Computer Training by Spoken Tutorial Project
Certificate of Completion Communication Skills by Microsoft
Certificate of Completion Digital Productivity  by Microsoft
Certificate of completion Enterpreneurship by Microsoft
Certificate of completion Employability skills by Microsoft
Certificate programme in Banking, Finance and Insurance by Bajaj Finserv Limited</t>
  </si>
  <si>
    <t>P25703004</t>
  </si>
  <si>
    <t>Sneha Kumari</t>
  </si>
  <si>
    <t>snehakumari1592000@gmail.com</t>
  </si>
  <si>
    <t>p25703004@student.nicmar.ac.in</t>
  </si>
  <si>
    <t>15-Sep-2001</t>
  </si>
  <si>
    <t>7065 4965 7148</t>
  </si>
  <si>
    <t>VISHWANATH PRASAD</t>
  </si>
  <si>
    <t>DIMPAL DEVI</t>
  </si>
  <si>
    <t>NICMAR UNIVERSITY, MILLENNIUM GIRL'S HOSTEL, ROOM NO. 801</t>
  </si>
  <si>
    <t>NANDLAL CHHAPRA</t>
  </si>
  <si>
    <t>PREMALOK MISSION SCHOOL</t>
  </si>
  <si>
    <t>AMIRCHAND BALIKA UCHH VIDYALAYA</t>
  </si>
  <si>
    <t>BIHAR BOARD OF OPEN SCHOOLING &amp; EXAMINATION, PATNA</t>
  </si>
  <si>
    <t>ARCADE BUSINESS COLLEGE, PATNA</t>
  </si>
  <si>
    <t>MS Office,Tally Prime</t>
  </si>
  <si>
    <t>Certificate for completion of Certified Industrial Accountant (Modular)
Certificate for completion of LibreOffice Suite Calc 6.3 Training by Spoken Tutorial Project
Certificate for completion of LibreOffice Suite Impress 6.3 training by Spoken Tutorial Project
Certificate for completion of LibreOffice Suite Writer 6.3 training by Spoken Tutorial Project
Certificate for completion of Gedit Text Editor training by Spoken Tutorial Project
Certificate for completion of introduction to computer training by Spoken Tutorial Project
Certificate of completion Communication Skills by Microsoft
Certificate of completion of Digital productivity by Microsoft
Certificate of completion Entrepreneurship by Microsoft
Certificate of completion Employbility Skills by Microsoft
Certificate programme  in Banking, finance and Insurance by Bajaj Finserv Limited
HR Workshop Certificate Programme in Banking, Finance and Insurance by Bajaj Finserv Limited</t>
  </si>
  <si>
    <t>P25703005</t>
  </si>
  <si>
    <t>RATH</t>
  </si>
  <si>
    <t>Ayush Rath</t>
  </si>
  <si>
    <t>ayushrathdb@gmail.com</t>
  </si>
  <si>
    <t>p25703005@student.nicmar.ac.in</t>
  </si>
  <si>
    <t>English, Hindi &amp; Odia</t>
  </si>
  <si>
    <t>4501 3198 7662</t>
  </si>
  <si>
    <t>PRAKASH CHANDRA RATHA</t>
  </si>
  <si>
    <t>LAXMIPRIYA MISHRA</t>
  </si>
  <si>
    <t>D2-202, NISARG NIRMITI HOUSING SOCIETY, PIMPLE SAUDAGAR</t>
  </si>
  <si>
    <t>Nuapada Chhak, Madhupatna</t>
  </si>
  <si>
    <t>Cuttack</t>
  </si>
  <si>
    <t>SNBP INTERNATIONAL SCHOOL</t>
  </si>
  <si>
    <t>MIT SCHOOL OF ENGINEERING PUNE</t>
  </si>
  <si>
    <t>Spades Entertainment | Executive Marketing &amp; Business Development | Pune | Jun 2023 | Jun 2025 | 2Y 0M | 2.88</t>
  </si>
  <si>
    <t>P25703006</t>
  </si>
  <si>
    <t>VARIMA</t>
  </si>
  <si>
    <t>Varima Tripathi</t>
  </si>
  <si>
    <t>varimatripathi@gmail.com</t>
  </si>
  <si>
    <t>p25703006@student.nicmar.ac.in</t>
  </si>
  <si>
    <t>7804 9253 7674</t>
  </si>
  <si>
    <t>ATUL KANTI TRIPATHI</t>
  </si>
  <si>
    <t>NISHA TRIPATHI</t>
  </si>
  <si>
    <t>20/1, First Floor, West Patel Nagar</t>
  </si>
  <si>
    <t>New Delhi</t>
  </si>
  <si>
    <t>BR AMBEDKAR UNIVERSITY DELHI</t>
  </si>
  <si>
    <t>AMBEDKAR COLLEGE, NEW DELHI, DELHI</t>
  </si>
  <si>
    <t>MS Office,MS Project,MS Excel,JIRA</t>
  </si>
  <si>
    <t>Ahluwalia Contracts (India) ltd.  | Supply chain and security intern  | Okhla, Delhi NCR  | May 2026 | Jul 2026 | 8.7142857142857 Weeks | Campus Internship
Playhard Academy | Assistant Coach | Delhi | Mar 2025 | Jul 2025 | 17.428571428571 Weeks
Pamm Advertising and Marketing | Finance Intern | Delhi | Jul 2023 | Jul 2023 | 3.8571428571429 Weeks</t>
  </si>
  <si>
    <t>Methods and statistics in social science- final research project
Qualitative Research Methods
Operations Management
Basic statistics
National level case study competition in supply chain
Advanced Entrepreneurship-Cum Skill Development Programme
TCS Youth Employment Program</t>
  </si>
  <si>
    <t>P25703007</t>
  </si>
  <si>
    <t>Sakshi Jaiswal</t>
  </si>
  <si>
    <t>jaiswalsakshi22062001@gmail.com</t>
  </si>
  <si>
    <t>p25703007@student.nicmar.ac.in</t>
  </si>
  <si>
    <t>9653 3010 7200</t>
  </si>
  <si>
    <t>DHIRENDRA JAISWAL</t>
  </si>
  <si>
    <t>SARITA JAISWAL</t>
  </si>
  <si>
    <t>GEETAPURI CHAURAHA , KHARGAPUR , GOMTINAGAR</t>
  </si>
  <si>
    <t>Durga Mandir Road , Bhatpar Rani</t>
  </si>
  <si>
    <t>Deoria</t>
  </si>
  <si>
    <t>LITTLE FLOWER SCHOOL , SALEMPUR</t>
  </si>
  <si>
    <t>LUCKNOW PUB COL VINAMRA KHAND GOMTI NGR LUCKNOW</t>
  </si>
  <si>
    <t>BABU BANARASI DAS UNIVERSITY</t>
  </si>
  <si>
    <t>BABU BANARASI DAS UNIVERSITY LUCKNOW</t>
  </si>
  <si>
    <t>Product Management
Excel for Beginners
Nisargamitra natural farming and study center
Business Analytics with Excel: Elementary to Advanced
International Business I
Operations Management
Introduction to Marketing
Microsoft office 365
Negotiation fundamentals</t>
  </si>
  <si>
    <t>P25703008</t>
  </si>
  <si>
    <t>VAIDYA</t>
  </si>
  <si>
    <t>Atharva Sudhir Vaidya</t>
  </si>
  <si>
    <t>atharvavaidya0711@gmail.com</t>
  </si>
  <si>
    <t>p25703008@student.nicmar.ac.in</t>
  </si>
  <si>
    <t>9834 0588 9722</t>
  </si>
  <si>
    <t>SUDHIR RAMBHAU VAIDYA</t>
  </si>
  <si>
    <t>DE</t>
  </si>
  <si>
    <t>RANJANA SUDHIR VAIDYA</t>
  </si>
  <si>
    <t>Plot No. 133, Parvati Nagar, Behind Jeevan School, Nagpur 440027</t>
  </si>
  <si>
    <t>SOMALWAR HIGHSCHOOL NIKALAS BRANCH</t>
  </si>
  <si>
    <t>STATE BOARD NAGPUR/MAHARASHTRA</t>
  </si>
  <si>
    <t>DIPLOMA IN AUTOMOBILE ENGINEERING</t>
  </si>
  <si>
    <t>VISHWAKARMA INSTITUTE OF TECHNOLOGY, PUNE/MAHARASHTRA</t>
  </si>
  <si>
    <t>AutoCAD,MS Office,Powerbi,Fusion 360,Advanced Exel,SQL</t>
  </si>
  <si>
    <t>Metafold Engineering Pvt. Ltd. | ERP Engineer Trainee | Pune, India | Aug 2024 | Apr 2025 | 0Y 8M | 3.97</t>
  </si>
  <si>
    <t>Edsom Fintech | Finance + B.A. Intern | Pune | May 2026 | Jun 2026 | 7.7142857142857 Weeks | Campus Internship
INDTAMP INDUSTRIES | INTERN | PUNE | Jan 2024 | Jun 2024 | 21.714285714286 Weeks</t>
  </si>
  <si>
    <t>P25703009</t>
  </si>
  <si>
    <t>SHEETAL</t>
  </si>
  <si>
    <t>Sheetal S</t>
  </si>
  <si>
    <t>sheetalgowda.1216@gmail.com</t>
  </si>
  <si>
    <t>p25703009@student.nicmar.ac.in</t>
  </si>
  <si>
    <t>10-Jan-1998</t>
  </si>
  <si>
    <t>English, Hindi, Kannada, Konkani</t>
  </si>
  <si>
    <t>6369 9604 8642</t>
  </si>
  <si>
    <t>SHIVALINGAIAH</t>
  </si>
  <si>
    <t>#11, Near Sadhana Public School, Ganigarapalya, Talaghattpura Post</t>
  </si>
  <si>
    <t>PRARTHANA CENTRAL SCHOOL</t>
  </si>
  <si>
    <t>CBSE BENGALURU</t>
  </si>
  <si>
    <t>JNANASWEEKAR PU COLLEGE</t>
  </si>
  <si>
    <t>DAYANANDA SAGAR ACADEMY OF TECHNOLOGY AND MANAGEMENT, BENGALURU</t>
  </si>
  <si>
    <t>MS Office,Power BI</t>
  </si>
  <si>
    <t>Concentrix | Senior Engineer | Bengaluru | Jul 2019 | Jun 2021 | 1Y 10M | 2.85
Telus International | Online Data Analyst | Freelance | Dec 2021 | Mar 2025 | 3Y 2M | 1.5</t>
  </si>
  <si>
    <t>5 Years 0 Months</t>
  </si>
  <si>
    <t>Twikk Sustainability Solutions LLP | Executive - Sustainable Supply Chain | Ahmedabad | May 2026 | Jul 2026 | 9.7142857142857 Weeks | Campus Internship
Bosch Rexroth | Intern | Bengaluru | Jul 2018 | Aug 2018 | 3.5714285714286 Weeks</t>
  </si>
  <si>
    <t>P25703010</t>
  </si>
  <si>
    <t>JORWEKAR</t>
  </si>
  <si>
    <t>Ajinkya Chandrakant Jorwekar</t>
  </si>
  <si>
    <t>ajinkyajorwekar6847@gmail.com</t>
  </si>
  <si>
    <t>p25703010@student.nicmar.ac.in</t>
  </si>
  <si>
    <t>10-May-2002</t>
  </si>
  <si>
    <t>4938 0986 6692</t>
  </si>
  <si>
    <t>CHANDRAKANT JORWEKAR</t>
  </si>
  <si>
    <t>GEETAANJALI JORWEKAR</t>
  </si>
  <si>
    <t>Court Road Gajanannagar Kopargaon</t>
  </si>
  <si>
    <t>MAHARSHI VIDHYA MANDIR</t>
  </si>
  <si>
    <t>CBSE KOPARGAON/MAHARASHTRA</t>
  </si>
  <si>
    <t>2006-Aug</t>
  </si>
  <si>
    <t>SHRI SAI BABA UCCHA MADHYAMIK MAHAVIDHYALAY</t>
  </si>
  <si>
    <t>SPPU, PUNE</t>
  </si>
  <si>
    <t>SANJIVANI COLLEGE OF PHARMACEUTICAL AND RESEARCH KOPARGAON/MAHARASHTRA</t>
  </si>
  <si>
    <t>MS Office,MS Project,RGui,Python</t>
  </si>
  <si>
    <t>Econstruct Design and Build | Business Devlopment | Bangalore | May 2026 | Jul 2026 | 9.7142857142857 Weeks | Campus Internship
Advanced Enzymes | Intern | Malegaon MIDC sinnar,Nashik-422113 | Jul 2023 | Aug 2023 | 2.4285714285714 Weeks
Holden Medical Laboratories | Intern | Malegaon MIDC sinnar,Nashik-422113 | Jul 2023 | Aug 2023 | 4.2857142857143 Weeks</t>
  </si>
  <si>
    <t>P25703011</t>
  </si>
  <si>
    <t>VAGISHA</t>
  </si>
  <si>
    <t>KASHYAP</t>
  </si>
  <si>
    <t>Vagisha Kashyap</t>
  </si>
  <si>
    <t>vagishak962@mail.com</t>
  </si>
  <si>
    <t>p25703011@student.nicmar.ac.in</t>
  </si>
  <si>
    <t>19-Mar-2003</t>
  </si>
  <si>
    <t>2225 5907 3135</t>
  </si>
  <si>
    <t>VINOD KUMAR TIWARI</t>
  </si>
  <si>
    <t>GAZETTE VETERINARY DOCTOR</t>
  </si>
  <si>
    <t>NEHA TIWARI</t>
  </si>
  <si>
    <t>H/o Y.N Tiwari , Azad Nagar , Road No 2 , East Lane , Kankarbagh , Patna</t>
  </si>
  <si>
    <t>CARMEL HIGH SCHOOL , PATNA</t>
  </si>
  <si>
    <t>ICSE ,BIHAR</t>
  </si>
  <si>
    <t>ISC , BIHAR</t>
  </si>
  <si>
    <t>BANARAS HINDU UNIVERSITY</t>
  </si>
  <si>
    <t>ARYA MAHILA POST GRADUATE COLLEGE , VARANASI</t>
  </si>
  <si>
    <t>MS Office,I HAVE A BACKGRAOUND KNOWLEDGE ON CANVAS</t>
  </si>
  <si>
    <t>4Ps of Marketing Mix</t>
  </si>
  <si>
    <t>P25703014</t>
  </si>
  <si>
    <t>Aditya Singh</t>
  </si>
  <si>
    <t>aditya3708@gmail.com</t>
  </si>
  <si>
    <t>p25703014@student.nicmar.ac.in</t>
  </si>
  <si>
    <t>7384 8400 8088</t>
  </si>
  <si>
    <t>SANJEEV KUMAR SINGH</t>
  </si>
  <si>
    <t>BABITA SINGH</t>
  </si>
  <si>
    <t>1st Floor , Cerise Floors , Central Park Flower Valley , Sector 32-33 , Sohna , Gurugram.</t>
  </si>
  <si>
    <t>ARAVALI INTERNATIONAL SCHOOL</t>
  </si>
  <si>
    <t>FARIDABAD / HARYANA</t>
  </si>
  <si>
    <t>J.C BOSE UNIVERSITY OF SCIENCE AND TECHNOLOGY</t>
  </si>
  <si>
    <t>ARAVALI COLLEGE OF ENGINEERING AND MANAGEMENT , FARIDABAD / HARYANA</t>
  </si>
  <si>
    <t>DECATHLON SPORTS INDIA PVT. LTD. | SPORT LEADER | FARIDABAD / HARYANA | Sep 2022 | Jun 2023 | 0Y 8M | 1.8</t>
  </si>
  <si>
    <t>TRAINING OF TRAINERS</t>
  </si>
  <si>
    <t>P25703015</t>
  </si>
  <si>
    <t>SHALIGRAM</t>
  </si>
  <si>
    <t>Atharva Nitin Shaligram</t>
  </si>
  <si>
    <t>atharvashaligram18@gmail.com</t>
  </si>
  <si>
    <t>p25703015@student.nicmar.ac.in</t>
  </si>
  <si>
    <t>18-Mar-1999</t>
  </si>
  <si>
    <t>5164 7234 6982</t>
  </si>
  <si>
    <t>NITIN SHALIGRAM</t>
  </si>
  <si>
    <t>SAYALI SHALIGRAM</t>
  </si>
  <si>
    <t>Malhar, S.No.16, Plot No.20, Balewadi, Pune-411045</t>
  </si>
  <si>
    <t>DR. KALMADI SHAMARAO HIGH SCHOOL AUNDH</t>
  </si>
  <si>
    <t>DR. KALMADI SHAMARAO JUNIOR COLLEGE</t>
  </si>
  <si>
    <t>MODERN COLLEGE OF ARTS, SCIENCE AND COMMERCE</t>
  </si>
  <si>
    <t>DWS India Private Limited | Senior Analyst | Pune | Jan 2022 | May 2024 | 2Y 4M | 6.3</t>
  </si>
  <si>
    <t>PowerMann Consult | Trainee | Pune | Dec 2020 | May 2021 | 25.857142857143 Weeks
AMFI Registered Mutual Fund Distributor | Intern | Pune | Apr 2020 | Nov 2020 | 34.714285714286 Weeks</t>
  </si>
  <si>
    <t>P25703016</t>
  </si>
  <si>
    <t>AADRIKA</t>
  </si>
  <si>
    <t>RATHORE</t>
  </si>
  <si>
    <t>Aadrika Rathore</t>
  </si>
  <si>
    <t>anshirathore97@gmail.com</t>
  </si>
  <si>
    <t>p25703016@student.nicmar.ac.in</t>
  </si>
  <si>
    <t>Art and craft,diy,music,cooking,painting</t>
  </si>
  <si>
    <t>6233 5092 1251</t>
  </si>
  <si>
    <t>LATE MITHLESH RATHORE</t>
  </si>
  <si>
    <t>NIL</t>
  </si>
  <si>
    <t>DEEPALI RATHORE</t>
  </si>
  <si>
    <t>F-1204 SILVER GARDENIA SOCIETY BRT ROAD RAVET</t>
  </si>
  <si>
    <t>126 Rohit Nagar Phase 2</t>
  </si>
  <si>
    <t>ST. JOSEPHS CONVENT SR SEC SCHOOL</t>
  </si>
  <si>
    <t>BARKATULLAH UNIVERSITY</t>
  </si>
  <si>
    <t>THE BHOPAL SCHOOL OF SOCIAL SCIENCES, BHOPAL, MADHYA PRADESH</t>
  </si>
  <si>
    <t>EDSOM FIN. TECH | FINANCE INTERN | PUNE | May 2026 | Jun 2026 | 8 Weeks | Campus Internship</t>
  </si>
  <si>
    <t>P25703017</t>
  </si>
  <si>
    <t>NIVAS</t>
  </si>
  <si>
    <t>Harshvardhan Nivas Desai</t>
  </si>
  <si>
    <t>harshnivasdesai@gmail.com</t>
  </si>
  <si>
    <t>p25703017@student.nicmar.ac.in</t>
  </si>
  <si>
    <t>02-Apr-2003</t>
  </si>
  <si>
    <t>2610 4033 9455</t>
  </si>
  <si>
    <t>NIVAS DESAI</t>
  </si>
  <si>
    <t>SANGITA DESAI</t>
  </si>
  <si>
    <t>Saneguruji Vasahat,Kolhapur</t>
  </si>
  <si>
    <t>SHRI V. J. DESHMUKH HIGHSCHOOL,KOLHAPUR</t>
  </si>
  <si>
    <t>KOLHAPUR,MAHARASHTRA</t>
  </si>
  <si>
    <t>THE NEW COLLEGE ,KOLHAPUR</t>
  </si>
  <si>
    <t>PUNE,MAHARASHTRA</t>
  </si>
  <si>
    <t>P25703020</t>
  </si>
  <si>
    <t>SALGAR</t>
  </si>
  <si>
    <t>Abhishek Atul Salgar</t>
  </si>
  <si>
    <t>abhi.salgar999@gmail.com</t>
  </si>
  <si>
    <t>p25703020@student.nicmar.ac.in</t>
  </si>
  <si>
    <t>5649 1983 9704</t>
  </si>
  <si>
    <t>Sushila Sadan, Juni Bhaji Mandai Road, Near Mantri Wada, Urun Islampur</t>
  </si>
  <si>
    <t>MAHATMA GANDHI VIDYALAYA</t>
  </si>
  <si>
    <t>HUTATMA RAJGURU MAHAVIDYALAYA</t>
  </si>
  <si>
    <t>MAHARASHTRA METRO RAIL CORPORATION LIMITED  | Intern | Pune | May 2026 | Jul 2026 | 9.7142857142857 Weeks | Campus Internship
Gala Habitats LLP | Trainee Engineer | Mumbai | Dec 2022 | Mar 2023 | 12 Weeks</t>
  </si>
  <si>
    <t>MS-CIT
Certificate of Participation
Auto CAD</t>
  </si>
  <si>
    <t>P25703021</t>
  </si>
  <si>
    <t>KISHU</t>
  </si>
  <si>
    <t>Kishu Rajput</t>
  </si>
  <si>
    <t>kishurajput194@gmail.com</t>
  </si>
  <si>
    <t>p25703021@student.nicmar.ac.in</t>
  </si>
  <si>
    <t>01-Jan-2004</t>
  </si>
  <si>
    <t>9704 0567 0554</t>
  </si>
  <si>
    <t>HARENDRA KUMAR</t>
  </si>
  <si>
    <t>VINEETA DEVI</t>
  </si>
  <si>
    <t>NAGLA PIPAL AKABARPUR KUTUBPUR FIROZABAD</t>
  </si>
  <si>
    <t>SHRI DURGA INT COLL JASRANA FIROZABAD</t>
  </si>
  <si>
    <t>BOARD OF HIGH SCHOOL AND INTERMEDIATE EDUCATION UTTAR PRADESH</t>
  </si>
  <si>
    <t>CHAUDHARY CHARAN SINGH UNIVERSITY MEERUT</t>
  </si>
  <si>
    <t>PRINCE INSTITUTE OF INNOVATIVE TECHNOLOGY, GHAZIABAD</t>
  </si>
  <si>
    <t>Negotiation, Mediation, and Conflict Resolution  Capstone Project
Salesforce Certificate
International Business
Negotiation Fundamentals
Operations  management
Getting started with Microsoft Office 365
High Performance Collaboration: Leadership, Teamwork, and Negotiation
Business Analytics with Excel: Elementary to Advanced
Marketing Strategy
Introduction to Marketing</t>
  </si>
  <si>
    <t>P25703022</t>
  </si>
  <si>
    <t>Vaibhavi Pravin Chaudhari</t>
  </si>
  <si>
    <t>vaibhavi.chaudhari@icloud.com</t>
  </si>
  <si>
    <t>p25703022@student.nicmar.ac.in</t>
  </si>
  <si>
    <t>10-Mar-2003</t>
  </si>
  <si>
    <t>4155 1572 8820</t>
  </si>
  <si>
    <t>PRAVIN CHAUDHARI</t>
  </si>
  <si>
    <t>JYOTI CHAUDHARI</t>
  </si>
  <si>
    <t>Plot No 56, Jay Vishwa Bharati Colony, Aurangabad -431005</t>
  </si>
  <si>
    <t>BHASKARACHARYA ENGLISH SCHOOL</t>
  </si>
  <si>
    <t>DEVGIRI COLLEGE</t>
  </si>
  <si>
    <t>P25703023</t>
  </si>
  <si>
    <t>Siddharth Mani</t>
  </si>
  <si>
    <t>yadavsiddharth0708@gmail.com</t>
  </si>
  <si>
    <t>p25703023@student.nicmar.ac.in</t>
  </si>
  <si>
    <t>07-Aug-2001</t>
  </si>
  <si>
    <t>4709 9761 2096</t>
  </si>
  <si>
    <t>SUSHANT KUMAR YADAV</t>
  </si>
  <si>
    <t>PUBLIC SERVICE</t>
  </si>
  <si>
    <t>SAVITA DEVI</t>
  </si>
  <si>
    <t>S/O- SUSHANT KUMAR YADAV, GRAM - LAXMIPUR BABHANIYAN, BABHANIA, BHAGALPUR, BIHAR - 813204</t>
  </si>
  <si>
    <t>Bhagalpur</t>
  </si>
  <si>
    <t>ST JOSEPH'S SCHOOL NTPC KAHALGAON BHAGALPUR BIHAR</t>
  </si>
  <si>
    <t>VJ INTERNATIONAL SCHOOL LODHIPUR GORADIH ROAD BHAGALPUR BIHAR</t>
  </si>
  <si>
    <t>T.M. BHAGALPUR UNIVERSITY</t>
  </si>
  <si>
    <t>S.S.V. COLLEGE, KAHALGAON, BIHAR</t>
  </si>
  <si>
    <t>BVSM INDIA INSURANCE BROKERS PVT. LTD. | MARKETING &amp; SALES INTERN | BANER, PUNE | May 2026 | Jun 2026 | 7.8571428571429 Weeks | Campus Internship</t>
  </si>
  <si>
    <t>Negotiation Fundamentals
Business Analytics with Excel: Elementary to  Advanced
Introduction to Marketing
International Business I
Operations Management
Getting started with Microsoft Office 365
Negotiation, Mediation, and Conflict Resolution  Capstone Project
Procurement Negotiation</t>
  </si>
  <si>
    <t>P25703024</t>
  </si>
  <si>
    <t>PRITIDEEPA</t>
  </si>
  <si>
    <t>MALLIA</t>
  </si>
  <si>
    <t>Pritideepa Mallia</t>
  </si>
  <si>
    <t>pritideepamallia@gmail.com</t>
  </si>
  <si>
    <t>p25703024@student.nicmar.ac.in</t>
  </si>
  <si>
    <t>04-Feb-2000</t>
  </si>
  <si>
    <t>Odia, English, Hindi</t>
  </si>
  <si>
    <t>6553 1550 4971</t>
  </si>
  <si>
    <t>MANORANJAN MALLIA</t>
  </si>
  <si>
    <t>PRAVATI MALLIA</t>
  </si>
  <si>
    <t>Brundawan Bhawan, Plot No.-1818, Friends Colony, Bhimtangi , Land Mark- Versha Plaza Apartment, Bhubaneswar-2 ,Odisha</t>
  </si>
  <si>
    <t>DAV PUBLIC SCHOOL, POKHARIPUT</t>
  </si>
  <si>
    <t>CBSE, ODISHA/BHUBANESWAR</t>
  </si>
  <si>
    <t>GLOBAL INTERNATIONAL SCHOOL, BHIKANPURA</t>
  </si>
  <si>
    <t>S'O'A NATIONAL INSTITUTE OF LAW, BHUBANESWAR/ODISHA</t>
  </si>
  <si>
    <t>MS Project</t>
  </si>
  <si>
    <t>Majestic Realties | Human Resource Management Intern | Kothrud, Pune | May 2026 | Jun 2026 | 7.7142857142857 Weeks | Campus Internship
Orissa High Court | Legal Intern | Cuttack, Odisha | Sep 2022 | Sep 2022 | 4.1428571428571 Weeks
District Court of Bhubaneswar | Legal Intern | Bhubaneswar, Odisha | Aug 2021 | Aug 2021 | 4.2857142857143 Weeks
NALCO | Legal Intern | BHUBANESWAR | Jan 2021 | Feb 2021 | 3.2857142857143 Weeks</t>
  </si>
  <si>
    <t>P25703025</t>
  </si>
  <si>
    <t>PREM</t>
  </si>
  <si>
    <t>ANGALI</t>
  </si>
  <si>
    <t>Prem Chand Angali</t>
  </si>
  <si>
    <t>prem.angali97051@gmail.com</t>
  </si>
  <si>
    <t>p25703025@student.nicmar.ac.in</t>
  </si>
  <si>
    <t>19-Jun-2002</t>
  </si>
  <si>
    <t>9952 0778 5086</t>
  </si>
  <si>
    <t>RAMESH ANGALI</t>
  </si>
  <si>
    <t>AREA SALES MANAGER</t>
  </si>
  <si>
    <t>NIRMALA ANGALI</t>
  </si>
  <si>
    <t>H.no. 22-449/EP, Road No. 8, Vinayaka Hills, Almasguda</t>
  </si>
  <si>
    <t>HYDERABAD</t>
  </si>
  <si>
    <t>Sinplify Home | Marketing intern | Hyderabad  | May 2026 | Jul 2026 | 8.2857142857143 Weeks | Campus Internship</t>
  </si>
  <si>
    <t>P25703026</t>
  </si>
  <si>
    <t>ASMITA</t>
  </si>
  <si>
    <t>Asmita Tripathi</t>
  </si>
  <si>
    <t>asmitatripathi68@gmail.com</t>
  </si>
  <si>
    <t>p25703026@student.nicmar.ac.in</t>
  </si>
  <si>
    <t>4811 4282 8010</t>
  </si>
  <si>
    <t>SHASHIKANT MANI TRIPATHI</t>
  </si>
  <si>
    <t>Jawahar Navodaya Vidyalaya Dabhasemar Ayodhya</t>
  </si>
  <si>
    <t>Ayodhya</t>
  </si>
  <si>
    <t>JAWAHAR NAVODAYA VIDYALAYA MAHARAJGANJ</t>
  </si>
  <si>
    <t>CBSE  MAHARAJGANJ</t>
  </si>
  <si>
    <t>JAWAHAR NAVODAYA VIDYALAYA DABHASEMAR</t>
  </si>
  <si>
    <t>CBSE  AYODHYA</t>
  </si>
  <si>
    <t>LUCKNOW UNIVERSITY</t>
  </si>
  <si>
    <t>BAPPA SHRI NARAYAN VOCATIONAL PG COLLEGE</t>
  </si>
  <si>
    <t>MS Office,POWER BI,MS EXCEL,POWERPOINT,WORD,OUTLOOK,GOOGLE WORKSPACE,CANVA</t>
  </si>
  <si>
    <t>Vitaly India pvt Ltd | Executive Marketing Manager  | Gorakhpur  | Jun 2023 | Mar 2024 | 0Y 9M | 3
Nakshatra infrastructure | Human Resource Manager | Nagpur  | Jun 2024 | May 2025 | 0Y 11M | 4.2</t>
  </si>
  <si>
    <t>Majestic Realties  | Digital Marketing Intern | Pune | May 2026 | Jul 2026 | 12 Weeks | Campus Internship
Prism Johnson limited | HR intern | Varanasi  | Jan 2022 | Mar 2022 | 12.714285714286 Weeks</t>
  </si>
  <si>
    <t>Zero cost hiring
Preparing to manage human resource
Introduction to Blockchain technology
Introduction to excel
Search Engine Optimization (SEO) with Squarespace
Operation Management
Negotiation,Mediation,and Conflict Resolution
Business Analytics with Excel
International Business
Getting started with Microsoft office 365
Introduction to Marketing
Negotiation fundamental</t>
  </si>
  <si>
    <t>P25703027</t>
  </si>
  <si>
    <t>RICHA</t>
  </si>
  <si>
    <t>Richa Sharma</t>
  </si>
  <si>
    <t>richasharma.dholpur@gmail.com</t>
  </si>
  <si>
    <t>p25703027@student.nicmar.ac.in</t>
  </si>
  <si>
    <t>21-Dec-1994</t>
  </si>
  <si>
    <t>6831 2443 8810</t>
  </si>
  <si>
    <t>SHIVDATT SHARMA</t>
  </si>
  <si>
    <t>MEERA SHARMA</t>
  </si>
  <si>
    <t>Behind Gurudwara, Ashok Vihar Colony</t>
  </si>
  <si>
    <t>JAWAHAR NAVODAYA VIDYALAYA, DHOLPUR (RAJASTHAN)</t>
  </si>
  <si>
    <t>BARKATULLAH VISHWAVIDYALAYA, BHOPAL</t>
  </si>
  <si>
    <t>EXTOL INSTITUTE OF MANAGEMENT, BHOPAL (MP)</t>
  </si>
  <si>
    <t>THE IIS UNIVERSITY, JAIPUR</t>
  </si>
  <si>
    <t>M.Sc</t>
  </si>
  <si>
    <t>Nexgen Infra Solution | Business Development Associate | Gurugram, Haryana | Jun 2020 | Jul 2022 | 2Y 0M | 3</t>
  </si>
  <si>
    <t>Maharashtra Metro Rail Corporation Limited | Intern-Planning | Pune | May 2026 | Jul 2026 | 9.5714285714286 Weeks | Campus Internship
Birla Institute of Scientific Research | Research Trainee | Jaipur (Rajasthan) | Jul 2016 | Dec 2016 | 26.142857142857 Weeks
Madhya Pradesh Vigyan Sabha | Research Trainee | Bhopal (MP) | Mar 2015 | Apr 2015 | 5.1428571428571 Weeks</t>
  </si>
  <si>
    <t>P25703028</t>
  </si>
  <si>
    <t>PAVAN</t>
  </si>
  <si>
    <t>RAOSAHEB</t>
  </si>
  <si>
    <t>MUNDANE</t>
  </si>
  <si>
    <t>Pavan Raosaheb Mundane</t>
  </si>
  <si>
    <t>shreemundane6@gmail.com</t>
  </si>
  <si>
    <t>p25703028@student.nicmar.ac.in</t>
  </si>
  <si>
    <t>07-Jan-1999</t>
  </si>
  <si>
    <t>Marathi, Hindi , English</t>
  </si>
  <si>
    <t>8979 5197 7383</t>
  </si>
  <si>
    <t>RASOSAHEB MUNDANE</t>
  </si>
  <si>
    <t>RAMA MUNDANE</t>
  </si>
  <si>
    <t>Saurabh Colony Vmv Road House No 29 Raosaheb Keshavrao Mundane</t>
  </si>
  <si>
    <t>SHREE SAMARTH HIGHSCHOOL AMRAVATI</t>
  </si>
  <si>
    <t>MAHARASTRA STATE BOARD EDUCATION</t>
  </si>
  <si>
    <t>P.R.PATIL INSTITUTE OF DIPLOMA AND TECHNOLOGY</t>
  </si>
  <si>
    <t>TSSMS BHIVARABAI SAWANT NARHE PUNE</t>
  </si>
  <si>
    <t>MS Office,MS Project,JIRA,JAVA,SELENIUM,TESTNG,SQL,POWERBI,excel</t>
  </si>
  <si>
    <t>TESTOMTER PVT LTD | QA AUTOMATION TESTER | pune | Nov 2022 | Apr 2025 | 2Y 5M | 4.2</t>
  </si>
  <si>
    <t>P25703029</t>
  </si>
  <si>
    <t>SHREYA</t>
  </si>
  <si>
    <t>SUMAN</t>
  </si>
  <si>
    <t>Shreya Suman</t>
  </si>
  <si>
    <t>sumanshreya272000@gmail.com</t>
  </si>
  <si>
    <t>p25703029@student.nicmar.ac.in</t>
  </si>
  <si>
    <t>27-Nov-2000</t>
  </si>
  <si>
    <t>7402 0657 6255</t>
  </si>
  <si>
    <t>SHAMBHU NATH GUPTA</t>
  </si>
  <si>
    <t>ARTI DEVI</t>
  </si>
  <si>
    <t>Kali Sthan Gali, Nathnagar,Bhagalpur</t>
  </si>
  <si>
    <t>SAINT JOSEPH'S SCHOOL</t>
  </si>
  <si>
    <t>INTER SCHOOL SABOUR,BHAGALPUR</t>
  </si>
  <si>
    <t>BIHAR BOARD OF OPEN SCHOOLING AND EXAMINATIONS,PATNA</t>
  </si>
  <si>
    <t>T. M. BHAGALPUR UNIVERSITY</t>
  </si>
  <si>
    <t>MARWARI COLLEGE, BHAGALPUR</t>
  </si>
  <si>
    <t>P25703030</t>
  </si>
  <si>
    <t>HARSHDA</t>
  </si>
  <si>
    <t>Harshda Raut</t>
  </si>
  <si>
    <t>harshuraut879@gmail.com</t>
  </si>
  <si>
    <t>p25703030@student.nicmar.ac.in</t>
  </si>
  <si>
    <t>08-Nov-2001</t>
  </si>
  <si>
    <t>6724 1384 5460</t>
  </si>
  <si>
    <t>GAJANAN T RAUT</t>
  </si>
  <si>
    <t>EX ARMY</t>
  </si>
  <si>
    <t>SUNITA RAUT</t>
  </si>
  <si>
    <t>FLAT NO.101, WING -H, TANISH SRUSHTI GAT NO. 504, ALANDI MARKAL ROAD, CHAROLI KHURD, PUNE -412105</t>
  </si>
  <si>
    <t>ARMY SCHOOL BEG &amp; CENTRE KIRKEE PUNE MR</t>
  </si>
  <si>
    <t>MIT ARTS,COMMERCE &amp; SCIENCE COLLEGE, ALANDI, PUNE</t>
  </si>
  <si>
    <t>Bombay Stock Exchange Broker's Forum | Capital Market Operations Intern | Mumbai  | May 2026 | Jul 2026 | 9.5714285714286 Weeks | Campus Internship
INTERSHIP STUDIO | SALES INTERN | PUNE | May 2022 | Jun 2022 | 4.8571428571429 Weeks
Career Help | Human Resource Intern | Hyderabad  | Sep 2024 | Nov 2024 | 8.7142857142857 Weeks</t>
  </si>
  <si>
    <t>Introduction to Marketing
Negotiation, Mediation, and Conflict Resolution - Capstone Project
Operations Management
International Business I
Getting started with Microsoft Office 365</t>
  </si>
  <si>
    <t>P25703031</t>
  </si>
  <si>
    <t>HARSHA</t>
  </si>
  <si>
    <t>Harsha S</t>
  </si>
  <si>
    <t>harsha0501s@gmail.com</t>
  </si>
  <si>
    <t>p25703031@student.nicmar.ac.in</t>
  </si>
  <si>
    <t>05-Feb-2001</t>
  </si>
  <si>
    <t>3871 4990 4108</t>
  </si>
  <si>
    <t>SASI K R</t>
  </si>
  <si>
    <t>ANITHAKUMARI M S</t>
  </si>
  <si>
    <t>GURUKRIPA, CHARAMANGALAM, MUHAMMA.P.O, CHERTHALA</t>
  </si>
  <si>
    <t>JAWAHAR NAVODAYA VIDYALAYA</t>
  </si>
  <si>
    <t>CBSE,KERALA</t>
  </si>
  <si>
    <t>ZAKIR HUSAIN DELHI COLLEGE, DELHI</t>
  </si>
  <si>
    <t>other,M S EXCEL</t>
  </si>
  <si>
    <t>BOMBAY STOCK EXCHANGE BROKERS' FORUM(BBF) | Capital Market Operation Intern | MUMBAI | May 2026 | Jul 2026 | 9.5714285714286 Weeks | Campus Internship</t>
  </si>
  <si>
    <t>P25703032</t>
  </si>
  <si>
    <t>KHEDEKAR</t>
  </si>
  <si>
    <t>Yash Vilas Khedekar</t>
  </si>
  <si>
    <t>khedekaryash19@gmail.com</t>
  </si>
  <si>
    <t>p25703032@student.nicmar.ac.in</t>
  </si>
  <si>
    <t>19-Jun-2003</t>
  </si>
  <si>
    <t>4088 8741 3124</t>
  </si>
  <si>
    <t>403, B WING, BLD NO. 3, KADSIDHESHWAR SOCIETY,_x000D_
RAMTEKDI , NR GOPI TAILORS,_x000D_
SEWREE</t>
  </si>
  <si>
    <t>ANTONIO DE SOUZA HIGH SCHOOL</t>
  </si>
  <si>
    <t>MAHARASHTRA STATE BOARD SECONDARY AND SECONDARY EDUCATION,PUNE</t>
  </si>
  <si>
    <t>CHETANA COLLEGE</t>
  </si>
  <si>
    <t>D.G RUPAREL COLLEGE</t>
  </si>
  <si>
    <t>other,MSCIT,TALLY PRIME</t>
  </si>
  <si>
    <t>Majestic Realities | Digital Marketing intern | Pune  | May 2026 | Jun 2026 | 7.7142857142857 Weeks | Campus Internship</t>
  </si>
  <si>
    <t>P25703033</t>
  </si>
  <si>
    <t>MAHARSHI</t>
  </si>
  <si>
    <t>Maharshi Devendra Joshi</t>
  </si>
  <si>
    <t>maharshidjoshi@gmail.com</t>
  </si>
  <si>
    <t>p25703033@student.nicmar.ac.in</t>
  </si>
  <si>
    <t>02-May-2001</t>
  </si>
  <si>
    <t>English, Hindi, Gujarati.</t>
  </si>
  <si>
    <t>5453 9988 5160</t>
  </si>
  <si>
    <t>DEVENDRA JOSHI</t>
  </si>
  <si>
    <t>NEETA JOSHI</t>
  </si>
  <si>
    <t>402 Shreeji App, _x000D_
Patel Col - 4</t>
  </si>
  <si>
    <t>Jamnagar</t>
  </si>
  <si>
    <t>AHMEDABAD UNIVERSITY</t>
  </si>
  <si>
    <t>AHMEDABAD UNIVERSITY, AHMEDABAD, GUJARAT</t>
  </si>
  <si>
    <t>Ahmedabad University | Teaching Assistant | Ahmedabad | Jul 2023 | Oct 2023 | 0Y 2M | 1.8</t>
  </si>
  <si>
    <t>Nayara Energy | Vocational Trainee | Jamnagar, Gujarat | Jun 2022 | Jul 2022 | 8.2857142857143 Weeks</t>
  </si>
  <si>
    <t>P25703034</t>
  </si>
  <si>
    <t>NIHAR</t>
  </si>
  <si>
    <t>PALAV</t>
  </si>
  <si>
    <t>Nihar Tanaji Palav</t>
  </si>
  <si>
    <t>np12122000@gmail.com</t>
  </si>
  <si>
    <t>p25703034@student.nicmar.ac.in</t>
  </si>
  <si>
    <t>12-Dec-2000</t>
  </si>
  <si>
    <t>Marathi, English, Hindi, Kokani</t>
  </si>
  <si>
    <t>9908 4745 6340</t>
  </si>
  <si>
    <t>AVISHA PALAV</t>
  </si>
  <si>
    <t>FLAT NO 408, 4TH FLOOR, B WING, PINNACLE NEELANCHAL, SUS, PUNE</t>
  </si>
  <si>
    <t>Sarvoday Nagar, Teacher's Colony, New Salaiwada, Sawantwadi</t>
  </si>
  <si>
    <t>MILAGRIS HIGH SCHOOL</t>
  </si>
  <si>
    <t>SHREE PANCHAM KHEMRAJ MAHAVIDHYALAI</t>
  </si>
  <si>
    <t>VISHWAKARMA INSTITUE OF INFORMATION TECHNOLOGY</t>
  </si>
  <si>
    <t>AutoCAD,MS Office,Power BI,Tabluea,SQL</t>
  </si>
  <si>
    <t>Shree Sai Consultancy Pvt Ltd | Site Engineer | Sawantwadi, Maharashtra | Mar 2024 | Dec 2024 | 43.571428571429 Weeks
Centrix Project Solutions. Pvt  Ltd | Site Engineer | Powai, Mumbai | Sep 2023 | Jan 2024 | 17.428571428571 Weeks</t>
  </si>
  <si>
    <t>P25703035</t>
  </si>
  <si>
    <t>WADKAR</t>
  </si>
  <si>
    <t>Siddhi Sachin Wadkar</t>
  </si>
  <si>
    <t>siddhiwadkar25@gmail.com</t>
  </si>
  <si>
    <t>p25703035@student.nicmar.ac.in</t>
  </si>
  <si>
    <t>25-Jul-2003</t>
  </si>
  <si>
    <t>Reading,Writing poetry,Playing badminton</t>
  </si>
  <si>
    <t>4126 1391 1990</t>
  </si>
  <si>
    <t>SACHIN WADKAR</t>
  </si>
  <si>
    <t>HARSHALA WADKAR</t>
  </si>
  <si>
    <t>SERVICE SECTOR</t>
  </si>
  <si>
    <t>A-801, Kapil Vastu, Above Bank Of India, Near Vitthal Mandir, Navsahydri, Pune</t>
  </si>
  <si>
    <t>ROSARY SCHOOL</t>
  </si>
  <si>
    <t>SINHAGAD COLLEGE OF ARTS AND COMMERCE</t>
  </si>
  <si>
    <t>ABASAHEB GARWARE</t>
  </si>
  <si>
    <t>ABASAHEB GARWARE COLLEGE OF ARTS AND SCIENCE, PUNE/MAHARASHTRA</t>
  </si>
  <si>
    <t>RWTH Aachen University India Office | Marketing Executive | Pune, India | Jun 2024 | Feb 2025 | 0Y 8M | 2.4</t>
  </si>
  <si>
    <t>P25703037</t>
  </si>
  <si>
    <t>Ashish Ranjan Kumar</t>
  </si>
  <si>
    <t>kumarashishranjan18@gmail.com</t>
  </si>
  <si>
    <t>p25703037@student.nicmar.ac.in</t>
  </si>
  <si>
    <t>10-Mar-1999</t>
  </si>
  <si>
    <t>7101 5056 4241</t>
  </si>
  <si>
    <t>REKHAN KUMARI</t>
  </si>
  <si>
    <t>RAVI RANJAN, FLAT NO. G-38 , SUGHAM SABUJ COMPLEX , NARENDRAPUR , NEAR LAL GATE</t>
  </si>
  <si>
    <t>OM LANDMARK</t>
  </si>
  <si>
    <t>MOTA CHILODA , GANDHINAGAR , GUJARAT</t>
  </si>
  <si>
    <t>VASANT RAO NAIK</t>
  </si>
  <si>
    <t>AURANGABAD , MAHARASHTRA</t>
  </si>
  <si>
    <t>DYPIEMR</t>
  </si>
  <si>
    <t>HG Infra Engineering Ltd | ASSISTANT ENGINEER (STRUCTURAL ENGINEER) | DELHI , TATANAGAR | Jan 2023 | Sep 2024 | 1Y 8M | 3.85
Syv Biotech Pvt Ltd . | Accounts and Sales Executive | pune  | Feb 2025 | Jun 2025 | 0Y 4M | 1.8</t>
  </si>
  <si>
    <t>Pune Metro  | Planning  | pune | May 2026 | Jul 2026 | 9.7142857142857 Weeks | Campus Internship</t>
  </si>
  <si>
    <t>P25703038</t>
  </si>
  <si>
    <t>KISHAN</t>
  </si>
  <si>
    <t>DALMIA</t>
  </si>
  <si>
    <t>Kishan Dalmia</t>
  </si>
  <si>
    <t>kishandalmiais@gmail.com</t>
  </si>
  <si>
    <t>p25703038@student.nicmar.ac.in</t>
  </si>
  <si>
    <t>02-Nov-2001</t>
  </si>
  <si>
    <t>English, Hindi, Odia, Marwadi</t>
  </si>
  <si>
    <t>7543 2281 3385</t>
  </si>
  <si>
    <t>PRAKASH CHANDRA DALMIA</t>
  </si>
  <si>
    <t>RADHA DALMIA</t>
  </si>
  <si>
    <t>GA 153 Niladri Vihar Chandrasekharpur</t>
  </si>
  <si>
    <t>LOYOLA SCHOOL</t>
  </si>
  <si>
    <t>JAIN COLLEGE, V.V. PURAM</t>
  </si>
  <si>
    <t>BENGALURU CITY UNIVERSITY, BENGALURU</t>
  </si>
  <si>
    <t>MS Office,ZOHO</t>
  </si>
  <si>
    <t>iCOVER Insure | Business and Quality Analyst | Work from Home | Jul 2024 | Nov 2024 | 0Y 4M | 3.24</t>
  </si>
  <si>
    <t>Edsom Fintech Pvt. Ltd. | HR | Baner, Pune | May 2026 | Jun 2026 | 8 Weeks | Campus Internship
Matix Exports | Export Executive | Bengaluru | Nov 2022 | Mar 2023 | 17.571428571429 Weeks</t>
  </si>
  <si>
    <t>Project management skills
managing organizational change
Hr communications by HRCI
Hr communications by SHRM</t>
  </si>
  <si>
    <t>P25703039</t>
  </si>
  <si>
    <t>Sneha Prabhakar Meshram</t>
  </si>
  <si>
    <t>snehameshram13012@gmail.com</t>
  </si>
  <si>
    <t>p25703039@student.nicmar.ac.in</t>
  </si>
  <si>
    <t>13-Jan-2002</t>
  </si>
  <si>
    <t>9879 4981 3056</t>
  </si>
  <si>
    <t>PRABHAKAR MESHRAM</t>
  </si>
  <si>
    <t>GOVERNMENT EMPLOYEE (MSECB)</t>
  </si>
  <si>
    <t>BHARATI MESHRAM</t>
  </si>
  <si>
    <t>Shanti Nagar Near Ganvir Hospital Bramhapuri Dist- Chandrapur</t>
  </si>
  <si>
    <t>CENTRAL BOARD OF SECONDARY EDUCATION ,AURANGABAD</t>
  </si>
  <si>
    <t>CHRISTANAND SCHOOL AND JUNIOR COLLEGE  , BRAMHAPURI</t>
  </si>
  <si>
    <t>MAHARASHTRA STATE BOARD OF SECONDARY AND HIGHER SECONDARY EDUCATION, NAGPUR DIVISIONAL BOARD</t>
  </si>
  <si>
    <t>G H RAISONI COLLEGE OF ENGINEERING ,NAGPUR</t>
  </si>
  <si>
    <t>other,EXCEL</t>
  </si>
  <si>
    <t>K&amp;I Wealth Advisory LLP | Digital marketing and strategy intern  | Mumbai | May 2026 | Jul 2026 | 8.4285714285714 Weeks | Campus Internship</t>
  </si>
  <si>
    <t>P25703040</t>
  </si>
  <si>
    <t>JAMDADE</t>
  </si>
  <si>
    <t>SUMIT</t>
  </si>
  <si>
    <t>SHEKHAR</t>
  </si>
  <si>
    <t>Jamdade Sumit Shekhar</t>
  </si>
  <si>
    <t>sumiiijamdade03@gmail.com</t>
  </si>
  <si>
    <t>p25703040@student.nicmar.ac.in</t>
  </si>
  <si>
    <t>03-Nov-2003</t>
  </si>
  <si>
    <t>5497 5578 6066</t>
  </si>
  <si>
    <t>SHEKHAR SHIVAJI JAMDADE</t>
  </si>
  <si>
    <t>SUNITA SHEKHAR JAMDADE</t>
  </si>
  <si>
    <t>NICMAR GATE NO 2, MILLENNIUM BOYS HOSTEL, RAM NAGAR, BALEWADI ROAD, BANER, PUNE</t>
  </si>
  <si>
    <t>295, Dwarkadhish Apartment, Gangapuri, Near Nagar Palika School 5, Wai, Satara</t>
  </si>
  <si>
    <t>BLOSSOM CHILDREN'S ACADEMY, WAI, SATARA</t>
  </si>
  <si>
    <t>MAHARASHTRA STATE BOARD OF SECONDARY AND HIGHER SECONDARY EDUCATION, PUNE (WAI, SATARA/MAHARASHTRA)</t>
  </si>
  <si>
    <t>DHANJAYRAO GADGIL COLLEGE OF COMMERCE, SATARA</t>
  </si>
  <si>
    <t>MAHARASHTRA STATE BOARD OF SECONDARY AND HIGHER SECONDARY EDUCATION, PUNE (SATARA/MAHARASHTRA)</t>
  </si>
  <si>
    <t>SARHAD COLLEGE OF ARTS, COMMERCE AND SCIENCE, KATRAJ, PUNE, MAHARASHTRA</t>
  </si>
  <si>
    <t>MS Office,MS Project,Advanced Excel</t>
  </si>
  <si>
    <t>Majestic Realities | Digital Marketing intern | Pune | May 2026 | Jun 2026 | 7.7142857142857 Weeks | Campus Internship</t>
  </si>
  <si>
    <t>International Business I (University of New Mexico - Coursera)
Operations Management (IESE Business School - Coursera)
Negotiation Fundamentals (ESSEC Business School - Coursera)</t>
  </si>
  <si>
    <t>P25703041</t>
  </si>
  <si>
    <t>ABHYANKAR</t>
  </si>
  <si>
    <t>Vaibhavi Ganesh Abhyankar</t>
  </si>
  <si>
    <t>vaibhaviabhyankar27@gmail.com</t>
  </si>
  <si>
    <t>p25703041@student.nicmar.ac.in</t>
  </si>
  <si>
    <t>27-Nov-2003</t>
  </si>
  <si>
    <t>3978 2207 6391</t>
  </si>
  <si>
    <t>GANESH ABHYANKAR</t>
  </si>
  <si>
    <t>SERVICE(PRIVATE SECTOR)</t>
  </si>
  <si>
    <t>GAYATRI ABHYANKAR</t>
  </si>
  <si>
    <t>A-49, Adarsh Nagar, Kushalpur, Raipur(C.G)</t>
  </si>
  <si>
    <t>KRISHNA PUBLIC SCHOOL</t>
  </si>
  <si>
    <t>CENTRAL BOARD OF SECONDARY EDUCATION,RAIPUR/CHHATTISGARH</t>
  </si>
  <si>
    <t>PT. RAVISHANKAR SHUKLA UNIVERSITY</t>
  </si>
  <si>
    <t>VIVEKANAND MAHAVIDYALAYA, RAIPUR/CHHATTISGARH</t>
  </si>
  <si>
    <t>Finnovators Services Private Limited | Finance Operations Intern | Pune | May 2026 | Jul 2026 | 8.7142857142857 Weeks | Campus Internship</t>
  </si>
  <si>
    <t>P25703042</t>
  </si>
  <si>
    <t>Pranav Pravin Kadam</t>
  </si>
  <si>
    <t>kadampranav.0103@gmail.com</t>
  </si>
  <si>
    <t>p25703042@student.nicmar.ac.in</t>
  </si>
  <si>
    <t>01-Mar-2003</t>
  </si>
  <si>
    <t>4984 6590 0026</t>
  </si>
  <si>
    <t>PRAVIN BAPURAO KADAM</t>
  </si>
  <si>
    <t>PRIYA PRAVIN KADAM</t>
  </si>
  <si>
    <t>Plot No 11, Maharashtra Nagar, Kalamba Road, Kolhapur</t>
  </si>
  <si>
    <t>DYP'S SHANTINIKETAN SCHOOL</t>
  </si>
  <si>
    <t>DYP'S SHANTINIKETAN JUNIOR COLLEGE</t>
  </si>
  <si>
    <t>AutoCAD,MS Office,Figma,Python</t>
  </si>
  <si>
    <t>Britannia Industries Ltd. | Procurement Intern | Pune District | May 2026 | Jul 2026 | 7.7142857142857 Weeks | Campus Internship
Synergy Green Industries | Intern | Kolhapur | Jun 2024 | Jul 2024 | 4.2857142857143 Weeks
Wilo Mather &amp; Platt Pvt. Ltd. | Inward Quality Intern | Kolhapur | Jan 2025 | Apr 2025 | 15.285714285714 Weeks</t>
  </si>
  <si>
    <t>Introduction to Data Analysis using Microsoft Excel</t>
  </si>
  <si>
    <t>P25703043</t>
  </si>
  <si>
    <t>ELIAS</t>
  </si>
  <si>
    <t>Elias Eldhose</t>
  </si>
  <si>
    <t>eliaseldhose007@gmail.com</t>
  </si>
  <si>
    <t>p25703043@student.nicmar.ac.in</t>
  </si>
  <si>
    <t>08-Dec-2000</t>
  </si>
  <si>
    <t>CRICKET,OFFROADING,MOVIES,OVERLAND EXPEDITIONS</t>
  </si>
  <si>
    <t>6935 5764 6940</t>
  </si>
  <si>
    <t>ELDHO VARGHESE</t>
  </si>
  <si>
    <t>CINI.P</t>
  </si>
  <si>
    <t>Neduvelikudy House_x000D_
Vaikkara P.O_x000D_
Assamannor_x000D_
Perumbavoor_x000D_
683549</t>
  </si>
  <si>
    <t>ST GEORGE PUBLIC SCHOOL KEEZHILLAM ERNAKULAM</t>
  </si>
  <si>
    <t>MGM H.S.S. KURUPPAMPADY</t>
  </si>
  <si>
    <t>KERALA BOARD</t>
  </si>
  <si>
    <t>MAR ATHANASIUS COLLEGE, KOTHAMANGALAM</t>
  </si>
  <si>
    <t>ERNAKULAM</t>
  </si>
  <si>
    <t>UNION CHRISTIAN COLLEGE, ALUVA</t>
  </si>
  <si>
    <t>MA</t>
  </si>
  <si>
    <t>MS Office, MS Project, Sales Force</t>
  </si>
  <si>
    <t>UNION CHRISTIAN COLLEGE | ADAPTING TO THE NEW NORM: EXPLORING CUSTOMERS ATTITUDE TOWARDS E-BANKING SERVICES IN THE POST COVID SCENARIO | ALUVA | Jan 2023 | Oct 2023 | 39.857142857143 Weeks</t>
  </si>
  <si>
    <t>Salesforce Innovator
Getting started with Microsoft Office 365
Negotiation, Mediation, and Conflict Resolution - Capstone Project
Operations Management
Introduction to Marketing
International Business</t>
  </si>
  <si>
    <t>P25703044</t>
  </si>
  <si>
    <t>SHRIRAM</t>
  </si>
  <si>
    <t>PALVE</t>
  </si>
  <si>
    <t>Vivek Shriram Palve</t>
  </si>
  <si>
    <t>vickypalve68@gmail.com</t>
  </si>
  <si>
    <t>p25703044@student.nicmar.ac.in</t>
  </si>
  <si>
    <t>31-May-2003</t>
  </si>
  <si>
    <t>4454 3755 6475</t>
  </si>
  <si>
    <t>D-604, 43Privet Drive, Balewadi Near To_x000D_
SBI Bank, Pune</t>
  </si>
  <si>
    <t>RAMSHETH THAKUR PUBLIC SCHOOL</t>
  </si>
  <si>
    <t>CBSE, KHARGHAR-NAVI MUMBAI</t>
  </si>
  <si>
    <t>HSC, PUNE</t>
  </si>
  <si>
    <t>SYMBIOSIS COLLEGE OF ARTS AND COMMERCE, PUNE</t>
  </si>
  <si>
    <t>MS Office,MS Project,MS Excel,python,tally prime,ms powerpoint</t>
  </si>
  <si>
    <t>VCC Express &amp; Logistics | Operations manager | Pune | Aug 2024 | Jul 2025 | 48.714285714286 Weeks
Younity | Business development &amp; research | Pune | Dec 2022 | Dec 2022 | 2 Weeks</t>
  </si>
  <si>
    <t>Tally
Python</t>
  </si>
  <si>
    <t>P25703045</t>
  </si>
  <si>
    <t>BHUMIKA</t>
  </si>
  <si>
    <t>THAGUNNA</t>
  </si>
  <si>
    <t>Bhumika Thagunna</t>
  </si>
  <si>
    <t>bhumithagunna12@gmail.com</t>
  </si>
  <si>
    <t>p25703045@student.nicmar.ac.in</t>
  </si>
  <si>
    <t>17-Mar-2001</t>
  </si>
  <si>
    <t>4022 2224 6051</t>
  </si>
  <si>
    <t>PREM SINGH THAGUNNA</t>
  </si>
  <si>
    <t>TAILORING SHOP</t>
  </si>
  <si>
    <t>SHANTA THAGUNNA</t>
  </si>
  <si>
    <t>NESTWORKS PG, HIRAI SITAI ROAD, HINJEWADI</t>
  </si>
  <si>
    <t>Sector No. -7, Near Masjid, Khandu Colony</t>
  </si>
  <si>
    <t>Banswara</t>
  </si>
  <si>
    <t>16357 - JAWAHAR NAVODAYA VIDYALAYA, BANSWARA</t>
  </si>
  <si>
    <t>BANSWARA / RAJASTHAN</t>
  </si>
  <si>
    <t>NUTAN SENIOR SECONDARY SCHOOL, BANSWARA</t>
  </si>
  <si>
    <t>BHARATI VIDYAPEETH DEEMED UNIVERSITY, PUNE</t>
  </si>
  <si>
    <t>BHARATI VIDYAPEETH COLLEGE OF ENGINEERING, PUNE</t>
  </si>
  <si>
    <t>MS Office,MS Project,DBMS,SDLC,Operations Management,Python,AI Tools</t>
  </si>
  <si>
    <t>Edsom Fintech Pvt. Ltd. | Business Analyst and Finance Intern | Pune | May 2026 | Jun 2026 | 7.7142857142857 Weeks | Campus Internship
Null Class | IOT Intern | Bangalore | Jun 2023 | Aug 2023 | 8.4285714285714 Weeks</t>
  </si>
  <si>
    <t>Effective Business Plan On-Campus Certification Programme | National B-Plan Championship, E-Cell IIM Bangalore &amp; MakeIntern
Salesforce Certified Agentforce Specialist</t>
  </si>
  <si>
    <t>P25703046</t>
  </si>
  <si>
    <t>PRADHAN</t>
  </si>
  <si>
    <t>Rahul Pradhan</t>
  </si>
  <si>
    <t>rahulpradhan549@gmail.com</t>
  </si>
  <si>
    <t>p25703046@student.nicmar.ac.in</t>
  </si>
  <si>
    <t>8756 1353 9584</t>
  </si>
  <si>
    <t>TEKACHAND PRADHAN</t>
  </si>
  <si>
    <t>BABITA PRADHAN</t>
  </si>
  <si>
    <t>Blue House , Infront Of Purohit Kalyan Mandap_x000D_
Near BSNL Tower, Shantinagar, Padampur</t>
  </si>
  <si>
    <t>VIKASH RESIDENTIAL SCHOOL BARGARH</t>
  </si>
  <si>
    <t>CENTRAL BOARD OF SECONDARY EDUCATION  ODISHA</t>
  </si>
  <si>
    <t>CV RAMAN COLLEGE OF ENGINEERING BHUBANESWAR</t>
  </si>
  <si>
    <t>other,SQL,JAVA,SAP</t>
  </si>
  <si>
    <t>P25703047</t>
  </si>
  <si>
    <t>SRIYA</t>
  </si>
  <si>
    <t>SAMHITA</t>
  </si>
  <si>
    <t>J Sriya Samhita</t>
  </si>
  <si>
    <t>sriyajammula2004@gmail.com</t>
  </si>
  <si>
    <t>p25703047@student.nicmar.ac.in</t>
  </si>
  <si>
    <t>03-Oct-2004</t>
  </si>
  <si>
    <t>ENGLISH, HINDI, TELUGU, ODIA</t>
  </si>
  <si>
    <t>2151 0546 9274</t>
  </si>
  <si>
    <t>J SRINIVASA RAO</t>
  </si>
  <si>
    <t>J MADHAVI</t>
  </si>
  <si>
    <t>PATRA STREET_x000D_
BIG BAZAAR NEAR KHASPA STREET, BRAHMAPUR</t>
  </si>
  <si>
    <t>ST VINCENT'S CONVENT SCHOOL</t>
  </si>
  <si>
    <t>ICSE BRAHMAPUR</t>
  </si>
  <si>
    <t>SHIKSHA HIGHER DECONDARY SCHOOL</t>
  </si>
  <si>
    <t>CHSE BERHMAPUR</t>
  </si>
  <si>
    <t>KHALLIKOTE UNITARY UNIVERSITY</t>
  </si>
  <si>
    <t>KHALLIKOTE UNITARY UNIVERSITY, BERHAMPUR,ODISHA</t>
  </si>
  <si>
    <t>Maruti Suzuki India Limited | Supply Chain Intern | Gurugram, Haryana | May 2026 | Jul 2026 | 8.7142857142857 Weeks</t>
  </si>
  <si>
    <t>INTERNATIONAL BUSINESS-1
GETTING STARTED WITH MICROSOFT 365
BUSINESS ANALYTICS WITH EXCEL
NEGOTIATIONS FUNDEMENTALS
NEGOTIATION MEDIATION AND CONFLICT RESOLUTION
OPERATIONS MANAGEMENT
INTRODUCTION TO MARKETING
SALESFORCE (INNOVATOR)</t>
  </si>
  <si>
    <t>P25703048</t>
  </si>
  <si>
    <t>VERMA</t>
  </si>
  <si>
    <t>Ayush Verma</t>
  </si>
  <si>
    <t>vayush943@gmail.com</t>
  </si>
  <si>
    <t>p25703048@student.nicmar.ac.in</t>
  </si>
  <si>
    <t>26-Jun-2002</t>
  </si>
  <si>
    <t>Strength Training,Playing Chess</t>
  </si>
  <si>
    <t>2108 3249 0597</t>
  </si>
  <si>
    <t>RITU RAJ VERMA</t>
  </si>
  <si>
    <t>SUNITA VERMA</t>
  </si>
  <si>
    <t>Tehsil Sunni, Jaili Dhar (143), Shimla, Himachal Pradesh</t>
  </si>
  <si>
    <t>ST. EDWARDS SCHOOL</t>
  </si>
  <si>
    <t>CHITKARA UNIVERSITY</t>
  </si>
  <si>
    <t>CHITKARA UNIVERSITY, PUNJAB</t>
  </si>
  <si>
    <t>other,MS Excel,MS PowerPoint,MS WORD</t>
  </si>
  <si>
    <t>Hotel Holiday Home | Front Office Trainee | Shimla | Jun 2023 | Oct 2023 | 17.857142857143 Weeks
THE ST REGIS | F&amp;B Intern | DOHA, QATAR | Sep 2022 | Dec 2022 | 17.285714285714 Weeks</t>
  </si>
  <si>
    <t>Coursera Introduction To Marketing</t>
  </si>
  <si>
    <t>P25703049</t>
  </si>
  <si>
    <t>AJMERA</t>
  </si>
  <si>
    <t>Shweta Ajmera</t>
  </si>
  <si>
    <t>shweta_kabra88@yahoo.com</t>
  </si>
  <si>
    <t>p25703049@student.nicmar.ac.in</t>
  </si>
  <si>
    <t>04-Jan-1987</t>
  </si>
  <si>
    <t>6172 6238 4150</t>
  </si>
  <si>
    <t>BADRI AJMERA</t>
  </si>
  <si>
    <t>KRISHNA AJMERA</t>
  </si>
  <si>
    <t>C 904, ROYAL RAHADKI GREENS, OPPOSITE ARENA 29, SHIVRAJ NAGAR LANE NO 1, RAHATANI</t>
  </si>
  <si>
    <t>C 20, Sachdev Nagar 2, Near Dutt Mandir, C Block, Chopra Court Road. Ulhasnagar</t>
  </si>
  <si>
    <t>M LAND CHILDREN ACADEMY SS, TONK</t>
  </si>
  <si>
    <t>BOARD OF SECONDARY EDUCATION, RAJASTHAN</t>
  </si>
  <si>
    <t>2001-Jun</t>
  </si>
  <si>
    <t>TAGORE BAL NIKETAN SR SEC SCH TONK</t>
  </si>
  <si>
    <t>2002-Apr</t>
  </si>
  <si>
    <t>2003-Apr</t>
  </si>
  <si>
    <t>MAHARISHI DAYANAND UNIVERSITY AJMERA</t>
  </si>
  <si>
    <t>GOVT GIRLS COLLEGE TONK</t>
  </si>
  <si>
    <t>MAHARSHI DAYANAND SARASWATI UNIVERSITY, AJMER</t>
  </si>
  <si>
    <t>M.Com</t>
  </si>
  <si>
    <t>2006-Apr</t>
  </si>
  <si>
    <t>Tally ERP 9,Winman,Saral</t>
  </si>
  <si>
    <t>Elpro International School | Assistant Manager-Accounts and Finance | Chinchwad, Pune | Oct 2021 | Mar 2025 | 3Y 4M | 5.8
Proactive Engineering Services | Accounts Manager | Warje,PUNE | Mar 2019 | Oct 2021 | 2Y 6M | 2.4
DKP Financial Sevices | Associate- Accounts and Tax  | Shahad Thane | Jun 2013 | Feb 2017 | 3Y 8M | 1.8</t>
  </si>
  <si>
    <t>9 Years 8 Months</t>
  </si>
  <si>
    <t>Edsom Fintech Pvt Ltd | Business Analyst | Baner | May 2026 | Jun 2026 | 7.7142857142857 Weeks | Campus Internship
Vushnu Khandelwal &amp; co | Trainee Article | Jaipur | Nov 2007 | May 2011 | 182.28571428571 Weeks</t>
  </si>
  <si>
    <t>ESG Job Simulation
Audit Simulation
Career Catalyst: Audit
FINLATICS EQUITY MARKETS ANALYST</t>
  </si>
  <si>
    <t>P25703050</t>
  </si>
  <si>
    <t>HUKKERI</t>
  </si>
  <si>
    <t>Aryan Vinay Hukkeri</t>
  </si>
  <si>
    <t>aryanvhukkeri@gmail.com</t>
  </si>
  <si>
    <t>p25703050@student.nicmar.ac.in</t>
  </si>
  <si>
    <t>16-Aug-2001</t>
  </si>
  <si>
    <t>English, Hindi, Marathi, Sanskrit</t>
  </si>
  <si>
    <t>Singing,Photography,Travel,Cultural activities,Video editing</t>
  </si>
  <si>
    <t>2142 3810 8170</t>
  </si>
  <si>
    <t>VINAY HUKUMCHAND HUKKERI</t>
  </si>
  <si>
    <t>UJWALA VINAY HUKKERI</t>
  </si>
  <si>
    <t>VTP BELAIR, BLUEWATERS TOWNSHIP, PUNE</t>
  </si>
  <si>
    <t>Takari Road Nianai Nagar Near RIT</t>
  </si>
  <si>
    <t>ISLAMPUR HIGH SCHOOL ISLAMPUR 415409</t>
  </si>
  <si>
    <t>VIDYAMANDIR JUNIOR COLLEGE URUN ISLAMPUR</t>
  </si>
  <si>
    <t>MAHARSHTRA STATE BOARD</t>
  </si>
  <si>
    <t>RAJARAMBAPU INSTITUTE OF TECHNOLOGY ISHWARPUR 415409 ,SANGLI</t>
  </si>
  <si>
    <t>MS Office,MS Project,SAP hana,SAP ABAP,Orcad</t>
  </si>
  <si>
    <t>Eltech Electrodesigns and Solutions Pvt Ltd | R &amp; D Intern  | Shivane  | Jan 2023 | May 2023 | 20.285714285714 Weeks</t>
  </si>
  <si>
    <t>P25703051</t>
  </si>
  <si>
    <t>SHAGUN</t>
  </si>
  <si>
    <t>DOGRA</t>
  </si>
  <si>
    <t>Shagun Dogra</t>
  </si>
  <si>
    <t>shagunmahajan2004@gmail.com</t>
  </si>
  <si>
    <t>p25703051@student.nicmar.ac.in</t>
  </si>
  <si>
    <t>28-Jan-2004</t>
  </si>
  <si>
    <t>ENGLISH, HINDI, DOGRI</t>
  </si>
  <si>
    <t>Travelling,Trekking,Reading books,Learning new languages</t>
  </si>
  <si>
    <t>5165 6622 8090</t>
  </si>
  <si>
    <t>JUGAL DOGRA</t>
  </si>
  <si>
    <t>POONAM DOGRA</t>
  </si>
  <si>
    <t>House Number 125, Ward No. 3, Ramnagar</t>
  </si>
  <si>
    <t>Udhampur</t>
  </si>
  <si>
    <t>BHARTIYA VIDYA MANDIR HIGH SCHOOL</t>
  </si>
  <si>
    <t>THE JAMMU &amp; KASHMIR STATE BOARD OF SCHOOL EDUCATION , RAMNAGAR</t>
  </si>
  <si>
    <t>B B S VIDYAPEETH DINA NAGAR</t>
  </si>
  <si>
    <t>CENTRAL BOARD OF SECONDARY EDUCATION, RAMNAGAR</t>
  </si>
  <si>
    <t>SHRI MATA VAISHNO DEVI UNIVERSITY , KATRA</t>
  </si>
  <si>
    <t>Bank of Maharashtra |  Banking and operations | Pune | May 2026 | Jun 2026 | 8 Weeks | Campus Internship
J &amp; K Bank | Summer Intern | Ramnagar, J&amp;K | Jun 2023 | Jul 2023 | 6.5714285714286 Weeks</t>
  </si>
  <si>
    <t>Negotiation, Mediation, and Conflict Resolution - Capstone Project
Negotiation Fundamentals
Business Analytics with Excel
Operations Management
Introduction to Marketing
Get started with Microsoft 365
International Business 1</t>
  </si>
  <si>
    <t>P25703052</t>
  </si>
  <si>
    <t>AMRITESH</t>
  </si>
  <si>
    <t>Amritesh Kumar Shivam</t>
  </si>
  <si>
    <t>amritesh16jan@gmail.com</t>
  </si>
  <si>
    <t>p25703052@student.nicmar.ac.in</t>
  </si>
  <si>
    <t>6920 7552 0862</t>
  </si>
  <si>
    <t>UZWAL KUMAR</t>
  </si>
  <si>
    <t>RENU KUMARI</t>
  </si>
  <si>
    <t>NICMAR UNIVERSITY PLAT NO 251 NIA POST OFFICE BALEWADI , TALUKA HAVELI</t>
  </si>
  <si>
    <t>S/o  Uzwal Kumar Kali Mandir Road  Nepali Nagar Ashiyana Digha</t>
  </si>
  <si>
    <t>DR D RAM DAV PUBLIC SCHOOL</t>
  </si>
  <si>
    <t>PUNE MAHARASTRA</t>
  </si>
  <si>
    <t>Bank of Maharashtra  | Management trainee Intern | Pune , Balewadi  | May 2026 | Jun 2026 | 8 Weeks | Campus Internship</t>
  </si>
  <si>
    <t>FINLATICS EQUITY MARKET ANALYST</t>
  </si>
  <si>
    <t>P25703053</t>
  </si>
  <si>
    <t>Rushikesh Rajendra Deshmukh</t>
  </si>
  <si>
    <t>deshmukhrushi396@gmail.com</t>
  </si>
  <si>
    <t>p25703053@student.nicmar.ac.in</t>
  </si>
  <si>
    <t>11-Apr-2003</t>
  </si>
  <si>
    <t>4066 0255 1166</t>
  </si>
  <si>
    <t>FL,NO 1 KHADKESHWAR Apartament KHADKESHWAR , Aurangabad MAHARASHTRA _x000D_
431001</t>
  </si>
  <si>
    <t>HOLY CROSS ENGLISH HIGH SCHOOL</t>
  </si>
  <si>
    <t>VIVEKANAND ARTS, SARDAR DALIPSINGH COMMERCE &amp; SCIENCE COLLEGE, AURANGABAD</t>
  </si>
  <si>
    <t>DR. BABASAHEB AMBEDKAR MARATHAWAD UNIVERSITY</t>
  </si>
  <si>
    <t>MS Office,EXCEL</t>
  </si>
  <si>
    <t>Address Advisors  | Business Development Intern  | Pune, Maharashtra, India | May 2026 | Jul 2026 | 9.5714285714286 Weeks | Campus Internship</t>
  </si>
  <si>
    <t>P25703054</t>
  </si>
  <si>
    <t>Ketan Milind Patil</t>
  </si>
  <si>
    <t>ketanmpatil2810@gmail.com</t>
  </si>
  <si>
    <t>p25703054@student.nicmar.ac.in</t>
  </si>
  <si>
    <t>28-Oct-2002</t>
  </si>
  <si>
    <t>Traveling and Exploring,Listening to Music,Watching Movies,Cooking</t>
  </si>
  <si>
    <t>5680 7711 8545</t>
  </si>
  <si>
    <t>NEETA</t>
  </si>
  <si>
    <t>A3 902 MANTRA MONARCH, PATIL WASTI, PATIL NAGAR, BALEWADI, PUNE</t>
  </si>
  <si>
    <t>11, Subhash Colony, Shirpur</t>
  </si>
  <si>
    <t>SMITA PATIL PUBLIC SCHOOL</t>
  </si>
  <si>
    <t>CENTRAL BOARD OF SECONDARY EDUCATION SHIRPUR, MAHARASHTRA</t>
  </si>
  <si>
    <t>R.C.PATEL ENGLISH MEDIUM JUNIOR COLLEGE</t>
  </si>
  <si>
    <t>MAHARASHTRA STATE BOARD OF SECONDARY AND HIGHER SECONDARY EDUCATION, SHIRPUR, MAHARASHTRA</t>
  </si>
  <si>
    <t>NATIONAL COUNCIL OF HOTEL MANAGEMENT AND CATERING TECHNOLOGY</t>
  </si>
  <si>
    <t>INSTITUTE OF HOTEL MANAGEMENT, CATERING TECHNOLOGY &amp; APPLIED NUTRITION, PORVORIM, GOA</t>
  </si>
  <si>
    <t>Python,Ms Office,Ms Project,Canva,Trello,</t>
  </si>
  <si>
    <t>Majestic Realties  | Digital Marketing Intern  | Pune | May 2026 | Jun 2026 | 7.7142857142857 Weeks | Campus Internship
Enrise By Sayaji | Intern | Indore | Dec 2021 | Apr 2022 | 15.857142857143 Weeks
TIP TOP INTERNATIONAL | On Job Trainee Front Office | Pune | Jan 2024 | Apr 2024 | 13 Weeks
Lejhro Technology | Human Resource Associate | Bhubaneswar | Oct 2024 | Feb 2025 | 18 Weeks</t>
  </si>
  <si>
    <t xml:space="preserve">Executive Program in Human Resource Management
KPMG Six Sigma Green Belt </t>
  </si>
  <si>
    <t>P25703055</t>
  </si>
  <si>
    <t>NISCHAY</t>
  </si>
  <si>
    <t>SISODIA</t>
  </si>
  <si>
    <t>Nischay Sisodia</t>
  </si>
  <si>
    <t>gomti.sisodia65@gmail.com</t>
  </si>
  <si>
    <t>p25703055@student.nicmar.ac.in</t>
  </si>
  <si>
    <t>10-Oct-2002</t>
  </si>
  <si>
    <t>Sketching,football,basketball,esports</t>
  </si>
  <si>
    <t>2731 7525 6804</t>
  </si>
  <si>
    <t>R.B. SISODIA</t>
  </si>
  <si>
    <t>GOMTI SISODIA</t>
  </si>
  <si>
    <t>BEAUTICIAN</t>
  </si>
  <si>
    <t>NEHRU NAGAR BHOPAL</t>
  </si>
  <si>
    <t>Nehru Nagar, 23, Gomti Colony</t>
  </si>
  <si>
    <t>BAL BHAWAN SCHOOL</t>
  </si>
  <si>
    <t>CBSE / BHOPAL  / MADHYA PRADESH</t>
  </si>
  <si>
    <t>INSTITUTE FOR EXCELLENCE IN HIGHER EDUCATION ,BHOPAL , MADHYA PRADESH</t>
  </si>
  <si>
    <t>MS Office,I know the basics of excel.</t>
  </si>
  <si>
    <t>Moksh Overseas Educon Limited | Digital Marketing Internship | bhopal,india | Mar 2024 | Apr 2024 | 6 Weeks</t>
  </si>
  <si>
    <t>Digital Marketing</t>
  </si>
  <si>
    <t>P25703056</t>
  </si>
  <si>
    <t>SETABJA</t>
  </si>
  <si>
    <t>TARAFDER</t>
  </si>
  <si>
    <t>Setabja Tarafder</t>
  </si>
  <si>
    <t>setabja.tarafder@gmail.com</t>
  </si>
  <si>
    <t>p25703056@student.nicmar.ac.in</t>
  </si>
  <si>
    <t>ENGLISH, HINDI , BENGALI</t>
  </si>
  <si>
    <t>5114 7125 5886</t>
  </si>
  <si>
    <t>LATE BIPLOB TARAFDER</t>
  </si>
  <si>
    <t>SHOVA TARAFDER</t>
  </si>
  <si>
    <t>Sf-1, Sk Heights,miraton Gardens, Chicalim Ground, Vasco Da Gama, Goa</t>
  </si>
  <si>
    <t>NAVY CHILDREN SCHOOL</t>
  </si>
  <si>
    <t>CENTRAL BOARD OF SECONDARY EDUCATION , GOA</t>
  </si>
  <si>
    <t>KENDRIYA VIDYALAYA NO 1</t>
  </si>
  <si>
    <t>CENTRAL BOARD OF SECONDARY EDUCATION, GOA</t>
  </si>
  <si>
    <t>PARVATIBAI CHOWGULE COLLEGE OF ARTS AND SCIENCE</t>
  </si>
  <si>
    <t>P25703057</t>
  </si>
  <si>
    <t>YEOLA</t>
  </si>
  <si>
    <t>Chaitanya Mayur Yeola</t>
  </si>
  <si>
    <t>chaitanyayeola9@gmail.com</t>
  </si>
  <si>
    <t>p25703057@student.nicmar.ac.in</t>
  </si>
  <si>
    <t>Playing Cricket and Reading Books,Singing,Learning a new language</t>
  </si>
  <si>
    <t>4221 4537 5755</t>
  </si>
  <si>
    <t>MAYUR YEOLA</t>
  </si>
  <si>
    <t>SUCHITA YEOLA</t>
  </si>
  <si>
    <t>BUSINESS,HOUSEWIFE</t>
  </si>
  <si>
    <t>Dagaji Ajba Patil Nagar, Chaugaon Road,Satana</t>
  </si>
  <si>
    <t>BES'T ENGLISH MEDIUM SCHOOL,SATANA,NASHIK</t>
  </si>
  <si>
    <t>MAHARASHTRA STATE BOARD OF SECONDARY AND HIGHER SECONDARY EDUCATION,NASHIK</t>
  </si>
  <si>
    <t>B.Y.K COLLEGE OF COMMERCE,NASHIK</t>
  </si>
  <si>
    <t>SAVITRIBAI PHULE UNIVERSITY,PUNE</t>
  </si>
  <si>
    <t>MODERN COLLEGE OF ARTS,SCIENCE AND COMMERCE,PUNE</t>
  </si>
  <si>
    <t>CA Akshay Rane and Associates | Finance Intern | Nashik | May 2026 | Jul 2026 | 8.5714285714286 Weeks | Campus Internship</t>
  </si>
  <si>
    <t>Business analytics with Excel: Elementary to Advanced
Getting started with Microsoft office 365</t>
  </si>
  <si>
    <t>P25703058</t>
  </si>
  <si>
    <t>CHHAJED</t>
  </si>
  <si>
    <t>Mohit Harshal Chhajed</t>
  </si>
  <si>
    <t>522mohit.chhajed0908@gmail.com</t>
  </si>
  <si>
    <t>p25703058@student.nicmar.ac.in</t>
  </si>
  <si>
    <t>12-Apr-2003</t>
  </si>
  <si>
    <t>English, Hindi, Marathi, Marwadi, German</t>
  </si>
  <si>
    <t>7650 8995 1069</t>
  </si>
  <si>
    <t>HARSHAL BANSILAL CHHAJED</t>
  </si>
  <si>
    <t>BHARATI HARSHAL CHHAJED</t>
  </si>
  <si>
    <t>PLOT NO: 06, FLAT NO: 101, SHANTAI, CTS2218, VATAN NAGAR, TALEGAON DABHADE, PUNE: 410507</t>
  </si>
  <si>
    <t>KANTILAL SHAH VIDYALAYA</t>
  </si>
  <si>
    <t>NESS WADIA COLLEGE OF COMMERCE, PUNE</t>
  </si>
  <si>
    <t>MS Office,MS Project,Digital Marketing,Power BI,Market Research &amp; Lead Generation,Data Entry and Management,Prompt Engineering,SQL</t>
  </si>
  <si>
    <t>OJASVI LOGISTICS | Business Development Manager | PUNE | Sep 2024 | Aug 2025 | 0Y 11M | 3
TOOLTECH GLOBAL ENGINEERING PVT LTD | Business Development Associate | PUNE | Jun 2024 | Jul 2024 | 0Y 1M | 3.8</t>
  </si>
  <si>
    <t>NESS WADIA COLLEGE OF COMMERCE | PLACEMENT COORDINATOR | PUNE | Jun 2022 | May 2024 | 104.28571428571 Weeks</t>
  </si>
  <si>
    <t>Basic to Advanced Structured Query
Basic to Advanced Microsoft Power BI
Basic to Advanced Microsoft Excel
Digital Marketing
IBM Basics of Business Analysis
Marketing Fundamentals
Operations Management
Negotiations Fundamentals</t>
  </si>
  <si>
    <t>P25703059</t>
  </si>
  <si>
    <t>Divya Ashok Deshmukh</t>
  </si>
  <si>
    <t>deshmukhdivya855@gmail.com</t>
  </si>
  <si>
    <t>p25703059@student.nicmar.ac.in</t>
  </si>
  <si>
    <t>7868 0557 1857</t>
  </si>
  <si>
    <t>ASHOK DESHMUKH</t>
  </si>
  <si>
    <t>NISHA DESHMUKH</t>
  </si>
  <si>
    <t>NICMAR HOSTE PUNE</t>
  </si>
  <si>
    <t>Ram Kuti, Durga Nagar, Nandura</t>
  </si>
  <si>
    <t>ST. ANNS, ENGISH MEDIUM HIGH SCHOOL</t>
  </si>
  <si>
    <t>M. P. KOTHARI JR. COLLEGE , NANDURA</t>
  </si>
  <si>
    <t>MAHATMA PHULE AGRICULTURAL UNIVERSITY</t>
  </si>
  <si>
    <t>SCHOOL OF AGRIBUSINESS MANAGEMENT BARAMATI</t>
  </si>
  <si>
    <t>Syngenta Foundation India  | Banking and Finance Intern  | Pune | May 2026 | Jul 2026 | 8.4285714285714 Weeks | Campus Internship</t>
  </si>
  <si>
    <t>P25703060</t>
  </si>
  <si>
    <t>RAWAL</t>
  </si>
  <si>
    <t>Rawal Jatin Shambhu</t>
  </si>
  <si>
    <t>rawaljatin778@gmail.com</t>
  </si>
  <si>
    <t>p25703060@student.nicmar.ac.in</t>
  </si>
  <si>
    <t>31-Jul-2004</t>
  </si>
  <si>
    <t>Badminton,Cricket,Travel</t>
  </si>
  <si>
    <t>7208 8707 8506</t>
  </si>
  <si>
    <t>SHAMBHU RAWAL</t>
  </si>
  <si>
    <t>KUSUM RAWAL</t>
  </si>
  <si>
    <t>506, Balaji Tower-2, Sutharwad, Vapi</t>
  </si>
  <si>
    <t>SHREE SWAMINARYAN SECONDARY ENGLISH MEDIUM SCHOOL, SALVAV, VAPI</t>
  </si>
  <si>
    <t>ST. FRANCIS' HIGH SCHOOL, VAPI</t>
  </si>
  <si>
    <t>PARUL UNIVERSITY, VADODARA</t>
  </si>
  <si>
    <t>Simplify Home | Marketing Intern | Hyderabad, Telangana | May 2026 | Jun 2026 | 8 Weeks | Campus Internship</t>
  </si>
  <si>
    <t>P25703061</t>
  </si>
  <si>
    <t>ANUP</t>
  </si>
  <si>
    <t>Anup Jaiswal</t>
  </si>
  <si>
    <t>anupjaiswal3969@gmail.com</t>
  </si>
  <si>
    <t>p25703061@student.nicmar.ac.in</t>
  </si>
  <si>
    <t>English and hindi</t>
  </si>
  <si>
    <t>3960 6936 1952</t>
  </si>
  <si>
    <t>DEELIP JAISWAL</t>
  </si>
  <si>
    <t>LATE INDU DEVI</t>
  </si>
  <si>
    <t>Vill + Post Nimej Dist, Buxar Bihar</t>
  </si>
  <si>
    <t>Buxar</t>
  </si>
  <si>
    <t>GYAN JYOTI AWASIYA VIDYALAYA BHOJPUR BIHAR</t>
  </si>
  <si>
    <t>R P S RESIDENTIAL SCHOOL DANAPUR PATNA BIHAR</t>
  </si>
  <si>
    <t>PROF. RAJENDRA SINGH ( RAJJU BHAIYA) UNIVERSITY PRAYAGRAJ UTTAR PRADESH</t>
  </si>
  <si>
    <t>UNITED INSTITUTE OF MANAGEMENT PRAYAGRAJ UTTAR PRADESH</t>
  </si>
  <si>
    <t>Introduction to marketing (university of Pennsylvani - Coursera )
International business (university of new maxico - Coursera)</t>
  </si>
  <si>
    <t>P25703062</t>
  </si>
  <si>
    <t>BANDI</t>
  </si>
  <si>
    <t>NIHARIKA</t>
  </si>
  <si>
    <t>Bandi Niharika</t>
  </si>
  <si>
    <t>niharikabandi.01@gmail.com</t>
  </si>
  <si>
    <t>p25703062@student.nicmar.ac.in</t>
  </si>
  <si>
    <t>29-Jan-2002</t>
  </si>
  <si>
    <t>Playing Badminton,Listening to Music,Photography,Creative Designing,Swimming,Reading Books,Exploring new Technologies,Learning new Languages,Traveling,Participating in Cultural Events</t>
  </si>
  <si>
    <t>2792 1625 0403</t>
  </si>
  <si>
    <t>BANDI NAGU BABU</t>
  </si>
  <si>
    <t>BANDI KAMALA RANI</t>
  </si>
  <si>
    <t>53-16-85/3, K.R.M Colony, Maddilapalem, Near Canara Bank ATM</t>
  </si>
  <si>
    <t>BHASHYAM PUBLIC SCHOOL</t>
  </si>
  <si>
    <t>SRIGAYATRI JUNIOR COLLEGE</t>
  </si>
  <si>
    <t>GAYATRI VIDYA PARISHAD COLLEGE OF ENGINEERING</t>
  </si>
  <si>
    <t>AutoCAD,MS Office,CATIA V5,Adobe Photoshop (PS),Adobe Illustrator (AI),ANSYS,Canva</t>
  </si>
  <si>
    <t>Godrej Properties Limited | Operations - Contracts and Procurement | Chennai - Padur | May 2026 | Jul 2026 | 8.7142857142857 Weeks | Campus Internship</t>
  </si>
  <si>
    <t>Python Basics
AI-ML Virtual Internship
Android Developer Virtual Internship
Robotic Process Automation (RPA)
Al tools and ChatGPT workshop
Salesforce Agentblazer Innovator
Salesforce Agentblazer Champion
Negotiation Fundamentals
Business Analytics with Excel: Elementary to Advanced
Getting started with Microsoft Office 365
International Business I
Operations Management
Negotiation, Mediation, and Conflict Resolution - Capstone Project
Introduction to Marketing</t>
  </si>
  <si>
    <t>P25703063</t>
  </si>
  <si>
    <t>Sneha Singh</t>
  </si>
  <si>
    <t>snehajugnu@gmail.com</t>
  </si>
  <si>
    <t>p25703063@student.nicmar.ac.in</t>
  </si>
  <si>
    <t>18-Dec-2004</t>
  </si>
  <si>
    <t>9056 6798 8487</t>
  </si>
  <si>
    <t>NP SINGH</t>
  </si>
  <si>
    <t>ENGINEERING</t>
  </si>
  <si>
    <t>JUGNU SINGH</t>
  </si>
  <si>
    <t>House No. 16 Maheshpuri Niwaru Road Jhotwara</t>
  </si>
  <si>
    <t>IIS (DEEMED TO BE UNIVERSITY)</t>
  </si>
  <si>
    <t>IIS (DEEMED TO BE UNIVERSITY), JAIPUR, RAJASTHAN</t>
  </si>
  <si>
    <t>Gunarth Infra Pvt. Ltd. | Finance Intern  | Vadodara, Gujarat  | May 2026 | Jul 2026 | 8.7142857142857 Weeks</t>
  </si>
  <si>
    <t>P25703064</t>
  </si>
  <si>
    <t>TANUJA</t>
  </si>
  <si>
    <t>KARALE</t>
  </si>
  <si>
    <t>Tanuja Machhindra Karale</t>
  </si>
  <si>
    <t>karaletanuja666@gmail.com</t>
  </si>
  <si>
    <t>p25703064@student.nicmar.ac.in</t>
  </si>
  <si>
    <t>English, Hindi , Maratthi</t>
  </si>
  <si>
    <t>Blogging,Reading Books,Fitness Activities,Trekking,Dancing,Capturing &amp; Editing</t>
  </si>
  <si>
    <t>9106 5386 8291</t>
  </si>
  <si>
    <t>Deolali Pravara,_x000D_
Rahuri,Ahmednagar</t>
  </si>
  <si>
    <t>NEW ENGLISH SCHOOL</t>
  </si>
  <si>
    <t>ATMA MALIK INTERNATIONAL SCHOOL</t>
  </si>
  <si>
    <t>BRIHAN MHARASHTRA COLLEGE OF COMMERCE</t>
  </si>
  <si>
    <t>MS Office,MS Project,Google Analytics,Canva,SEMrush,Ahrefs,Hubspot,WordPress,Hootsuite,Biffer,Zoho CRM,EXCEL</t>
  </si>
  <si>
    <t>BESTLA &amp; INDUSTRIES | MANAGED SEO &amp; SOCIAL MEDIA CAMPAIGNS,CREATED MARKETING CONTENT &amp; ANALYZED PERFORMANCE METRICS | PUNE | May 2025 | Aug 2025 | 16.857142857143 Weeks</t>
  </si>
  <si>
    <t>P25703065</t>
  </si>
  <si>
    <t>BORULE</t>
  </si>
  <si>
    <t>Soham Vilas Borule</t>
  </si>
  <si>
    <t>sohamborule244@gmail.com</t>
  </si>
  <si>
    <t>p25703065@student.nicmar.ac.in</t>
  </si>
  <si>
    <t>02-Apr-2004</t>
  </si>
  <si>
    <t>3475 6972 6423</t>
  </si>
  <si>
    <t>Cha.sambhaji Maharaj Colony, Lonkar Wasti, Keshav Nagar, Mundhwa,pune36.</t>
  </si>
  <si>
    <t>SANE GURUJI SECONDARY SCHOOL</t>
  </si>
  <si>
    <t>PUNE / MAHARASHTRA</t>
  </si>
  <si>
    <t>HARIBHAI V. DESAI COLLEGE PUNE/MAHARASHTRA</t>
  </si>
  <si>
    <t>MS Project,Tally/ advanced Excel</t>
  </si>
  <si>
    <t>SKY TAPES  | Purchase and procurement  | Manjari Budruk  | May 2026 | Jul 2026 | 9.5714285714286 Weeks</t>
  </si>
  <si>
    <t>P25703066</t>
  </si>
  <si>
    <t>DEV</t>
  </si>
  <si>
    <t>KAMLESH</t>
  </si>
  <si>
    <t>ASHARA</t>
  </si>
  <si>
    <t>Dev Kamlesh Ashara</t>
  </si>
  <si>
    <t>ashradev8888@gmail.com</t>
  </si>
  <si>
    <t>p25703066@student.nicmar.ac.in</t>
  </si>
  <si>
    <t>25-Mar-2003</t>
  </si>
  <si>
    <t>English, Hindi, Gujarati and Marathi</t>
  </si>
  <si>
    <t>9859 7572 8869</t>
  </si>
  <si>
    <t>KAMLESH ISHWARLAL ASHARA</t>
  </si>
  <si>
    <t>PRITI KAMLESH ASHARA</t>
  </si>
  <si>
    <t>A/003 Dhoop Chav Bldg, Ambadi Road Cross, Near Sai Garden, Vasai West,</t>
  </si>
  <si>
    <t>MOUNT CARMEL JUNIOR COLLEGE</t>
  </si>
  <si>
    <t>B.K. SHROFF COLLEGE OF ARTS AND M.H. SHROFF COLLEGE OF COMMERCE</t>
  </si>
  <si>
    <t>other,Excel</t>
  </si>
  <si>
    <t>Receivables Exchange of India Limited | Operations Intern | Kanjurmarg, Mumbai | May 2026 | Jul 2026 | 8.7142857142857 Weeks | Campus Internship
VANTAGE KNOWLEDGE ACADEMY | BUSINESS DEVELOPMENT EXECUTIVE | ANDHERI, MUMBAI, MAHARASHTRA  | Jan 2025 | Mar 2025 | 8.4285714285714 Weeks</t>
  </si>
  <si>
    <t>Practical Taxation
2D Animation
Life Skills
Ethical Hacking
Investment In Financial Markets Based on Technical Analysis
Microsoft 365
Business Analytics with Excel
Operations Management</t>
  </si>
  <si>
    <t>P25703067</t>
  </si>
  <si>
    <t>SATAKSHI</t>
  </si>
  <si>
    <t>Satakshi Nayak</t>
  </si>
  <si>
    <t>satakshinayak3@gmail.com</t>
  </si>
  <si>
    <t>p25703067@student.nicmar.ac.in</t>
  </si>
  <si>
    <t>17-Sep-2002</t>
  </si>
  <si>
    <t>Yoga / Meditation,Reading books,Research &amp; reading journals,Music (playing an instrument,singing),Creative writing / Poetry,Astrology &amp; Horoscope Study,Numerology Research,Palmistry &amp; Hand Analysis</t>
  </si>
  <si>
    <t>8601 5902 8795</t>
  </si>
  <si>
    <t>VINIT NAYAK</t>
  </si>
  <si>
    <t>SHILPA NAYAK</t>
  </si>
  <si>
    <t>Flat No 306 3rd Floor Ganesh Heritage Swarnjayanti Nagar Bilaspur (C.G)</t>
  </si>
  <si>
    <t>SATAKSHI NAYAK</t>
  </si>
  <si>
    <t>ICSE DURG CHHATTISGARH</t>
  </si>
  <si>
    <t>ATAL BIHARI VAJPAYEE VISHWAVIDHYALA</t>
  </si>
  <si>
    <t>LCIT COLLEGE OF COMMERCE AND SCIENCE</t>
  </si>
  <si>
    <t>ATAL BIHARI VAJPAYEE VISHWAVIDYALAYA BILASPUR</t>
  </si>
  <si>
    <t>Business Analytics with Excel : Elementary to Advanced
Introduction to Marketing
Negotiation Fundamentals
Negotiation,Mediation, and Conflict Resolution - Capstone Project</t>
  </si>
  <si>
    <t>P25703069</t>
  </si>
  <si>
    <t>KAKAD</t>
  </si>
  <si>
    <t>Shruti Kishor Kakad</t>
  </si>
  <si>
    <t>shrutikakad2008@gmail.com</t>
  </si>
  <si>
    <t>p25703069@student.nicmar.ac.in</t>
  </si>
  <si>
    <t>english\hindi\marathi</t>
  </si>
  <si>
    <t>7888 4703 9313</t>
  </si>
  <si>
    <t>KISHOR KAKAD</t>
  </si>
  <si>
    <t>ARCHANA KAKAD</t>
  </si>
  <si>
    <t>At Mangul Post Dagadparwa Tq Barshitakli Dist Akola</t>
  </si>
  <si>
    <t>NOEL SCHOOL CBSE AKOLA</t>
  </si>
  <si>
    <t>SMT . MEHERBANU JUNIOR COLLAGE OF SCIENCE AND COMMERCE</t>
  </si>
  <si>
    <t>SHRI SHIVAJI COLLEGE OF ARTS, COMMERCE AND SCIENCE AKOT, MAHARASHTRA</t>
  </si>
  <si>
    <t>other,Advance Excel</t>
  </si>
  <si>
    <t>Basics of Python
Invesment Banking Job Simulation
Advance Excel</t>
  </si>
  <si>
    <t>P25703070</t>
  </si>
  <si>
    <t>KUSHAGRA</t>
  </si>
  <si>
    <t>Kushagra Singh</t>
  </si>
  <si>
    <t>kushagra.mv@gmail.com</t>
  </si>
  <si>
    <t>p25703070@student.nicmar.ac.in</t>
  </si>
  <si>
    <t>05-Mar-1993</t>
  </si>
  <si>
    <t>8675 2557 5837</t>
  </si>
  <si>
    <t>PRAMOD SINGH</t>
  </si>
  <si>
    <t>PRAMILA SINGH</t>
  </si>
  <si>
    <t>C/o Pramod Singh, Defence Colony, Cantonment, Varanasi</t>
  </si>
  <si>
    <t>Varanasi</t>
  </si>
  <si>
    <t>OP JINDAL SCHOOL</t>
  </si>
  <si>
    <t>CENTRAL BOARD OF SECONDARY EDUCATION, RAIGARH, CHHATTISGARH</t>
  </si>
  <si>
    <t>BHARATI VIDYAPEETH JAWAHARLAL NEHRU INSTITUTE OF TECHNOLOGY, PUNE, MAHARASHTRA</t>
  </si>
  <si>
    <t>BHARATI VIDYAPEETH</t>
  </si>
  <si>
    <t>COLLEGE OF ENGINEERING PUNE, MAHARASHTRA</t>
  </si>
  <si>
    <t>VAUTID India Private Limited | Production Engineer, Sales Coordinator | Pune, Maharashtra | Jun 2020 | Jul 2025 | 5Y 1M | 4.73</t>
  </si>
  <si>
    <t>Jindal Steel and Power limited | Summer Training | Raigarh, Chhattisgarh | May 2014 | Jun 2014 | 3.8571428571429 Weeks</t>
  </si>
  <si>
    <t>Google: Foundations of Project Management</t>
  </si>
  <si>
    <t>P25703071</t>
  </si>
  <si>
    <t>SHASHIKANTH</t>
  </si>
  <si>
    <t>SINGARE</t>
  </si>
  <si>
    <t>Arjun Shashikanth Singare</t>
  </si>
  <si>
    <t>arjunsingare11@gmail.com</t>
  </si>
  <si>
    <t>p25703071@student.nicmar.ac.in</t>
  </si>
  <si>
    <t>21-Jun-2004</t>
  </si>
  <si>
    <t>5484 7843 8750</t>
  </si>
  <si>
    <t>SHASHIKANTH SINGARE</t>
  </si>
  <si>
    <t>GOVERMENT SERVANT</t>
  </si>
  <si>
    <t>YOGITA SINGARE</t>
  </si>
  <si>
    <t>'Mirai' Plot No 1 . Revati Housing Soceity_x000D_
Itkheda, Paithan Road, Aurangabad</t>
  </si>
  <si>
    <t>AGRASEN VIDYA MANDIR</t>
  </si>
  <si>
    <t>MAHARSHTRA STATE BOARD OF SECONDARY AND HIGHER SECONDARY EDUCATION</t>
  </si>
  <si>
    <t>DEOGIRI INSTITUTE OF TECHNOLOGY AND MANAGEMENT STUDIES</t>
  </si>
  <si>
    <t>Maharashtra metro rail corporation limited  | Multi model integration intern  | Pune  | May 2026 | Jul 2026 | 9.7142857142857 Weeks | Campus Internship</t>
  </si>
  <si>
    <t>P25703072</t>
  </si>
  <si>
    <t>ANURAG</t>
  </si>
  <si>
    <t>Anurag Ajit Jadhav</t>
  </si>
  <si>
    <t>anurag.workall@gmail.com</t>
  </si>
  <si>
    <t>p25703072@student.nicmar.ac.in</t>
  </si>
  <si>
    <t>26-Feb-1997</t>
  </si>
  <si>
    <t>Playing Flute,Reading Books,Trekking</t>
  </si>
  <si>
    <t>6638 5568 9354</t>
  </si>
  <si>
    <t>AMITA</t>
  </si>
  <si>
    <t>Room No.1, Kadam Chawl, Jamil Nagar, Bhandup West, Mumbai 400078</t>
  </si>
  <si>
    <t>COSMOS ENGLISH HIGH SCHOOL</t>
  </si>
  <si>
    <t>VPM'S B.N. BANDODKAR COLLEGE OF SCIENCE, THANE</t>
  </si>
  <si>
    <t>ANNASAHEB CHUDAMAN PATIL COLLEGE OF ENGINEERING, KHARGHAR, MAHARASHTRA</t>
  </si>
  <si>
    <t>WSP Consultants India Private Limited | Asst Consultant - HSE | Noida &amp;amp; Mumbai | May 2024 | Jul 2025 | 1Y 1M | 10
Industrial Energy Solutions | HSE Officer | Jamnagar &amp;amp;amp; Surat | Apr 2022 | Apr 2023 | 1Y 0M | 5
GVK Mumbai International Airport Limited | HSE &amp; Maintenance Trainee | Mumbai | Dec 2019 | Dec 2020 | 1Y 0M | 1.2
Sharp Designers &amp; Engineers India Private Limited | HSE Coordinator | Nagaothane &amp; Pune | May 2023 | Dec 2023 | 0Y 6M | 6
Coolpack HVAC Systems Private Limited | Safety Engineer | Mumbai | Dec 2021 | Mar 2022 | 0Y 3M | 2.5</t>
  </si>
  <si>
    <t>International Architecture Trading and Contracting Company/ ITL Al Amara | HSE Officer | Kingdom Of Saudi Arabia | Dec 2023 | Mar 2024 | 11.285714285714 Weeks</t>
  </si>
  <si>
    <t>Safety Trade Validation Certification
First Aid and CPR Approved DISH
ISO 45001 LEAD AUDITOR
NEBOSH International General Certificate</t>
  </si>
  <si>
    <t>P25703073</t>
  </si>
  <si>
    <t>Aditya Chandrashekhar Patil</t>
  </si>
  <si>
    <t>adityapatil1761@gmail.com</t>
  </si>
  <si>
    <t>p25703073@student.nicmar.ac.in</t>
  </si>
  <si>
    <t>17-Jun-2001</t>
  </si>
  <si>
    <t>7550 2277 1349</t>
  </si>
  <si>
    <t>CHANDRASHEKHAR PATIL</t>
  </si>
  <si>
    <t>CHETANA PATIL</t>
  </si>
  <si>
    <t>D-405 SARTTHI SKYBAY PHASE 2, BALEWADI, PUNE</t>
  </si>
  <si>
    <t>Civil Line, Nandura Road, Khamgaon</t>
  </si>
  <si>
    <t>ST. ANNS ENGLISH MEDIUM HIGH SCHOOL</t>
  </si>
  <si>
    <t>LATE MAHARSHI BHASKARRAO SHINGNE COLLEGE</t>
  </si>
  <si>
    <t>DR. D. Y. PATIL COLLEGE OF AGRIBUSINESS MANAGEMENT</t>
  </si>
  <si>
    <t>Centrum wealth Ltd.  | Wealth management intern | Pune | May 2026 | Jun 2026 | 8.1428571428571 Weeks | Campus Internship
Syngenta Foundation India | Intern at IRise Program | Pune | Dec 2023 | Jul 2024 | 32.714285714286 Weeks</t>
  </si>
  <si>
    <t>P25703075</t>
  </si>
  <si>
    <t>APPA</t>
  </si>
  <si>
    <t>Ashok Appa Jagtap</t>
  </si>
  <si>
    <t>ashokjagtap2441@gmail.com</t>
  </si>
  <si>
    <t>p25703075@student.nicmar.ac.in</t>
  </si>
  <si>
    <t>20-Nov-2001</t>
  </si>
  <si>
    <t>5144 9369 7102</t>
  </si>
  <si>
    <t>APPA JAGTAP</t>
  </si>
  <si>
    <t>10TH</t>
  </si>
  <si>
    <t>ANITA JAGTAP</t>
  </si>
  <si>
    <t>AT.Kanhobachiwadi TQ.Shirur Kasar Dist-Beed</t>
  </si>
  <si>
    <t>SARASWATI VIDYALAY KHADGAON LATUR</t>
  </si>
  <si>
    <t>LATUR-MAHARASHTRA</t>
  </si>
  <si>
    <t>BABUJI AVHAD MAHAVIDYALAY PATHARDI AHEMADNAGAR</t>
  </si>
  <si>
    <t>PATHARDI-AHEMADNAGAR-MAHARASHTRA</t>
  </si>
  <si>
    <t>MAHATMA PHULE KRISHI VIDYAPEETH RAHURI</t>
  </si>
  <si>
    <t>DR.D.Y. PATIL COLLEGE OF AGRICULTURE BUSINESS MANAGEMENT AKURDI ,PUNE</t>
  </si>
  <si>
    <t>other,MS-CIT</t>
  </si>
  <si>
    <t>P25703076</t>
  </si>
  <si>
    <t>UPADHYAY</t>
  </si>
  <si>
    <t>Sharad Upadhyay</t>
  </si>
  <si>
    <t>sharadupadhyay52@gmail.com</t>
  </si>
  <si>
    <t>p25703076@student.nicmar.ac.in</t>
  </si>
  <si>
    <t>30-Mar-2003</t>
  </si>
  <si>
    <t>7179 0622 1900</t>
  </si>
  <si>
    <t>DEEPAK UPADHYAY</t>
  </si>
  <si>
    <t>POOJA UPADHYAY</t>
  </si>
  <si>
    <t>Deepapur , Rajatalab , Varanasi , Uttar Pradesh</t>
  </si>
  <si>
    <t>NATIONAL INSTITUTE OF OPEN SCHOOLING , BHADOHI , UTTAR PRADESH</t>
  </si>
  <si>
    <t>M J F PUBLIC SCHOOL</t>
  </si>
  <si>
    <t>MAHATMA GANDHI KASHI VIDYAPITH , VARANASI</t>
  </si>
  <si>
    <t>ASHA MAHAVIDYALAYA , BABATPUR , VARANASI , UTTAR PRADESH</t>
  </si>
  <si>
    <t>Operations Management</t>
  </si>
  <si>
    <t>P25703077</t>
  </si>
  <si>
    <t>PREMPRAKASH</t>
  </si>
  <si>
    <t>Prakash Premprakash Choudhary</t>
  </si>
  <si>
    <t>psaran0698@gmail.com</t>
  </si>
  <si>
    <t>p25703077@student.nicmar.ac.in</t>
  </si>
  <si>
    <t>13-May-2003</t>
  </si>
  <si>
    <t>6088 2634 7024</t>
  </si>
  <si>
    <t>KUNNIDEVI</t>
  </si>
  <si>
    <t>B1/201, Prestige Panorama Society, Manjri Road, Keshavnagar, Pune</t>
  </si>
  <si>
    <t>JAYAWANT PUBLIC SCHOOL</t>
  </si>
  <si>
    <t>MAHARSHTRA STATE BOARD OF SECONDARY AND HIGHER SECONDARY EDUCATION, PUNE</t>
  </si>
  <si>
    <t>LEEAS NUTRA COSMETICS | Sales and Marketing Intern | Pune | May 2022 | Jul 2022 | 8.2857142857143 Weeks
DECATHLON SPORTS INDIA PRIVATE LIMITED | Stock Management and Merchandising Intern | Pune | Jun 2023 | Aug 2023 | 9.1428571428571 Weeks
BLUESTONE JEWELLERY AND LIFESTYLE PVT. LTD. | Sales and Operations Intern | Pune | Jan 2024 | May 2024 | 19.571428571429 Weeks</t>
  </si>
  <si>
    <t>P25703078</t>
  </si>
  <si>
    <t>DOULAT</t>
  </si>
  <si>
    <t>Dhanashri Doulat Jadhav</t>
  </si>
  <si>
    <t>jadhavdhanashri7904@gmail.com</t>
  </si>
  <si>
    <t>p25703078@student.nicmar.ac.in</t>
  </si>
  <si>
    <t>07-Sep-2004</t>
  </si>
  <si>
    <t>Love to serve Animals,Traveling,Bike Riding,Watching movies</t>
  </si>
  <si>
    <t>6299 4766 5932</t>
  </si>
  <si>
    <t>Pusewadi Vasti, A/p Bambawade, Tal-Shirala, Dist-Sangli</t>
  </si>
  <si>
    <t>TAKAVE HIGHSCHOOL, TAKAVE</t>
  </si>
  <si>
    <t>MAHARASHTRA STATE BOARD, KOLHAPUR DIVISIONAL BOARD</t>
  </si>
  <si>
    <t>SHRIMATI KUSUMTAI RAJARAMBAPU PATIL KANYA MAHAVIDYALAYA, ISLAMPUR</t>
  </si>
  <si>
    <t>RAJARAMBAPU INSTITUTE OF TECHNOLOGY, ISLAMPUR MAHARASHTRA</t>
  </si>
  <si>
    <t>MS Office,Excel,Powerpoint,Tally ERP with GST</t>
  </si>
  <si>
    <t>P25703080</t>
  </si>
  <si>
    <t>Siddhesh Sanjay Jadhav</t>
  </si>
  <si>
    <t>siddheshjadhav2324@gmail.com</t>
  </si>
  <si>
    <t>p25703080@student.nicmar.ac.in</t>
  </si>
  <si>
    <t>17-Aug-2003</t>
  </si>
  <si>
    <t>9957 6989 8815</t>
  </si>
  <si>
    <t>JAYSHREE JADHAV</t>
  </si>
  <si>
    <t>Plot No. 27 Padalkar Colony, Kasba Bawda, Kolhapur 416006</t>
  </si>
  <si>
    <t>SHRIMANT MAISAHEB BAVDEKAR VIDYALAYA</t>
  </si>
  <si>
    <t>MAHARASHTRA STATE BOARD OF SECONDARY EDUCATION, PUNE</t>
  </si>
  <si>
    <t>B. M. ROTE JUNIOR COLLEGE</t>
  </si>
  <si>
    <t>MAHARASHTRA STATE BOARD OF HIGHER SECONDARY EDUCATION, PUNE</t>
  </si>
  <si>
    <t>KOLHAPUR INSTITUTE OF TECHNOLOGY'S COLLEGE OF ENGINEERING KOLHAPUR</t>
  </si>
  <si>
    <t>AutoCAD, MS Office, MS Project, PTC Creo (3d Design)</t>
  </si>
  <si>
    <t>Ecoboard Industries Ltd | Procurement Intern | Pune | May 2026 | Jun 2026 | 8 Weeks | Campus Internship
KIrloskar Oil Engines Ltd. | Design Engineer | Kolhapur | Jan 2025 | Apr 2025 | 12.857142857143 Weeks</t>
  </si>
  <si>
    <t>P25703036</t>
  </si>
  <si>
    <t>Vishal Rajendra Pawar</t>
  </si>
  <si>
    <t>p25703036@student.nicmar.ac.in</t>
  </si>
  <si>
    <t>22-Jul-2001</t>
  </si>
  <si>
    <t>9687 4978 0368</t>
  </si>
  <si>
    <t>RAJENDRA PAWAR</t>
  </si>
  <si>
    <t>NANDA PAWAR</t>
  </si>
  <si>
    <t>CLOTHING BUSINESS</t>
  </si>
  <si>
    <t>Tulja Heights Ubha Bazar Sawantwadi</t>
  </si>
  <si>
    <t>R.P.D JR COLLEGE SAWANTWADI</t>
  </si>
  <si>
    <t>PES MODERN COLLEGE OF ENGINEERING PUNE</t>
  </si>
  <si>
    <t>AutoCAD,MS Office,MS Project,EXCEL,powerpoint,power bi</t>
  </si>
  <si>
    <t>Shree Enterprises | GET | pune | Sep 2023 | Sep 2024 | 1Y 0M | 2.16</t>
  </si>
  <si>
    <t>MBA-ENS</t>
  </si>
  <si>
    <t>P25707001</t>
  </si>
  <si>
    <t>SUHAN</t>
  </si>
  <si>
    <t>Kamble Suhan Jagdish</t>
  </si>
  <si>
    <t>suhankamble62@gmail.com</t>
  </si>
  <si>
    <t>P25707001@student.nicmar.ac.in</t>
  </si>
  <si>
    <t>28-Nov-2003</t>
  </si>
  <si>
    <t>2829 2472 7740</t>
  </si>
  <si>
    <t>JAGDISH KAMBLE</t>
  </si>
  <si>
    <t>PROJECT LEAD - (PRIVATE SERVICE)</t>
  </si>
  <si>
    <t>SANDHYA KAMBLE</t>
  </si>
  <si>
    <t>Dattakrupa, Vadgaon Road, In Front Of Ram Mandir, Gurudatta Residency, Alandi Rural, Pune</t>
  </si>
  <si>
    <t>PRIYADARSHANI ENGLISH MEDIUM SCHOOL, ALANDI, PUNE</t>
  </si>
  <si>
    <t>DIPLOMA IN CIVIL ENGINEERING.</t>
  </si>
  <si>
    <t>AISSMS COLLEGE OF POLYTECHNIC, PUNE.</t>
  </si>
  <si>
    <t>SAVITRIBAI PHULE PUNE UNIVERSITY (SPPU)</t>
  </si>
  <si>
    <t>DR. D. Y. PATIL INSTITUTE OF TECHNOLOGY, PIMPRI, PUNE.</t>
  </si>
  <si>
    <t>MS Office,Monitoring &amp; Controlling,Teamwork,Microsoft Excel,Microsoft PowerPoint,Microsoft Word,Financial Fundamentals,Basic financial modelling,Integrate artificial intelligence AI,Life Cycle Assessment (LCA),Carbon &amp; GHG Accounting,Energy &amp; Resource Eff</t>
  </si>
  <si>
    <t>Grattitude Synergy LLP | Management Intern | Pune | May 2026 | Jul 2026 | 8.7142857142857 Weeks | Campus Internship
CONSTROLOGIX ENGINEERING &amp; RESEARCH SERVICES PVT. LTD. | JUNIOR QUALITY ENGINEER INTERN | PUNE | Dec 2023 | Jan 2024 | 4 Weeks</t>
  </si>
  <si>
    <t>GHG Accounting &amp; Carbon Accounting
Municipal Solid Waste Management By NPTEL, IIT Guwahati
Career Essentials in Sustainable Tech by Microsoft and LinkedIn
McKinsey Forward Program
SEBI Investor Certification Examination
Water Wastewater Management
Investor Education - Basic
Water and Wastewater Management (SCADA Operating System)</t>
  </si>
  <si>
    <t>P25707002</t>
  </si>
  <si>
    <t>DILIP KUMAR</t>
  </si>
  <si>
    <t>PANDRANKI</t>
  </si>
  <si>
    <t>Dilip Kumar Pandranki</t>
  </si>
  <si>
    <t>dilipkumarpandranki@gmail.com</t>
  </si>
  <si>
    <t>p25707002@student.nicmar.ac.in</t>
  </si>
  <si>
    <t>7349 0033 6944</t>
  </si>
  <si>
    <t>PANDRANKI SURI BABU</t>
  </si>
  <si>
    <t>PANDRANKI NIRMALA</t>
  </si>
  <si>
    <t>8-15, SATTIVANIPALEM VILLAGE, JAGGAYYAPALEM POST, PENDURTHI MANDAL</t>
  </si>
  <si>
    <t>BHASHYAM HIGH SCHOOL</t>
  </si>
  <si>
    <t>GOVT. POLYTECHNIC-VISHAKHAPATNAM</t>
  </si>
  <si>
    <t>JAWAHARLAL NEHRU TECHNOLOGICAL UNIVERSITY GURAJADA, VIZIANAGARAM</t>
  </si>
  <si>
    <t>VIGNAN'S INSTITUTE OF INFORMATION TECHNOLOGY, VISAKHAPATNAM</t>
  </si>
  <si>
    <t>AutoCAD,MS Office,REVIT,SKETCHUP,V-RAY,SimaPro,OpenLCA</t>
  </si>
  <si>
    <t>GREENEX ENVIRONMENTAL PRIVATE LIMITED | ESG &amp; Sustainability Intern | Pune | May 2026 | Jul 2026 | 8.5714285714286 Weeks | Campus Internship
SAMVID PROJECT SOLUTIONS PRIVATE LIMITED | TRANIEE ENGINEER (CIVIL &amp; STRUCTURAL) | VISAKHAPATNAM | Jul 2023 | Apr 2024 | 36.857142857143 Weeks</t>
  </si>
  <si>
    <t>AutoCad
Workshop on GHG Accounting &amp; Carbon Accounting - Nicmar University
Introduction to ESG
IGBC Accredited Professional - Associate
Revit Software</t>
  </si>
  <si>
    <t>P25707003</t>
  </si>
  <si>
    <t>DROUPADA</t>
  </si>
  <si>
    <t>BABASO</t>
  </si>
  <si>
    <t>MULIK</t>
  </si>
  <si>
    <t>Droupada Babaso Mulik</t>
  </si>
  <si>
    <t>droupadamulik@gmail.com</t>
  </si>
  <si>
    <t>p25707003@student.nicmar.ac.in</t>
  </si>
  <si>
    <t>08-Dec-1999</t>
  </si>
  <si>
    <t>Volunteering in Social Activities (Social Work),Reading,Travelling,Photography</t>
  </si>
  <si>
    <t>8130 9895 3360</t>
  </si>
  <si>
    <t>BABASO PANDURANG MULIK</t>
  </si>
  <si>
    <t>MEENABAI BABASO MULIK</t>
  </si>
  <si>
    <t>308 Narayan Vastu,Main Road, Shivajinagar, Taluka: Kadegaon</t>
  </si>
  <si>
    <t>401 Parineeta. Lane 5B, Right Bhusari Colony. 38, Kothrud, Pune, PIN 411 038</t>
  </si>
  <si>
    <t>MAHATMA GANDHI VIDYALAYA, KADEGAON</t>
  </si>
  <si>
    <t>TILAK HIGHSCHOOL AND JR. COLLEGE, KARAD</t>
  </si>
  <si>
    <t>AISSMS COLLEGE OF ENGINEERING, PUNE</t>
  </si>
  <si>
    <t>AutoCAD,MS Office,MS Project,LEAN Six-SIgma,SimaPro,Open LCA,Carbon Accounting</t>
  </si>
  <si>
    <t>Ecosan Services Foundation | Project Associate | Karve Nagar, Pune | Jan 2025 | Jun 2025 | 0Y 5M | 2.5
Innovela Building Solutions | Jr. Detailer (Trainee) | Koregaon Park, Pune | Apr 2024 | Oct 2024 | 0Y 6M | 1.92</t>
  </si>
  <si>
    <t>Greenex Environmental | INTERN | Pune | May 2026 | Jul 2026 | 8.5714285714286 Weeks | Campus Internship
TEMBHU LIFT IRRIGATION DEPARTMENT, GOVERNMENT OF MAHARASHTRA, | INTERN | KADEPUR | Jan 2022 | Feb 2022 | 4.5714285714286 Weeks
DESAI INFRA PROJECTS (INDIA) PVT.LTD. | INTERN | KARAD (SURLI) | Nov 2020 | Dec 2020 | 2.1428571428571 Weeks</t>
  </si>
  <si>
    <t>AutoCAD 2D-3D Certificate
McKinsey org forward learning program
GHG Accounting and Carbon Accounting
LEAN SIX SIGMA YELLOW BELT- DMADV (Pursullence)
Safety In Construction Industry 84/100</t>
  </si>
  <si>
    <t>P25707004</t>
  </si>
  <si>
    <t>NEETU</t>
  </si>
  <si>
    <t>VINU</t>
  </si>
  <si>
    <t>KOSHY</t>
  </si>
  <si>
    <t>Neetu Vinu Koshy</t>
  </si>
  <si>
    <t>neetuvkn@gmail.com</t>
  </si>
  <si>
    <t>p25707004@student.nicmar.ac.in</t>
  </si>
  <si>
    <t>05-Feb-1997</t>
  </si>
  <si>
    <t>English,hindi,Malayalam</t>
  </si>
  <si>
    <t>5411 3084 4474</t>
  </si>
  <si>
    <t>VINU C KOSHY</t>
  </si>
  <si>
    <t>CHIEF ENGINEER</t>
  </si>
  <si>
    <t>SHINY VINU KOSHY</t>
  </si>
  <si>
    <t>48/1862A Grameena Vayensala Road Chalikavattom Vytilla Ernakulam Kochi Kerala-682019</t>
  </si>
  <si>
    <t>TOC-H PUBLIC SCHOOL</t>
  </si>
  <si>
    <t>MAR BASELIOS COLLEGE OF ENGINEERING AND TECHNOLOGY</t>
  </si>
  <si>
    <t>Aarvee Associates | Trainee Engineer | Kochi | Mar 2023 | May 2024 | 1Y 2M | 2.7
KEC international Limited | Engineer-Planning | Kochi | May 2022 | Jan 2023 | 0Y 8M | 3</t>
  </si>
  <si>
    <t>Kochi Metro Rail Limited | student | kochi | Jul 2018 | Jul 2018 | 0.28571428571429 Weeks
L&amp;T India | student | kochi | Jul 2016 | Jul 2016 | 0.85714285714286 Weeks</t>
  </si>
  <si>
    <t>NPTEL</t>
  </si>
  <si>
    <t>P25707005</t>
  </si>
  <si>
    <t>VISHWAS</t>
  </si>
  <si>
    <t>CHUKKI</t>
  </si>
  <si>
    <t>Vishwas Chukki</t>
  </si>
  <si>
    <t>vchukki@gmail.com</t>
  </si>
  <si>
    <t>p25707005@student.nicmar.ac.in</t>
  </si>
  <si>
    <t>English,Kannada,Hindi,Telugu</t>
  </si>
  <si>
    <t>4751 8221 8819</t>
  </si>
  <si>
    <t>UMAPATI CHUKKI</t>
  </si>
  <si>
    <t>SUJATHA CHUKKI</t>
  </si>
  <si>
    <t>#2/34 Shivakrupa, Near Eshwara Temple, Sirwar, 584129</t>
  </si>
  <si>
    <t>PSSEMR SCHOOL</t>
  </si>
  <si>
    <t>DAVANAGERE</t>
  </si>
  <si>
    <t>MASVS GURUKUL PU COLLEGE</t>
  </si>
  <si>
    <t>MYSURU</t>
  </si>
  <si>
    <t>MYSURU UNIVERSITY</t>
  </si>
  <si>
    <t>EHSCPL | INTERN | BENGALURU  | Dec 2023 | Apr 2024 | 20.571428571429 Weeks</t>
  </si>
  <si>
    <t>P25707007</t>
  </si>
  <si>
    <t>HARI VENKATARAO</t>
  </si>
  <si>
    <t>GEDDADA</t>
  </si>
  <si>
    <t>Hari Venkatarao Geddada</t>
  </si>
  <si>
    <t>geddadaharivenkatarao@gmail.com</t>
  </si>
  <si>
    <t>p25707007@student.nicmar.ac.in</t>
  </si>
  <si>
    <t>11-Oct-2002</t>
  </si>
  <si>
    <t>English, Telugu, Hindi</t>
  </si>
  <si>
    <t>9746 6407 5076</t>
  </si>
  <si>
    <t>GEDDADA CHAKRAVARTHY</t>
  </si>
  <si>
    <t>GEDDADA SYAMALA</t>
  </si>
  <si>
    <t>HOUSE WIFE9</t>
  </si>
  <si>
    <t>9-104, Geddada Vari Veedhi, Seetharamapuram, Tallarevu Mandal, Koringa(PO)</t>
  </si>
  <si>
    <t>Z P P HIGH SCHOOL</t>
  </si>
  <si>
    <t>VIGNAN'S UNIVERSITY</t>
  </si>
  <si>
    <t>VIGNAN'S FOUNDATION FOR SCIENCE, TECHNOLOGY &amp; RESEARCH, GUNTUR, ANDHRA PRADESH</t>
  </si>
  <si>
    <t>MS Office,CMG</t>
  </si>
  <si>
    <t>Govardhan EcoVillage | Intern - ESG &amp; Sustainability | Galtare, Palghar, Maharashtra  | May 2026 | Jul 2026 | 9.7142857142857 Weeks | Campus Internship
COROMANDEL INTERNATIONAL LTD | E.H.S INTERN | VISAKHAPATNAM | Jan 2024 | May 2024 | 17 Weeks</t>
  </si>
  <si>
    <t>GHG Accounting and Carbon Accounting - NICMAR UNIVERSITY,Pune
Introduction to ESG - CFI
Introduction to Greenhouse Gas Accounting for IT - CISCO
CSRD FUNDAMENTALS (Level-1) - CSRD INSTITUTE</t>
  </si>
  <si>
    <t>P25707008</t>
  </si>
  <si>
    <t>K S</t>
  </si>
  <si>
    <t>Sreelakshmi K S</t>
  </si>
  <si>
    <t>sreelakshmiks440@gmail.com</t>
  </si>
  <si>
    <t>p25707008@student.nicmar.ac.in</t>
  </si>
  <si>
    <t>13-Mar-1998</t>
  </si>
  <si>
    <t>8534 4029 5105</t>
  </si>
  <si>
    <t>SOMAN K K</t>
  </si>
  <si>
    <t>LIJI P K</t>
  </si>
  <si>
    <t>Sreelakshmi KS, Pavatte House, P O Polppakkara, Edappal, Malappuram , Kerala</t>
  </si>
  <si>
    <t>A V H S PONNANI</t>
  </si>
  <si>
    <t>GOVERNMENT HIGHER SECONDARY SCHOOL, THRIKKAVU</t>
  </si>
  <si>
    <t>BOARD OF HIGHER SECONDARY EXAMINATIONS, THIRUVANANTHAPURAM / KERALA</t>
  </si>
  <si>
    <t>APJ ABDUL KALAM TECHNOLOGICAL  UNIVERSITY</t>
  </si>
  <si>
    <t>NSS COLLEGE OF ENGINEERING , PALAKKAD</t>
  </si>
  <si>
    <t>other,VSCODE,FIGMA,UI/UX DESIGN</t>
  </si>
  <si>
    <t>Infosys Limited | Technology Analyst | Mysore | Jan 2021 | Apr 2024 | 3Y 2M | 4.5</t>
  </si>
  <si>
    <t>ClimatEnlighten LLP | Research &amp; Curriculum Development Intern | Remote | May 2026 | Jul 2026 | 9.7142857142857 Weeks | Campus Internship
COSTFORD - CENTRE OF SCIENCE AND TECHNOLOGY FOR RURAL DEVELOPMENT | CIVIL ENGINEERING INTERN | THRISSUR | Jul 2017 | Jul 2017 | 0.57142857142857 Weeks</t>
  </si>
  <si>
    <t>ESG Essentials : Navigating Sustainable Business Practices
NPTEL: Municipal Solid Waste Management
NPTEL-Carbon Accounting and Sustainable Designs in  Product Lifecycle Management
ESG Reporting : TheESGInstitute
ESG Essentials for Sustainable Business Coursera
Skill enhancement workshop on LCA
Introduction to Generative AI in Human Resources
Understanding Research Methods</t>
  </si>
  <si>
    <t>P25707011</t>
  </si>
  <si>
    <t>AVANTHIKA</t>
  </si>
  <si>
    <t>SRIRAM</t>
  </si>
  <si>
    <t>Avanthika Sriram</t>
  </si>
  <si>
    <t>avanthika.3762@gmail.com</t>
  </si>
  <si>
    <t>p25707011@student.nicmar.ac.in</t>
  </si>
  <si>
    <t>24-Dec-2002</t>
  </si>
  <si>
    <t>English, Hindi, Tamil, German</t>
  </si>
  <si>
    <t>3923 3963 4786</t>
  </si>
  <si>
    <t>S N SRIRAM</t>
  </si>
  <si>
    <t>REGIONAL MANAGER</t>
  </si>
  <si>
    <t>SRIRANJANI SRIRAM</t>
  </si>
  <si>
    <t>78-79,5th Cross Street
Heritage Jayendra Nagar Sembakkam</t>
  </si>
  <si>
    <t>SRI KANCHI MAHASWAMI VIDYA MANDIR</t>
  </si>
  <si>
    <t>CBSE,CHENNAI, TAMIL NADU</t>
  </si>
  <si>
    <t>UNIVERSITY OF MADRAS</t>
  </si>
  <si>
    <t>M.O.P VAISHNAV COLLEGE FOR WOMEN(AUTONOMOUS)</t>
  </si>
  <si>
    <t>MS Office,Python Pandas,PowerBI,Data Analysis</t>
  </si>
  <si>
    <t>Bhoomi Network | Nature Educator, Teach for Nature Fellowship | Bangalore | May 2024 | Mar 2025 | 0Y 10M | 2.4</t>
  </si>
  <si>
    <t>Superform, UPL | Sustainability Intern | Turbhe, Navi Mumbai | May 2026 | Jul 2026 | 8.7142857142857 Weeks | Campus Internship</t>
  </si>
  <si>
    <t>Foundation Level in Programming and Data Science
Diploma in Data Science
Municipal Solid Waste Management</t>
  </si>
  <si>
    <t>P25707012</t>
  </si>
  <si>
    <t>PRIYANKA</t>
  </si>
  <si>
    <t>PANDUCHE</t>
  </si>
  <si>
    <t>Priyanka Subhash Panduche</t>
  </si>
  <si>
    <t>priyankapanduche@gmail.com</t>
  </si>
  <si>
    <t>p25707012@student.nicmar.ac.in</t>
  </si>
  <si>
    <t>24-Jul-2004</t>
  </si>
  <si>
    <t>4583 7880 1469</t>
  </si>
  <si>
    <t>SUBHASH PUNDLIK PANDUCHE</t>
  </si>
  <si>
    <t>SUJATA SUBHASH PANDUCHE</t>
  </si>
  <si>
    <t>Choudhary Wasti Shanti Nagar Kharadi</t>
  </si>
  <si>
    <t>ALL INDIA SHRI SHIVAJI MEMORIAL SOCIETY COLLEGE OF POLYTECHNIC - PUNE</t>
  </si>
  <si>
    <t>D.Y PATIL SCHOOL OF ENGINEERING AND TECHNOLOGY</t>
  </si>
  <si>
    <t>Pune Municipal Corporation | Junior Engineer  | Shivajinagar | Oct 2024 | Mar 2025 | 25.857142857143 Weeks
Sai Construction | Intern-Junior Site engineer  | Charholi, Lohegaon  | Jan 2024 | Jan 2024 | 4.2857142857143 Weeks</t>
  </si>
  <si>
    <t>Waster and Wastewater Management
GHG accounting and Carbon Accounting</t>
  </si>
  <si>
    <t>P25707013</t>
  </si>
  <si>
    <t>SONAR</t>
  </si>
  <si>
    <t>Shravani Sonar</t>
  </si>
  <si>
    <t>shrovsonar2@gmail.com</t>
  </si>
  <si>
    <t>p25707013@student.nicmar.ac.in</t>
  </si>
  <si>
    <t>11-Jul-2000</t>
  </si>
  <si>
    <t>3227 9594 2431</t>
  </si>
  <si>
    <t>SANJAY KUMAR SONAR</t>
  </si>
  <si>
    <t>PRIVATE JOB SERVICE</t>
  </si>
  <si>
    <t>SUMA SONAR</t>
  </si>
  <si>
    <t>C2/78-C, LAWRENCE ROAD, KESHAV PURAM</t>
  </si>
  <si>
    <t>264/1A, Gali No. 12, Than Singh Nagar, Anand Parvat</t>
  </si>
  <si>
    <t>RAMJAS SCHOOL, ANAND PRAVAT</t>
  </si>
  <si>
    <t>RAMJAS SCHOOL, ANAND PARVAT</t>
  </si>
  <si>
    <t>AMITY SCHOOL OF ARCHITECTURE AND PLANNING</t>
  </si>
  <si>
    <t>MS Office,ArcGIS</t>
  </si>
  <si>
    <t>ClimatEnlighten LLP | Research Intern | wfh | May 2026 | Jul 2026 | 9.7142857142857 Weeks | Campus Internship
Confederation of Indian Industry | Intern | NEW DELHI | Aug 2024 | Oct 2024 | 13 Weeks
Confederation of Indian Industry | Intern | NEW DELHI | Oct 2023 | Mar 2024 | 21.714285714286 Weeks
Jana Urban Services for Transformation | Intern | NEW DELHI | Jun 2022 | Aug 2022 | 13 Weeks</t>
  </si>
  <si>
    <t>P25707014</t>
  </si>
  <si>
    <t>SUDARSHAN</t>
  </si>
  <si>
    <t>SUKHALAL</t>
  </si>
  <si>
    <t>Sudarshan Sukhalal Desai</t>
  </si>
  <si>
    <t>sudarshandessai1@gmail.com</t>
  </si>
  <si>
    <t>p25707014@student.nicmar.ac.in</t>
  </si>
  <si>
    <t>05-Apr-2003</t>
  </si>
  <si>
    <t>English, Hindi, Marathi, Konkani</t>
  </si>
  <si>
    <t>6160 9904 6330</t>
  </si>
  <si>
    <t>SUKHALAL DESAI</t>
  </si>
  <si>
    <t>SHRIMANTINI DESAI</t>
  </si>
  <si>
    <t>House No. 172, Betki Borim Ponda Goa</t>
  </si>
  <si>
    <t>GVM'S PRAGATI VIDYALAYA BORIM</t>
  </si>
  <si>
    <t>GVM'S SHRIMATI NELLY JOILDO AGUIAR HIGHER SECONDARY SCHOOL</t>
  </si>
  <si>
    <t>NATIONAL INSTITUTE OF TECHNOLOGY, GOA</t>
  </si>
  <si>
    <t>Oracle Primavera P6, openLCA, One Click LCA, SimaPro, AutoCAD, MS Office, MS Project, ArcGIS, ETABS, C, C++</t>
  </si>
  <si>
    <t>HyOn Energy | Sustainability Intern | Remote | May 2026 | Jul 2026 | 8.7142857142857 Weeks | Campus Internship
Aarvee Constructions | Site Engineer Intern | Margao Goa | Jun 2023 | Jul 2023 | 7 Weeks</t>
  </si>
  <si>
    <t>Environmental Impact Assessment
Sustainable Engineering Concepts and Life Cycle Analysis
Municipal Solid Waste Management</t>
  </si>
  <si>
    <t>P25707015</t>
  </si>
  <si>
    <t>Tanishq Rawal</t>
  </si>
  <si>
    <t>tanishqrawal1996@gmail.com</t>
  </si>
  <si>
    <t>p25707015@student.nicmar.ac.in</t>
  </si>
  <si>
    <t>11-Oct-1996</t>
  </si>
  <si>
    <t>8632 1442 5209</t>
  </si>
  <si>
    <t>SANJAY KUMAR SINGH</t>
  </si>
  <si>
    <t>PHYSICS PROFESSOR</t>
  </si>
  <si>
    <t>ARCHANA SINGH</t>
  </si>
  <si>
    <t>531/9, Jagriti Vihar , Meerut</t>
  </si>
  <si>
    <t>Meerut</t>
  </si>
  <si>
    <t>ST MARY'S CONVENT SCHOOL, GAJRAULA , JP NAGAR, UP</t>
  </si>
  <si>
    <t>CBSE , GAJRAULA (JP NAGAR) , UTTAR PRADESH</t>
  </si>
  <si>
    <t>CBSE , GREATER NOIDA GB NAGAR ,UTTAR PRADESH</t>
  </si>
  <si>
    <t>SHIV NADAR UNIVERSITY</t>
  </si>
  <si>
    <t>SHIV NADAR UNIVERSITY , NH-91 , TEHSIL DADRI ,GB NAGAR , UTTAR PRADESH , 201314</t>
  </si>
  <si>
    <t>AutoCAD,MS Office,REVIT 3D,MS EXCEL,MS POWERPOINT</t>
  </si>
  <si>
    <t>Jai Jagannath infratech india private limited | Assistant Engineer  | Bhopal | Jun 2019 | Apr 2020 | 0Y 10M | 2.64
R. Krishnamurthy and Corporations Engineering Contractors | Site Engineer  | Chennai | Mar 2023 | Feb 2024 | 0Y 11M | 3.6
Cube highways technologies private limited | Engineer - Technical Due deligence and project management  | Jaipur  | Sep 2024 | Feb 2025 | 0Y 4M | 5.8</t>
  </si>
  <si>
    <t>Thermax Limited | Supply chain management intern | Pune | May 2026 | Jul 2026 | 8.5714285714286 Weeks | Campus Internship
Cube highways technologies private limited company | Engineer -technical due diligence and project management  | Jaipur | Mar 2024 | Sep 2024 | 27.571428571429 Weeks</t>
  </si>
  <si>
    <t>P25707016</t>
  </si>
  <si>
    <t>SHRUTHIKA</t>
  </si>
  <si>
    <t>AJITH</t>
  </si>
  <si>
    <t>Shruthika Ajith</t>
  </si>
  <si>
    <t>shruthikaajith2003@gmail.com</t>
  </si>
  <si>
    <t>p25707016@student.nicmar.ac.in</t>
  </si>
  <si>
    <t>English, Hindi, Malayalam, Tamil, Korean (Basics), Spanish (Basics)</t>
  </si>
  <si>
    <t>2505 3811 2535</t>
  </si>
  <si>
    <t>AJITH M</t>
  </si>
  <si>
    <t>JOINT CONTROLLER OF PATENTS AND DESIGNS</t>
  </si>
  <si>
    <t>RAGEELA AJITH</t>
  </si>
  <si>
    <t>E54, TVS EMERALD PENINSULA, SN0.3 CAUVERY STREET, MANAPAKKAM, CHENNAI-600125</t>
  </si>
  <si>
    <t>KENDRIYA VIDYALAYA MINAMBAKKAM</t>
  </si>
  <si>
    <t>CBSE, CHENNAI, TAMILNADU</t>
  </si>
  <si>
    <t>NARAYANA E-TECHNO SCHOOL, POONAMALEE</t>
  </si>
  <si>
    <t>SRM EASWARI ENGINEERING COLLEGE, CHENNAI</t>
  </si>
  <si>
    <t>AutoCAD,MS Office,REVIT,TEKLA,ETABS,SAFE,CET EXTENSION,OpenLCA,OneClick LCA,Simapro</t>
  </si>
  <si>
    <t>RIVERSTONE TECH | DESIGN ENGINEER | CHENNAI | May 2024 | Jul 2025 | 1Y 2M | 3.5</t>
  </si>
  <si>
    <t>NATIONAL INSTITUTE OF TECHNOLOGY, CALICUT | RESEARCH INTERN | CALICUT | Jun 2023 | Jul 2023 | 4.1428571428571 Weeks
Indian Patent Office (CGPDTM) | Intern | online | Nov 2025 | Dec 2025 | 4.8571428571429 Weeks
AUGER ENGINEERS | SUSTAINABILITY INTERN | CHENNAI | Feb 2024 | Apr 2024 | 8.5714285714286 Weeks
Larsen and Toubro | Environmental Intern | Manapakkam, Chennai | May 2026 | Jul 2026 | 9.1428571428571 Weeks</t>
  </si>
  <si>
    <t>Research methodology
Human Resource Management
ESG and sustainable business
Generative AI and ESG
Environmental Protection and sustainability
Economic Environment and business strategy</t>
  </si>
  <si>
    <t>P25707017</t>
  </si>
  <si>
    <t>R S</t>
  </si>
  <si>
    <t>Karthik R S</t>
  </si>
  <si>
    <t>karthikrs071198@gmail.com</t>
  </si>
  <si>
    <t>p25707017@student.nicmar.ac.in</t>
  </si>
  <si>
    <t>07-Nov-1998</t>
  </si>
  <si>
    <t>6862 5927 2191</t>
  </si>
  <si>
    <t>SHIVAKUMAR R C</t>
  </si>
  <si>
    <t>JAYASHREE G</t>
  </si>
  <si>
    <t>Rajaghatta , Doddaballapur Taluk.</t>
  </si>
  <si>
    <t>CARMEL JYOTHI ENGLISH HIGH SCHOOL</t>
  </si>
  <si>
    <t>VIJAYA BIFR PU COLLEGE</t>
  </si>
  <si>
    <t>DEPARTMENT OF PRE - UNIVERSITY EDUCATION , KARNATAKA</t>
  </si>
  <si>
    <t>R.V. COLLEGE OF ENGINEERING , KARNATAKA</t>
  </si>
  <si>
    <t>MS Office,Advance Excel,Power BI,Python</t>
  </si>
  <si>
    <t>Sambodhi Research and Communications Private Limited | Research Associate | Bengaluru | Nov 2023 | Mar 2024 | 17.285714285714 Weeks
Rajneethi Management Consultancy | Consultant | Bengaluru | Apr 2024 | Jan 2025 | 41.857142857143 Weeks</t>
  </si>
  <si>
    <t>Carbon Accounting and Sustainable Designs in Product Lifecycle Management(NPTEL)</t>
  </si>
  <si>
    <t>P25707018</t>
  </si>
  <si>
    <t>SANIKA</t>
  </si>
  <si>
    <t>BIDKAR</t>
  </si>
  <si>
    <t>Sanika Bharat Bidkar</t>
  </si>
  <si>
    <t>sanikabbidkar@gmail.com</t>
  </si>
  <si>
    <t>p25707018@student.nicmar.ac.in</t>
  </si>
  <si>
    <t>Dance,Debating,Traveling,Photography,Team sports,Drawing and Sketching</t>
  </si>
  <si>
    <t>8588 9689 6951</t>
  </si>
  <si>
    <t>C203, Karveer Nagar CHS, S.N.Dubey Road, Rawalpada, Dahisar East, Mumbai-400068</t>
  </si>
  <si>
    <t>ST. THOMAS HIGH SCHOOL, MUMBAI, MAHARASHTRA</t>
  </si>
  <si>
    <t>MAHARASHTRA STATE BOARD OF SECONDARY AND HIGHER SECONDARY EDUCATION, PUNE, MAHARSHTRA</t>
  </si>
  <si>
    <t>BHAVANS COLLEGE, ANDHERI, MUMBAI, MAHARASHTRA</t>
  </si>
  <si>
    <t>SARDAR PATEL COLLEGE OF ENGINEERING, ANDHERI, MUMBAI, MAHARASHTRA</t>
  </si>
  <si>
    <t>AutoCAD,MS Office,SimaPro,OpenLca,OneClickLca</t>
  </si>
  <si>
    <t>Ascendas Firstspace | ESGQ Intern | BKC-Mumbai | May 2026 | Jun 2026 | 8.1428571428571 Weeks | Campus Internship</t>
  </si>
  <si>
    <t>P25707021</t>
  </si>
  <si>
    <t>GULAVANI</t>
  </si>
  <si>
    <t>Ruturaj Manish Gulavani</t>
  </si>
  <si>
    <t>ruturajgulvani99@gmail.com</t>
  </si>
  <si>
    <t>p25707021@student.nicmar.ac.in</t>
  </si>
  <si>
    <t>01-Jul-2002</t>
  </si>
  <si>
    <t>7004 9204 4051</t>
  </si>
  <si>
    <t>MANISH GOPAL GULAVANI</t>
  </si>
  <si>
    <t>SWATI MANISH GULAVANI</t>
  </si>
  <si>
    <t>A/p Majre Karve Tal-chandgad Dist-kolhapur</t>
  </si>
  <si>
    <t>MAHATMA FULE VIDYALAYA KARVE , TAL-CHANDGAD</t>
  </si>
  <si>
    <t>SECONDARY SCHOOL EDUCATION PUNE, MAHARASHTRA</t>
  </si>
  <si>
    <t>GU. M. B. TUPRE JR. COLLEGE KARVE TAL-CHANDGAD</t>
  </si>
  <si>
    <t>HIGHER SECONDARY EDUCATION PUNE, MAHARASHTRA</t>
  </si>
  <si>
    <t>KOLHAPUR INSTITUTE OF TECHNOLOGY ECHNOLOGY KOLHAPUR, MAHARASHTRA</t>
  </si>
  <si>
    <t>MS Office, SimaPro,OneClick, Open LCA</t>
  </si>
  <si>
    <t>Greenex Environmental Private limited | ESG &amp; Sustainable Intern | Pune | May 2026 | Jul 2026 | 8.5714285714286 Weeks | Campus Internship
ANTHEM BIOSCIENCES LIMITED, BANGLORE | INTERN IN ETP | BANGLORE  | Jan 2025 | Mar 2025 | 8.2857142857143 Weeks</t>
  </si>
  <si>
    <t>P25707022</t>
  </si>
  <si>
    <t>ANAKHA</t>
  </si>
  <si>
    <t>Anakha P</t>
  </si>
  <si>
    <t>anakhap2002@gmail.com</t>
  </si>
  <si>
    <t>p25707022@student.nicmar.ac.in</t>
  </si>
  <si>
    <t>26-Nov-2002</t>
  </si>
  <si>
    <t>4608 6754 1715</t>
  </si>
  <si>
    <t>RAJESH P</t>
  </si>
  <si>
    <t>SENIOR VETERINARY SURGEON</t>
  </si>
  <si>
    <t>SUNANDA A</t>
  </si>
  <si>
    <t>Pournami, Sundara Iyer Road, Ottapalam, Palakkad, Kerala 679101</t>
  </si>
  <si>
    <t>NSS COLLEGE OF ENGINEERING, PALAKKAD, KERALA</t>
  </si>
  <si>
    <t>AutoCAD,MS Office,MS Project,SimaPro,QGIS,Staad-Pro,MS Excel</t>
  </si>
  <si>
    <t>HyOn Energy  | Sustainability Intern  | Work from home | May 2026 | Jul 2026 | 8.7142857142857 Weeks | Campus Internship
CENTRE OF SUSTAINABLE TECHNOLOGIES, INDIAN INSTITUTE OF SCIENCE | RESEARCH INTERN | BANGALORE | May 2025 | Jul 2025 | 9.5714285714286 Weeks
SOUTHERN RAILWAYS - PALAKKAD SUB DIVISION | STUDENT INTERN | KERALA | Jun 2024 | Jun 2024 | 0.57142857142857 Weeks
KERALA IRRIGATION DEPARTMENT | STUDENT INTERN | KERALA | May 2023 | May 2023 | 0.71428571428571 Weeks</t>
  </si>
  <si>
    <t>LCA Beginner - Ecochain
Introduction to ESG - Project Management Institute
Sustainability and Corporate ESG â€“ Reliance Foundation Skilling Academy, Skill India Digital Hub
Project Management Fundamentals - IBM
Expertise Design Thinking Practitioner - IBM
ESG and Climate Change - Coursera
Sustainable Transportation Systems- NPTEL, IIT ROORKEE</t>
  </si>
  <si>
    <t>P25707023</t>
  </si>
  <si>
    <t>Tejas Ganesh Sonawane</t>
  </si>
  <si>
    <t>t.sonawane2703@gmail.com</t>
  </si>
  <si>
    <t>p25707023@student.nicmar.ac.in</t>
  </si>
  <si>
    <t>27-Mar-2002</t>
  </si>
  <si>
    <t>7313 7963 6306</t>
  </si>
  <si>
    <t>GANESH MADHUKAR SONAWANE</t>
  </si>
  <si>
    <t>BHAWANA GANESH SONAWANE</t>
  </si>
  <si>
    <t>SAISIDH HOUSING SOCIETY NEAR MINI MARKET M.PHULE NAGAR CHINCHWAD PUNE</t>
  </si>
  <si>
    <t>49A, Sant Sena Nagar Deopur Dhule Mahashtra</t>
  </si>
  <si>
    <t>SHRI EKVIRA DEVI HIGHSCHOOL DEOPUR DHULE</t>
  </si>
  <si>
    <t>SSVPS BSD POLYTECHNIC DHULE</t>
  </si>
  <si>
    <t>DR. D.Y. PATIL INSTITUTE OF ENGINEERING, MANAGEMENT AND RESEARCH AKURDI PUNE</t>
  </si>
  <si>
    <t>AutoCAD, MS Office, LCA, Primavera</t>
  </si>
  <si>
    <t>BEE Inc. | Jr. Project Engineer | Pimpri, Pune | Jul 2023 | Jul 2025 | 2Y 0M | 4.7</t>
  </si>
  <si>
    <t>Grattitude Synergy, LLP | Management Intern | Pune | May 2026 | Jul 2026 | 8.7142857142857 Weeks | Campus Internship
HIMALAYA SPARKLE | INTERN | DHULE | May 2019 | Jul 2019 | 8.7142857142857 Weeks
NAOMI MANUFACTURING INDIA PVT. LTD. | INTERN | BHOSARI, PUNE | Dec 2021 | Jan 2022 | 4.4285714285714 Weeks</t>
  </si>
  <si>
    <t>LEED Green Associate</t>
  </si>
  <si>
    <t>P25707024</t>
  </si>
  <si>
    <t>SANKHE</t>
  </si>
  <si>
    <t>Om Roshan Sankhe</t>
  </si>
  <si>
    <t>omsankhe7@gmail.com</t>
  </si>
  <si>
    <t>p25707024@student.nicmar.ac.in</t>
  </si>
  <si>
    <t>23-Jul-2003</t>
  </si>
  <si>
    <t>4972 3638 1799</t>
  </si>
  <si>
    <t>ROSHAN PRABHAKAR SANKHE</t>
  </si>
  <si>
    <t>RICHA ROSHAN SANKHE</t>
  </si>
  <si>
    <t>LAKSHMI GANAPATI BOYS PG, PATIL WASTI, PATIL NAGAR, BALEWADI, PUNE, MAHARASHTRA 411045</t>
  </si>
  <si>
    <t>At Post - Dapoli (Aambedkar Nagar) Taluka - District - Palghar, 401404</t>
  </si>
  <si>
    <t>TWINKLE STAR ENGLISH HIGH SCHOOL PALGHAR</t>
  </si>
  <si>
    <t>MAHARASHTRA STATE BOARD OF SECONDARY AND HIGHER SECONDARY EDUCATION, PALGHAR, MAHARASHTRA</t>
  </si>
  <si>
    <t>ST. JOHN COLLEGE OF TECHNOLOGY AND POLYTECHNIC</t>
  </si>
  <si>
    <t>MS Office,Life Cycle Assessment</t>
  </si>
  <si>
    <t>P25707025</t>
  </si>
  <si>
    <t>SESETTI</t>
  </si>
  <si>
    <t>Teja Sesetti</t>
  </si>
  <si>
    <t>tejasesetti123@gmail.com</t>
  </si>
  <si>
    <t>p25707025@student.nicmar.ac.in</t>
  </si>
  <si>
    <t>22-Mar-2003</t>
  </si>
  <si>
    <t>8425 0279 7211</t>
  </si>
  <si>
    <t>SESETTI SRINIVASA RAO</t>
  </si>
  <si>
    <t>METER READER</t>
  </si>
  <si>
    <t>SESETTI ADILAKSHMI</t>
  </si>
  <si>
    <t>9-9-107/19
MANGAPURAM COLONY ,MADDILIPALEM,</t>
  </si>
  <si>
    <t>RANI MEMORIAL E.M. H.S</t>
  </si>
  <si>
    <t>GOVT.POLYTECHNIC-VISHAKHAPATNAM</t>
  </si>
  <si>
    <t>JAWAHARLAL NEHRU TECHNOLOGICAL UNIVERSITY GURAJADA VIZIANAGARAM</t>
  </si>
  <si>
    <t>RAGHU ENGINEERING COLLEGE VISHAKHAPATNAM</t>
  </si>
  <si>
    <t>AutoCAD,REVIT</t>
  </si>
  <si>
    <t>National council for cement and building materials | ESG intern | Haryana | May 2026 | Jul 2026 | 8.7142857142857 Weeks | Campus Internship
SDVVL SURVEY AND CONSTRUCTION PVT.LTD | Intern â€“ Advanced AutoCAD 2D &amp; 3D, Revit, and Surveying (Total Station) | Kakinada, Andhra Pradesh | Jun 2023 | Aug 2023 | 6.2857142857143 Weeks</t>
  </si>
  <si>
    <t>Workshop on GHG Accounting &amp; Carbon Accounting - NICMAR University
SURVEYING
CIVIL  AutoCAD &amp; Revit</t>
  </si>
  <si>
    <t>P25707026</t>
  </si>
  <si>
    <t>NUPUR</t>
  </si>
  <si>
    <t>Nupur Dubey</t>
  </si>
  <si>
    <t>dubeynupur839@gmail.com</t>
  </si>
  <si>
    <t>p25707026@student.nicmar.ac.in</t>
  </si>
  <si>
    <t>6008 9511 4527</t>
  </si>
  <si>
    <t>ANAND DUBEY</t>
  </si>
  <si>
    <t>SHEETAL DUBEY</t>
  </si>
  <si>
    <t>10, ADARSH COLONY, CIVIL LINES</t>
  </si>
  <si>
    <t>Dewas</t>
  </si>
  <si>
    <t>40, AKHADA ROAD, SUBHASH CHOWK</t>
  </si>
  <si>
    <t>NUPUR DUBEY</t>
  </si>
  <si>
    <t>CBSE BOARD, MADHYA PRADESH</t>
  </si>
  <si>
    <t>MP BOARD, MADHYA PRADESH</t>
  </si>
  <si>
    <t>DEVI AHILYA VISHWAVIDYALAYA , INDORE</t>
  </si>
  <si>
    <t>RENAISSANCE COLLEGE OF COMMERCE AND MANAGEMENT,INDORE,MADHYA PRADESH</t>
  </si>
  <si>
    <t>P25707027</t>
  </si>
  <si>
    <t>Kushagra Chauhan</t>
  </si>
  <si>
    <t>kushagrachauhan123@gmail.com</t>
  </si>
  <si>
    <t>p25707027@student.nicmar.ac.in</t>
  </si>
  <si>
    <t>Sustainability Magazines, Chess, Badminton</t>
  </si>
  <si>
    <t>7138 7332 0377</t>
  </si>
  <si>
    <t>RAJEEV CHAUHAN</t>
  </si>
  <si>
    <t>URMILA CHAUHAN</t>
  </si>
  <si>
    <t>102/D12, Parivar Apartment,Govindvihar, Govindpuram</t>
  </si>
  <si>
    <t>G K WELHAMS COLLEGE</t>
  </si>
  <si>
    <t>ICSE, MORADABAD, UTTAR PRADESH</t>
  </si>
  <si>
    <t>SHIVOY SCHOOL</t>
  </si>
  <si>
    <t>CBSE, GHAZIABAD, UTTAR PRADESH</t>
  </si>
  <si>
    <t>VIVEKANANDA GLOBAL UNIVERSITY</t>
  </si>
  <si>
    <t>NAEMD, JAIPUR, RAJASTHAN</t>
  </si>
  <si>
    <t>MS Office,SimaPro,OpenLCA,OneClickLCA</t>
  </si>
  <si>
    <t>Fusionpact Inc. | Sustainability and Climate Technology Intern | Remote | May 2026 | Sep 2026 | 17.571428571429 Weeks | Campus Internship</t>
  </si>
  <si>
    <t>P25707028</t>
  </si>
  <si>
    <t>Akhilesh Manoj Ingale</t>
  </si>
  <si>
    <t>akhileshingale8@gmail.com</t>
  </si>
  <si>
    <t>p25707028@student.nicmar.ac.in</t>
  </si>
  <si>
    <t>6351 9196 1490</t>
  </si>
  <si>
    <t>MANOJ INGALE</t>
  </si>
  <si>
    <t>ANJALI INGALE</t>
  </si>
  <si>
    <t>104 Kanchanganga Apt. Ingale Colony, Shivane, Pune, 411023</t>
  </si>
  <si>
    <t>BALSHIKSHAN MANDIR</t>
  </si>
  <si>
    <t>FERGUSSON COLLEGE PUNE, MAHARASHTRA</t>
  </si>
  <si>
    <t xml:space="preserve">MS Office, MS Excel, SimaPro, ArcGIS </t>
  </si>
  <si>
    <t>Greenex Environmental | LCA and Sustainable Intern | Pune | May 2026 | Jul 2026 | 8.5714285714286 Weeks | Campus Internship</t>
  </si>
  <si>
    <t>Silhouettes Waterpolo Tournament (08/05/2025) - AFMC 1st runner-up at Waterpolo tournament in Pune. Level - District.
SPPU, Intercollegiate Sports Tournament (11/10/2024) - Secured 1st place in Waterpolo amongst colleges all over Pune Level: District.
Laksh 3.0 (16/02/2025) - IIT Indore 1st rank at Waterpolo tournament amongst other IITs and Institutes. Level - National</t>
  </si>
  <si>
    <t>P25707029</t>
  </si>
  <si>
    <t>ONKAR</t>
  </si>
  <si>
    <t>LAHAMAGE</t>
  </si>
  <si>
    <t>Onkar Dipak Lahamage</t>
  </si>
  <si>
    <t>onkarlahamage@gmail.com</t>
  </si>
  <si>
    <t>p25707029@student.nicmar.ac.in</t>
  </si>
  <si>
    <t>20-Jan-2003</t>
  </si>
  <si>
    <t>7866 0591 5750</t>
  </si>
  <si>
    <t>At Post Adgaon Bk, Tel.: Rahata, Dist.: Ahmednagar</t>
  </si>
  <si>
    <t>DNYANMATA VIDYALAYA , SANGAMNER</t>
  </si>
  <si>
    <t>MAHARASHTRA STATE BOARD OF SECONDARY AND HIGHER SECONDORY EDUCATION , PUNE</t>
  </si>
  <si>
    <t>PADMASHRI VIKHE PATIL JUNIOR COLLEGE, PRAVARANAGAR</t>
  </si>
  <si>
    <t>MAHATMA PHU LE KRISHI VIDYAPEETH, RAHURI</t>
  </si>
  <si>
    <t>COLLEGE OF AGRICULTURAL ENGINEERING AND TECHNOLOGY,MALDAD</t>
  </si>
  <si>
    <t>NORTHEN REGION FARM MACHINERY TRAINING &amp; TESTING INSTITUTE | Trainee | HISAR, HARYANA  | Sep 2023 | Sep 2023 | 4.1428571428571 Weeks
Trenex Energy Pvt. Ltd. | Project Executive Trainee | Nashik | Aug 2024 | Apr 2025 | 38.857142857143 Weeks
ALBEDO FOUNDATION | Trainee | NASHIK | Oct 2023 | Feb 2024 | 19.285714285714 Weeks</t>
  </si>
  <si>
    <t>Sustainability and Corporate ESG</t>
  </si>
  <si>
    <t>P25707030</t>
  </si>
  <si>
    <t>ANSHU</t>
  </si>
  <si>
    <t>Anshu Raj</t>
  </si>
  <si>
    <t>anshuraj375@gmail.com</t>
  </si>
  <si>
    <t>p25707030@student.nicmar.ac.in</t>
  </si>
  <si>
    <t>22-Dec-2000</t>
  </si>
  <si>
    <t>8113 5832 5225</t>
  </si>
  <si>
    <t>RAJENDRA PRASAD DAS</t>
  </si>
  <si>
    <t>BIMLA RANI</t>
  </si>
  <si>
    <t>Flat No. A102/B4, Type-B
Mahalaxmi City, Vihighar</t>
  </si>
  <si>
    <t>RYAN INTERNATIONAL SCHOOL SANPADA</t>
  </si>
  <si>
    <t>SADHU VASWANI JUNIOR COLLEGE</t>
  </si>
  <si>
    <t>JHARKHAND UNIVERSITY OF TECHNOLOGY, RANCHI</t>
  </si>
  <si>
    <t>B.I.T SINDRI, DHANBAD</t>
  </si>
  <si>
    <t>CDP(Carbon disclosure Project), Simapro, OneclickLCA, OpenLCA, MS Office, MS Project, MS Project and Excel</t>
  </si>
  <si>
    <t>Reliance Industries Limited | Construction Manager | Dahej Manufacturing Plant, Bharuch, Gujarat | Aug 2022 | Dec 2023 | 1Y 4M | 8.88</t>
  </si>
  <si>
    <t>Reliance Jio Infocomm Limited | CDP and Sustainability Audit Intern | Ghansoli, Navi Mumbai | May 2026 | Jul 2026 | 9.5714285714286 Weeks | Campus Internship
AIESEC | GLOBAL VOLUNTEER  | KANDY, SRI LANKA | Jun 2019 | Jul 2019 | 6 Weeks</t>
  </si>
  <si>
    <t>Climate &amp; ESG Reporting, Financial Risk, and Scenario Analysis (TCFD/CDP/CDSB)
Life Cycle Assessment
Carbon Accounting and Sustainable Designs in  Product Lifecycle Management
Sustainable Corporate Finance
Sustainable Engineering Concepts and  Life Cycle Analysis</t>
  </si>
  <si>
    <t>P25707031</t>
  </si>
  <si>
    <t>Chaitanya Santosh Wagh</t>
  </si>
  <si>
    <t>cwagh718@gmail.com</t>
  </si>
  <si>
    <t>p25707031@student.nicmar.ac.in</t>
  </si>
  <si>
    <t>20-Apr-2004</t>
  </si>
  <si>
    <t>9443 7232 3941</t>
  </si>
  <si>
    <t>SANTOSH CHUNILAL WAGH</t>
  </si>
  <si>
    <t>BHARATI SANTOSH WAGH</t>
  </si>
  <si>
    <t>SERVIE</t>
  </si>
  <si>
    <t>E-8/306, Shree Omkar CHS, Sec 9,
Gharonda, Ghansoli, Navi Mumbai 400701</t>
  </si>
  <si>
    <t>FR. AGNEL'S POLYTECHNIC, VASHI, NAVI MUMBAI</t>
  </si>
  <si>
    <t>SARASWATI COLLEGE OF ENGINEERING, KHARGHAR, RAIGAD</t>
  </si>
  <si>
    <t>Kushaagra Innovations Foundation  | Waste Management Interm | Pune | May 2026 | Jul 2026 | 8.7142857142857 Weeks | Campus Internship
B.G. SHIRKE CONSTRUCTION TECHNOLOGY PVT. LTD. | Intern | Taloja, Navi Mumbai | Aug 2021 | Sep 2021 | 4.5714285714286 Weeks</t>
  </si>
  <si>
    <t>AUTO-CAD
Municipal Solid Waste Management</t>
  </si>
  <si>
    <t>P25707033</t>
  </si>
  <si>
    <t>ADHISHREE</t>
  </si>
  <si>
    <t>GUNDI</t>
  </si>
  <si>
    <t>Adhishree Gundi</t>
  </si>
  <si>
    <t>adhishreegundi0352@gmail.com</t>
  </si>
  <si>
    <t>p25707033@student.nicmar.ac.in</t>
  </si>
  <si>
    <t>22-Jul-2004</t>
  </si>
  <si>
    <t>3572 9321 1503</t>
  </si>
  <si>
    <t>LATE SATISH GUNDI</t>
  </si>
  <si>
    <t>SHALAKA GUNDI</t>
  </si>
  <si>
    <t>FREELANCE HR CONSULTANT AND FACILITATOR</t>
  </si>
  <si>
    <t>FLAT NO 4, 1ST FLOOR, BUILDING A-4, ISHAN NAGARI, WARJE
WARJE</t>
  </si>
  <si>
    <t>A-3, Satin Hills, PVPIT, Bavdhan(Kh), Paud Rd, Pune</t>
  </si>
  <si>
    <t>CBSE, PUNE, MAHARASHTRA</t>
  </si>
  <si>
    <t>MILLENNIUM NATIONAL SCHOOL</t>
  </si>
  <si>
    <t>ST JOSEPH'S UNIVERSITY</t>
  </si>
  <si>
    <t>ST JOSEPH'S UNIVERSITY, BENGALURU, KARNATAKA</t>
  </si>
  <si>
    <t>Multiomics Technologies- Big Data for Biological Sciences</t>
  </si>
  <si>
    <t>P25707034</t>
  </si>
  <si>
    <t>SARAL</t>
  </si>
  <si>
    <t>Saral Chauhan</t>
  </si>
  <si>
    <t>saral27chauhan@gmail.com</t>
  </si>
  <si>
    <t>p25707034@student.nicmar.ac.in</t>
  </si>
  <si>
    <t>27-Jul-2000</t>
  </si>
  <si>
    <t>4232 7786 2894</t>
  </si>
  <si>
    <t>MANOJ KUMAR CHAUHAN</t>
  </si>
  <si>
    <t>LATA CHAUHAN</t>
  </si>
  <si>
    <t>B 22 Ram Ashram Colony Near Taj Banquet Chandra Nagar</t>
  </si>
  <si>
    <t>Moradabad</t>
  </si>
  <si>
    <t>ST. PAUL’S COLLEGE</t>
  </si>
  <si>
    <t>ICSE MORADABAD, UTTARPRADESH</t>
  </si>
  <si>
    <t>ISC MORADABAD, UTTARPRADESH</t>
  </si>
  <si>
    <t>MAHATMA JYOTI’S PHULE ROHILKHAND UNIVERSITY</t>
  </si>
  <si>
    <t>LAKSHYA COLLEGE OF MANAGEMENT AND TECHNOLOGY, BAGWARA, SEHORA, UTTARPRADESH</t>
  </si>
  <si>
    <t>2023-Feb</t>
  </si>
  <si>
    <t>Earth5R | Market Research Intern  | Remote | Jun 2026 | Sep 2026 | 13.285714285714 Weeks | Campus Internship</t>
  </si>
  <si>
    <t>NIELIT CCC</t>
  </si>
  <si>
    <t>P25707035</t>
  </si>
  <si>
    <t>Pranjali Pradeep Chavan</t>
  </si>
  <si>
    <t>pranj.li1102@gmail.com</t>
  </si>
  <si>
    <t>p25707035@student.nicmar.ac.in</t>
  </si>
  <si>
    <t>ENGLISH, HINDI, MARATHI AND GERMAN (BASIC)</t>
  </si>
  <si>
    <t>Reading,Working out,Badminton,travelling</t>
  </si>
  <si>
    <t>8550 7886 5875</t>
  </si>
  <si>
    <t>REAL-ESTATE AGENT</t>
  </si>
  <si>
    <t>HOUSEWIFE/PRIVATE HOME TUTOR</t>
  </si>
  <si>
    <t>BANER MHALUNGE ROAD NEAR AMRITA HOTEL, GANRAJ CHOWK, ZUDIO, PUNE - 411045</t>
  </si>
  <si>
    <t>At Post Donje, Taluka Haveli District Pune - 24 Near Krushnai Water Park Singhad Road</t>
  </si>
  <si>
    <t>VENKATESHWARA SCHOOL</t>
  </si>
  <si>
    <t>HUZURPAGA GIRLS HIGHSCHOOL AND JUNIOR COLLEGE</t>
  </si>
  <si>
    <t>SHRI SHIVAJI MAHARASHTRA SOCIETY'S COLLEGE OF ARCHITECTURE PUNE/MAHARASHTRA</t>
  </si>
  <si>
    <t>2018-Oct</t>
  </si>
  <si>
    <t>AutoCAD,MS Office,MS Project,Primavera,Lumion,Sketchup,Photoshop,Canva</t>
  </si>
  <si>
    <t>GNA Architects | Jr. Architect | Bhandarkar Road Shivaji Nagar Pune-411004 | Feb 2024 | May 2025 | 1Y 3M | 2.16</t>
  </si>
  <si>
    <t>Nikhil Kanthe design studio | Interior designer  | Pune  | Oct 2022 | Oct 2022 | -1.1428571428571 Weeks
Nikhil Kanthe design studio | Jr. architect/interior designer  | Pune  | Jul 2023 | Dec 2023 | 26 Weeks</t>
  </si>
  <si>
    <t>P25707036</t>
  </si>
  <si>
    <t>MUSALE</t>
  </si>
  <si>
    <t>Ninad Naresh Musale</t>
  </si>
  <si>
    <t>ninadmusale@gmail.com</t>
  </si>
  <si>
    <t>p25707036@student.nicmar.ac.in</t>
  </si>
  <si>
    <t>03-Sep-2003</t>
  </si>
  <si>
    <t>2958 7582 8824</t>
  </si>
  <si>
    <t>NARESH DATTATRAY MUSALE</t>
  </si>
  <si>
    <t>PREETI NARESH MUSALE</t>
  </si>
  <si>
    <t>B-2/12, Ashoka Gardens CHS, Tilak Road, Near Savarkar Chowk, Panvel</t>
  </si>
  <si>
    <t>MAHATMA SCHOOL OF ACADEMICS AND SPORTS, PANVEL</t>
  </si>
  <si>
    <t>MAHARASHTRA STATE BOARD OF SECONDARY AND HIGHER SECONDARY EDUCATION, PUNE/ MAHARASHTRA</t>
  </si>
  <si>
    <t>MAHATMA SCHOOL OF ACADEMICS AND SPORTS AND JUNIOR COLLEGE OF ARTS, COMMERCE AND SCIENCE, PANVEL</t>
  </si>
  <si>
    <t>DATTA MEGHE COLLEGE OF ENGINEERING, AIROLI, NAVI MUMBAI/ MAHARASHTRA</t>
  </si>
  <si>
    <t>AutoCAD,MS Office,Arc GIS,QGIS,STADD Pro,Building Information Modelling(BIM)</t>
  </si>
  <si>
    <t>House of Hiranandani | Intern | Thane | Jun 2024 | Jul 2024 | 4.2857142857143 Weeks
MAN Technologies | Intern | Panvel | Dec 2022 | Jan 2023 | 4.4285714285714 Weeks</t>
  </si>
  <si>
    <t>ESG and Sustainability Literacy
Fundamentals of ESG and Sustainability
Constitution of India and Environmental Governance: Administrative and Adjudicatory Process</t>
  </si>
  <si>
    <t>P25707037</t>
  </si>
  <si>
    <t>Varun Hemant Desai</t>
  </si>
  <si>
    <t>varundesaiv439@gmail.com</t>
  </si>
  <si>
    <t>p25707037@student.nicmar.ac.in</t>
  </si>
  <si>
    <t>English,Germany(Basic), Hindi and Marathi</t>
  </si>
  <si>
    <t>6658 5958 3384</t>
  </si>
  <si>
    <t>HEMANT MANOHAR DESAI</t>
  </si>
  <si>
    <t>ANJALI HEMANT DESAI</t>
  </si>
  <si>
    <t>2784, B Ward, Manglwar Peth, Kolhapur</t>
  </si>
  <si>
    <t>SEVENTH DAY ADVENTIST HIGHER SECONDARY SCHOOL</t>
  </si>
  <si>
    <t>ICSE, DELHI BOARD</t>
  </si>
  <si>
    <t>VIVEKANANDA JR. COLLEGE</t>
  </si>
  <si>
    <t>KOLHAPUR INSTITUTE OF TECHNOLOGY, COLLEGE OF ENGINEERING, KOLHAPUR</t>
  </si>
  <si>
    <t xml:space="preserve">AutoCAD, MS Office, SimaPro, Oneclick, Open LCA </t>
  </si>
  <si>
    <t>Ecoboard Industries  | Summer Intern  | Pune  | May 2026 | Jun 2026 | 8 Weeks | Campus Internship
Shree Datta Shetkari S. S. K. Ltd | Intern under Environment Office  | Kolhapur  | Jan 2024 | Apr 2024 | 14.714285714286 Weeks</t>
  </si>
  <si>
    <t>Introduction to Sustainability
Introduction to Faecal Sludge Mangement</t>
  </si>
  <si>
    <t>P25707038</t>
  </si>
  <si>
    <t>URMI</t>
  </si>
  <si>
    <t>SINGHA ROY</t>
  </si>
  <si>
    <t>Urmi Singha Roy</t>
  </si>
  <si>
    <t>urmisingharoy06@gmail.com</t>
  </si>
  <si>
    <t>p25707038@student.nicmar.ac.in</t>
  </si>
  <si>
    <t>4859 0421 9521</t>
  </si>
  <si>
    <t>NABENDU SINGHA ROY</t>
  </si>
  <si>
    <t>EX ARMED FORCES</t>
  </si>
  <si>
    <t>BARNALI SINGHA ROY</t>
  </si>
  <si>
    <t>BC126,VAISHNODEVI ABASAN,SAMARPALLI, KESTOPUR</t>
  </si>
  <si>
    <t>KENDRIYA VIDYALA NO.2</t>
  </si>
  <si>
    <t>KOLKATA, WEST BENGAL</t>
  </si>
  <si>
    <t>LMET INTL SCHOOL</t>
  </si>
  <si>
    <t>SOUTH BALARAMPUR MURSHIDABAD</t>
  </si>
  <si>
    <t>ASUTOSH COLLEGE  KOLKATA WB</t>
  </si>
  <si>
    <t>MS Office,LCA,Carbon Accounting &amp;GHG Emissions,ESG Metrics &amp; Sustainable Reporting,Circular Economy Principles</t>
  </si>
  <si>
    <t>P25707039</t>
  </si>
  <si>
    <t>POORVI</t>
  </si>
  <si>
    <t>SETH</t>
  </si>
  <si>
    <t>Poorvi Seth</t>
  </si>
  <si>
    <t>purvi160423@gmail.com</t>
  </si>
  <si>
    <t>p25707039@student.nicmar.ac.in</t>
  </si>
  <si>
    <t>16-Apr-2003</t>
  </si>
  <si>
    <t>English, Hindi, German</t>
  </si>
  <si>
    <t>3988 9363 8985</t>
  </si>
  <si>
    <t>ASHWANI KUMAR SETH</t>
  </si>
  <si>
    <t>DOCTOR CONSULTANT</t>
  </si>
  <si>
    <t>GAURI SETH</t>
  </si>
  <si>
    <t>190E MAYUR VIHAR PHASE 1 POCKET 1</t>
  </si>
  <si>
    <t>37/2 West Patel Nagar Ground Floor RHS</t>
  </si>
  <si>
    <t>AHLCON INTERNATIONAL SCHOOL</t>
  </si>
  <si>
    <t>CENTRAL BOARD OF SECONDARY EDUCATION CBSE NEW DELHI</t>
  </si>
  <si>
    <t>SHRI MATA VAISHNO DEVI UNIVERSITY</t>
  </si>
  <si>
    <t>SHRI MATA VAISHNO DEVI UNIVERSITY KATRA JAMMU AND KASHMIR</t>
  </si>
  <si>
    <t>MS Office,MS Project,lean management,six sigma,G suite,mendeley,Trello,KANBAN,CMIE,ProwessIQ,CANVA,LCA assessment,MINITAB</t>
  </si>
  <si>
    <t>National Skill Deveopment Corporation NSDC | Research and Development Intern  | New Delhi | May 2026 | Jul 2026 | 8.7142857142857 Weeks | Campus Internship
IMPRI (IMPACT AND POLICY RESEARCH INSTITUTE CAPITAL) | RESEARCH FELLOW | NEW DELHI | Jan 2025 | Apr 2025 | 12.857142857143 Weeks
RELIANCE JIO | HUMAN RESOURCE INTERN  | NEW DELHI | May 2023 | Jul 2023 | 8.7142857142857 Weeks</t>
  </si>
  <si>
    <t>Foundations of Project Management by Google
Generative AI &amp; ESG
Fundamentals of Data Analysis in Excel
ESG AND CLIMATE RELATED REPORTING FOR ACCOUNTANTS</t>
  </si>
  <si>
    <t>P25706001</t>
  </si>
  <si>
    <t>SAILESH</t>
  </si>
  <si>
    <t>Sailesh Kumar</t>
  </si>
  <si>
    <t>psylesh03@gmail.com</t>
  </si>
  <si>
    <t>p25706001@student.nicmar.ac.in</t>
  </si>
  <si>
    <t>ENGLISH AND TAMIL</t>
  </si>
  <si>
    <t>4448 1365 4021</t>
  </si>
  <si>
    <t>AMBAYIRAM</t>
  </si>
  <si>
    <t>PAINTING CONTRACTOR</t>
  </si>
  <si>
    <t>NIRMALA AMBAYIRAM</t>
  </si>
  <si>
    <t>78, Gandhipuram, Srinivasapuram Road</t>
  </si>
  <si>
    <t>BEST MATRICULATION HIGHER SECONDARY SCHOOL</t>
  </si>
  <si>
    <t>STATE BOARD OF TAMIL NADU</t>
  </si>
  <si>
    <t>MEENAKSHI COLLEGE OF ENGINEERING</t>
  </si>
  <si>
    <t>AutoCAD,MS Office,MS Project,Primavera,Sketchup,D5 render,Enscape,lumion 12.5,Adobe Photoshop,Open LCA,One click LCA</t>
  </si>
  <si>
    <t>Abhilash Architects | Architecture Intern | Kerala | Jul 2022 | Nov 2022 | 17.142857142857 Weeks</t>
  </si>
  <si>
    <t>Understanding Research Methods
Renewable Energy Projects
Project Valuation
Introduction to Generative AI in Human Resource
Global Environmental Management
Generative AI and ESG
Exploring Renewable Energy Schemes
Renewable Energy Technology Fundamentals
Energy Conversion Technologies (Biomass and Coal)</t>
  </si>
  <si>
    <t>P25706002</t>
  </si>
  <si>
    <t>Siddhi Sureshchandra Gosavi</t>
  </si>
  <si>
    <t>gosavisiddhisuresh@gmail.com</t>
  </si>
  <si>
    <t>p25706002@student.nicmar.ac.in</t>
  </si>
  <si>
    <t>Marathi Hindi English</t>
  </si>
  <si>
    <t>4804 8803 4185</t>
  </si>
  <si>
    <t>PROFESSOR HOD POLYTECHNIC COLLEGE</t>
  </si>
  <si>
    <t>A/103, Rushabh Tower, Suncity, Vasai West, Mumbai, Pin-401202</t>
  </si>
  <si>
    <t>VIDYAVARDHINI'S COLLEGE OF ENGINEERING &amp; TECHNOLOGY</t>
  </si>
  <si>
    <t>Reliance Corporate Park | Intern | Navi Mumbai, Ghansoli | May 2026 | Jul 2026 | 8.5714285714286 Weeks
EN CON Project Consultants for Architectural &amp; Structural Works | Trainee Engineer  | Mumbai, Vasai | Jun 2023 | Jul 2023 | 2.7142857142857 Weeks
KRISHNA CONCHEM PRODUCT PVT. LTD. | TRAINEE | MUMBAI, VASAI | Jun 2022 | Jul 2022 | 1.5714285714286 Weeks</t>
  </si>
  <si>
    <t>Structural Audit
Total Station
Certificate of Excellence
Dr. FIXIT
Techknowvent 2020</t>
  </si>
  <si>
    <t>P25706003</t>
  </si>
  <si>
    <t>Aditya Praveen Menon</t>
  </si>
  <si>
    <t>27adityamenon@gmail.com</t>
  </si>
  <si>
    <t>p25706003@student.nicmar.ac.in</t>
  </si>
  <si>
    <t>27-Oct-2003</t>
  </si>
  <si>
    <t>English, Hindi, Malayalam, Tamil, Telugu</t>
  </si>
  <si>
    <t>7416 9229 9414</t>
  </si>
  <si>
    <t>PRAVEEN MOHAN</t>
  </si>
  <si>
    <t>DHIVYA MANATHAZATH</t>
  </si>
  <si>
    <t>Subhasree, Kaipenchery, Aylur P/o, 678510, Palakkad Dist, Kerala</t>
  </si>
  <si>
    <t>DOHA MODERN INDIAN SCHOOL</t>
  </si>
  <si>
    <t>C.B.S.E, DOHA, QATAR</t>
  </si>
  <si>
    <t>NATIONAL INSTITUTE OF TECHNOLOGY TIRUCHIRAPPALLI</t>
  </si>
  <si>
    <t>NATIONAL INSTITUTE OF TECHNOLOGY, TIRUCHIRAPPALLI, TAMIL NADU</t>
  </si>
  <si>
    <t>ClimatEnlighten LLP  | research and curriculum development intern | Remote | May 2026 | Jul 2026 | 9.7142857142857 Weeks | Campus Internship
Al-Balagh Trading and Contracting CO.w.l.l | summer trainee | Lusail, Doha, Qatar | May 2024 | Jul 2024 | 8.7142857142857 Weeks
INDIAN OIL CORPORATION LIMITED | WINTER TRAINEE | GUWAHATI | Dec 2023 | Jan 2024 | 4.4285714285714 Weeks</t>
  </si>
  <si>
    <t>P25706004</t>
  </si>
  <si>
    <t>NIMJE</t>
  </si>
  <si>
    <t>Janhavi Nimje</t>
  </si>
  <si>
    <t>nimjan2001@gmail.com</t>
  </si>
  <si>
    <t>p25706004@student.nicmar.ac.in</t>
  </si>
  <si>
    <t>26-Sep-2001</t>
  </si>
  <si>
    <t>Oil Painting,Poetry,Trevelling</t>
  </si>
  <si>
    <t>7331 4122 6888</t>
  </si>
  <si>
    <t>SHRIKANT NIMJE</t>
  </si>
  <si>
    <t>MADHURI NIMJE</t>
  </si>
  <si>
    <t>K-MONTILLA, PURANICS, FLAT NO. 901, 9TH FLOOR, BALEWADI, PUNE</t>
  </si>
  <si>
    <t>Sai Bhoomi Apartment, Flat No. B-320, Torwa, Bilaspur, Chhattisgarh</t>
  </si>
  <si>
    <t>KENDRIYA VIDYALAYA S R RLY BILASPUR CG</t>
  </si>
  <si>
    <t>BHARATI VIDYAPEETH COLLEGE OF ARCHITECTURE</t>
  </si>
  <si>
    <t>AutoCAD,MS Office,MS Project,Primavera,Revit,Sketchup,v ray,enscape,Photoshop,SimaPro,OpenLCA,OneClickLCA, Power BI</t>
  </si>
  <si>
    <t>Urban Loci | Junior Architect | Pune | Dec 2024 | May 2025 | 0Y 5M | 2</t>
  </si>
  <si>
    <t>Agami Realty LLP | Sustainable Energy Management Intern | Mumbai | May 2026 | Jul 2026 | 7.8571428571429 Weeks | Campus Internship
Vaastavya Architects &amp; Interior Designers | Intern | Pune | Jul 2023 | Oct 2023 | 14.571428571429 Weeks</t>
  </si>
  <si>
    <t>Coursera - Renewable Energy Projects
Coursera - Generative AI and ESG
Coursera - ESG essential for Sustainable Business
IGBC AP - Associate
Professional Revit &amp; BIM Certification Program
Renewable Energy Technology Fundamentals
Project Valuation</t>
  </si>
  <si>
    <t>P25706005</t>
  </si>
  <si>
    <t>PA</t>
  </si>
  <si>
    <t>Kavya Pa</t>
  </si>
  <si>
    <t>kavyaappaiah604@gmail.com</t>
  </si>
  <si>
    <t>p25706005@student.nicmar.ac.in</t>
  </si>
  <si>
    <t>21-Mar-2002</t>
  </si>
  <si>
    <t>6587 9739 5188</t>
  </si>
  <si>
    <t>APPAIAH PK</t>
  </si>
  <si>
    <t>BEENA CB</t>
  </si>
  <si>
    <t>SRIMANGALA VILLAGE AND POST PONNAMPET TALUK KODAGU KARNATAKA</t>
  </si>
  <si>
    <t>Kodagu</t>
  </si>
  <si>
    <t>Police Quarters Meenupete Malabar Road Virajpet Kodagu</t>
  </si>
  <si>
    <t>KAVYA PA</t>
  </si>
  <si>
    <t>YUVARAJA'S COLLEGE</t>
  </si>
  <si>
    <t>MS Office,Primavera,Surfer software,ERDAS imagine</t>
  </si>
  <si>
    <t>Decarbonic global private limited  | Sustainability and Energy intern | Hybrid  | May 2026 | Aug 2026 | 13.142857142857 Weeks</t>
  </si>
  <si>
    <t>P25706006</t>
  </si>
  <si>
    <t>MOHAMMAD</t>
  </si>
  <si>
    <t>ZAID</t>
  </si>
  <si>
    <t>Mohammad Zaid Shaikh</t>
  </si>
  <si>
    <t>zaidshaikh8928@gmail.com</t>
  </si>
  <si>
    <t>p25706006@student.nicmar.ac.in</t>
  </si>
  <si>
    <t>03-Apr-2003</t>
  </si>
  <si>
    <t>ENGLISH, HINDI , MARATHI</t>
  </si>
  <si>
    <t>6169 8638 6022</t>
  </si>
  <si>
    <t>ANIS AHMED</t>
  </si>
  <si>
    <t>INDIAN RAILWAYS</t>
  </si>
  <si>
    <t>RUKHSANA BANO</t>
  </si>
  <si>
    <t>Room No.90, 60 Feet Road Madina Nagar Dharavi Mahim East Mumbai - 400017</t>
  </si>
  <si>
    <t>IES MANIK VIDYA MANDIR</t>
  </si>
  <si>
    <t>ELECTRICAL ENGINEERING</t>
  </si>
  <si>
    <t>M.H SABOO SIDDIK POLYTECHNIC</t>
  </si>
  <si>
    <t>SAINT FRANCIS INSTITUTE OF TECHNOLOGY</t>
  </si>
  <si>
    <t>AutoCAD,MS Office,Primavera,matlab</t>
  </si>
  <si>
    <t>KRYFS POWER COMPONENTS LIMITED | Sales &amp; Business Development  | MUMBAI | Jun 2024 | Jul 2025 | 1Y 1M | 3.88</t>
  </si>
  <si>
    <t>Renewxpert Solutions LLp | Project Management Intern | Pune | May 2026 | Jul 2026 | 9.5714285714286 Weeks | Campus Internship</t>
  </si>
  <si>
    <t>P25706007</t>
  </si>
  <si>
    <t>PETA</t>
  </si>
  <si>
    <t>Satish Reddy Peta</t>
  </si>
  <si>
    <t>satish.14012000@gmail.com</t>
  </si>
  <si>
    <t>p25706007@student.nicmar.ac.in</t>
  </si>
  <si>
    <t>14-Jan-2000</t>
  </si>
  <si>
    <t>6605 7263 8821</t>
  </si>
  <si>
    <t>PETA PURUSHOTHAM REDDY</t>
  </si>
  <si>
    <t>SR. LIAISON</t>
  </si>
  <si>
    <t>PETA ESWARI</t>
  </si>
  <si>
    <t>7-52/27, Aravinda Enclave, Bolligudem, Chengicherla, Hyderabad.</t>
  </si>
  <si>
    <t>KAMALA MEMORIAL HIGH SCHOOL</t>
  </si>
  <si>
    <t>BOARD OF SECONDARY EDUCATION, TELANGANA STATE, INDIA.</t>
  </si>
  <si>
    <t>VIGNANA BHARATHI INSTITUTE OF TECHNOLOGY HYDERABAD</t>
  </si>
  <si>
    <t>AutoCAD,MS Office,Creo Parametric,SharePoint,SolidWorks</t>
  </si>
  <si>
    <t>Rainbow Engineering &amp; Manufacturing | Mechanical Design Engineer | Hyderabad | Sep 2023 | Feb 2025 | 1Y 5M | 3.6</t>
  </si>
  <si>
    <t>ClimatEnlighten LLP | Research and curriculum development intern | Remote | May 2026 | Jul 2026 | 9.7142857142857 Weeks | Campus Internship</t>
  </si>
  <si>
    <t>P25706008</t>
  </si>
  <si>
    <t>ARANGA</t>
  </si>
  <si>
    <t>SUBRAMANIAM S</t>
  </si>
  <si>
    <t>Aranga Subramaniam S</t>
  </si>
  <si>
    <t>arangasubramaniam@gmail.com</t>
  </si>
  <si>
    <t>p25706008@student.nicmar.ac.in</t>
  </si>
  <si>
    <t>9480 9558 1867</t>
  </si>
  <si>
    <t>LIMGAMMAL</t>
  </si>
  <si>
    <t>7/310, Sengulam Street, Veerasigamani, Sankarankovil</t>
  </si>
  <si>
    <t>Tenkasi</t>
  </si>
  <si>
    <t>A.V.K INTERNATIONAL RESIDENTIAL SCHOOL</t>
  </si>
  <si>
    <t>VEL'S PUBLIC SCHOOL</t>
  </si>
  <si>
    <t>B. S. ABDUR RAHMAN CRESCENT INSTITUTE OF SCIENCE AND TECHNOLOGY</t>
  </si>
  <si>
    <t>B. S. ABDUR RAHMAN CRESCENT INSTITUTE OF SCIENCE AND TECHNOLOGY,VANDALUR,CHENNAI</t>
  </si>
  <si>
    <t>RenewXpert Solutions Llp | Business Development Trainee | Pune | May 2026 | Jul 2026 | 8.7142857142857 Weeks | Campus Internship</t>
  </si>
  <si>
    <t>P25706009</t>
  </si>
  <si>
    <t>GHATOL</t>
  </si>
  <si>
    <t>Vijaya Subhash Ghatol</t>
  </si>
  <si>
    <t>vijayasghatol@gmail.com</t>
  </si>
  <si>
    <t>p25706009@student.nicmar.ac.in</t>
  </si>
  <si>
    <t>Minimalist Living,Zero-waste Lifestyle,Video Editing,Photography,Classical dance (Bharatnatyam),Sketching,Rangoli,Mehndi,Cooking,Baking</t>
  </si>
  <si>
    <t>3241 1299 9899</t>
  </si>
  <si>
    <t>SUBHASH VISHNU GHATOL</t>
  </si>
  <si>
    <t>ADDITIONAL EXECUTIVE ENGINEER AT MSEDCL (ELECTRICAL ENGINEER)</t>
  </si>
  <si>
    <t>ARADHANA SUBHASH GHATOL</t>
  </si>
  <si>
    <t>TRADER, CONTENT CREATOR AND HOMEMAKER</t>
  </si>
  <si>
    <t>204, 1A-C, SHUBHASHRI RESIDENCY PHASE 3, GANGANAGAR, AKURDI, PIMPRI-CHINCHWAD</t>
  </si>
  <si>
    <t>Sai Leela Heritage, Flat No. 201, Near Chandrabhaga Corner, Ravet</t>
  </si>
  <si>
    <t>CHHATRAPATI SHAHU ACADEMY, SATARA</t>
  </si>
  <si>
    <t>MSBSHSE,PUNE</t>
  </si>
  <si>
    <t>LOKNETE SUBRAO KADAM JR. COLLEGE OF ARTS, COMMERCE AND SCIENCE,Â SATARA</t>
  </si>
  <si>
    <t>AFFILIATED TO SAVITRIBAI PHULE PUNE UNIVERSITY (SPPU)</t>
  </si>
  <si>
    <t>PIMPRI CHINCHWAD COLLEGE OF ENGINEERING, PUNE, MAHARASHTRA</t>
  </si>
  <si>
    <t>AutoCAD,MS Office,MS Project,Primavera,WaterGEMS,ArcGIS,SimaPro,OpenLCA</t>
  </si>
  <si>
    <t>RenewXpert Solutions LLP | Sustainable Energy Management Intern | Pune | May 2026 | Jul 2026 | 9.5714285714286 Weeks | Campus Internship
KSHIRSAGAR ENTERPRISES PVT. LTD. | RESEARCH SCHOLAR | KSHIRSAGAR ENTERPRISES PVT. LTD. AT POST KALAMB, TAL- AMBEGAON, DIST.- PUNE (410515) | Jun 2024 | Aug 2024 | 12 Weeks</t>
  </si>
  <si>
    <t>Principles of Construction Management- 65/100
Integrated Waste Management for a Smart City- 71/100
Sustainable Engineering Concepts and Life Cycle Analysis- 86/100
Building Materials as a Cornerstone to Sustainability- 94/100
Energy Conversion Technologies (Biomass and Coal)- 66/100
Engineering Aspects of Biofuels and Biomass Conversion Technologies- 90/100</t>
  </si>
  <si>
    <t>P25706010</t>
  </si>
  <si>
    <t>SREEDHARAN</t>
  </si>
  <si>
    <t>Sheetal Sreedharan</t>
  </si>
  <si>
    <t>ssreen2204@gmail.com</t>
  </si>
  <si>
    <t>p25706010@student.nicmar.ac.in</t>
  </si>
  <si>
    <t>22-Oct-2004</t>
  </si>
  <si>
    <t>English, Hindi, Marathi, Tamil</t>
  </si>
  <si>
    <t>Bharatnatyam,Carnatic vocals,Iyengar Yoga</t>
  </si>
  <si>
    <t>9090 7954 4786</t>
  </si>
  <si>
    <t>N. SREEDHARAN</t>
  </si>
  <si>
    <t>CHITRA SREEDHARAN</t>
  </si>
  <si>
    <t>RETIRED PROFESSOR</t>
  </si>
  <si>
    <t>Flat No 9, Comficentra, 40-A/2, Bhau-Patil Road, Bopodi, Pune.</t>
  </si>
  <si>
    <t>D.A.V PUBLIC SCHOOL, AUNDH, PUNE</t>
  </si>
  <si>
    <t>CBSE BOARD, CITY: PUNE</t>
  </si>
  <si>
    <t>LOYOLA HIGH SCHOOL AND JUNIOR COLLEGE, PASHAN, PUNE</t>
  </si>
  <si>
    <t>HSC BOARD IN PUNE</t>
  </si>
  <si>
    <t>MS Office,Python (Beginner level)</t>
  </si>
  <si>
    <t>Conservit Power Solutions  | Business development  | Pune | May 2026 | Jul 2026 | 8.7142857142857 Weeks | Campus Internship</t>
  </si>
  <si>
    <t>P25706011</t>
  </si>
  <si>
    <t>KADU</t>
  </si>
  <si>
    <t>Sakshi Atul Kadu</t>
  </si>
  <si>
    <t>sakshi10kadu@gmail.com</t>
  </si>
  <si>
    <t>p25706011@student.nicmar.ac.in</t>
  </si>
  <si>
    <t>9407 6977 6553</t>
  </si>
  <si>
    <t>ATUL SARDAR KADU</t>
  </si>
  <si>
    <t>SAVITA ATUL KADU</t>
  </si>
  <si>
    <t>Sakshi Villa, Datta Prasad, Housing Society, Lane No.2, Survey No.47/3, Ganesh Nagar, Wadgaonsheri, Pune- 411014</t>
  </si>
  <si>
    <t>PRODIGY PUBLIC SCHOOL, WAGHOLI</t>
  </si>
  <si>
    <t>CBSE, PUNE MAHARASHTRA</t>
  </si>
  <si>
    <t>NOWROSJEE WADIA COLLEGE, PUNE</t>
  </si>
  <si>
    <t>HSC, PUNE MAHARASHTRA</t>
  </si>
  <si>
    <t>MIT ART, DESIGN AND TECHNOLOGY UNIVERSITY,PUNE</t>
  </si>
  <si>
    <t>MIT ART, DESIGN AND TECHNOLOGY UNIVERSITY, PUNE, MAHARASHTRA</t>
  </si>
  <si>
    <t xml:space="preserve">AutoCAD, MS Office, Primavera, Adobe Photoshop, Adobe Illustrator, Adobe InDesign, One Click LCA, Sima Pro, Power BI </t>
  </si>
  <si>
    <t>Sustain And Save Pvt Ltd. | Green Building Analyst Intern | Pune | May 2026 | Jul 2026 | 8.7142857142857 Weeks | Campus Internship
Shree Bramha Architects | Architectural Intern | Wagholi,Pune  | Jan 2024 | Jun 2024 | 21.428571428571 Weeks</t>
  </si>
  <si>
    <t>GHG Accounting &amp; Carbon Accounting
Sustainable Engineering Concepts and Life Cycle Analysis
Product Engineering and Design Thinking</t>
  </si>
  <si>
    <t>P25706012</t>
  </si>
  <si>
    <t>PATHAK</t>
  </si>
  <si>
    <t>Harsh Pathak</t>
  </si>
  <si>
    <t>harshxpathak@gmail.com</t>
  </si>
  <si>
    <t>p25706012@student.nicmar.ac.in</t>
  </si>
  <si>
    <t>08-May-2003</t>
  </si>
  <si>
    <t>Music,Photography</t>
  </si>
  <si>
    <t>3616 8512 2270</t>
  </si>
  <si>
    <t>VIVEK PATHAK</t>
  </si>
  <si>
    <t>RASHMI PATHAK</t>
  </si>
  <si>
    <t>FLAT G 3,Ground Floor,Malhar Sankul,Baapgaon,Bhiwandi</t>
  </si>
  <si>
    <t>DON BOSCO HIGH SCHOOL</t>
  </si>
  <si>
    <t>K.M AGRAWAL COLLEGE</t>
  </si>
  <si>
    <t>FERGUSSON COLLEGE (AUTONOMOUS),PUNE</t>
  </si>
  <si>
    <t>Govardhan Eco Village | Energy Efficiency Intern | Govardhan Eco Village, Galtare, P.O. Hamrapur, Wada (Taluka), Palghar (District) - 421 303, Maharashtra, India  | May 2026 | Jul 2026 | 9.7142857142857 Weeks | Campus Internship</t>
  </si>
  <si>
    <t>P25706013</t>
  </si>
  <si>
    <t>Laxmikant Yeshwant Deshmukh</t>
  </si>
  <si>
    <t>lddeshmukh802@gmail.com</t>
  </si>
  <si>
    <t>p25706013@student.nicmar.ac.in</t>
  </si>
  <si>
    <t>9377 1595 6286</t>
  </si>
  <si>
    <t>YESHWANTRAO BHAGWANTRAO DESHMUKH</t>
  </si>
  <si>
    <t>JYOTI YESHWANTRAO DESHMUKH</t>
  </si>
  <si>
    <t>65, Panchmukhi Hanuman Mandir Ganesh Nagar Nanded</t>
  </si>
  <si>
    <t>NAGARJUNA PUBLIC SCHOOL NANDED</t>
  </si>
  <si>
    <t>SHRI CHATRAPATI SHIVAJI UCHCH MADHYAMIK VIDYALAYA ADAS</t>
  </si>
  <si>
    <t>MAHARASHTRA STATE BOARD OF SECONDARY &amp;HIGHER SECONDARY EDUCATION PUNE</t>
  </si>
  <si>
    <t>DR. BABASAHEB AMEBEDKAR TECHNOLOGICAL UNIVERSITY</t>
  </si>
  <si>
    <t>BALAJI DEVELOPER &amp; VASTU RACHANA ASSOCIATES | CIVIL ENGINEER  | PIMPRI CHINCHWAD | Apr 2025 | Jun 2025 | 12.857142857143 Weeks</t>
  </si>
  <si>
    <t>NPTEL ONLINE CERTIFICATION</t>
  </si>
  <si>
    <t>P25706014</t>
  </si>
  <si>
    <t>IQRA</t>
  </si>
  <si>
    <t>TAYABA</t>
  </si>
  <si>
    <t>Iqra Tayaba Shaik</t>
  </si>
  <si>
    <t>iqratayaba.shaik@gmail.com</t>
  </si>
  <si>
    <t>p25706014@student.nicmar.ac.in</t>
  </si>
  <si>
    <t>06-Dec-2001</t>
  </si>
  <si>
    <t>English,Hindi,Telugu</t>
  </si>
  <si>
    <t>2229 2252 2984</t>
  </si>
  <si>
    <t>SHAIK SHAMEER BASHA</t>
  </si>
  <si>
    <t>STRUCTURAL ENGINEER</t>
  </si>
  <si>
    <t>SHAIK TASNEEM BANU</t>
  </si>
  <si>
    <t>BLOCK B1,FLAT NO.615, SVS PATELS CALLISTO APARTMENTS, AMRUTAHALLI</t>
  </si>
  <si>
    <t>6-3-176,flat No.102,Shiri Avenue Apartments, Ram Nagar</t>
  </si>
  <si>
    <t>AKSHARA INTERNATIONAL SCHOOL</t>
  </si>
  <si>
    <t>ANANTAPUR, ANDHRA PRADESH</t>
  </si>
  <si>
    <t>PINEGROVE JUNIOR COLLEGE</t>
  </si>
  <si>
    <t>HYDERABAD,TELANGANA</t>
  </si>
  <si>
    <t>BM SREENIVASAIAH SCHOOL OF ARCHITECTURE, BANGALORE, KARNATAKA</t>
  </si>
  <si>
    <t>AutoCAD,MS Office,Primavera,Sketchup,Revit,Adobe Photoshop,Enscape</t>
  </si>
  <si>
    <t>Neev Green Building Consultancy | Green Building Analyst | Pune | May 2026 | Jul 2026 | 8.7142857142857 Weeks | Campus Internship</t>
  </si>
  <si>
    <t>9th Zero Energy Mass Custom Home</t>
  </si>
  <si>
    <t>P25706015</t>
  </si>
  <si>
    <t>PRITAL</t>
  </si>
  <si>
    <t>Kamble Prital Vijay</t>
  </si>
  <si>
    <t>pritalvijaykamble20@gmail.com</t>
  </si>
  <si>
    <t>p25706015@student.nicmar.ac.in</t>
  </si>
  <si>
    <t>01-Dec-1998</t>
  </si>
  <si>
    <t>9077 0751 0612</t>
  </si>
  <si>
    <t>VIJAY KAMBLE</t>
  </si>
  <si>
    <t>GANGA</t>
  </si>
  <si>
    <t>WARD NO-2, KANHAPUR, PO-SUKALI STATION, DIS- WARDHA</t>
  </si>
  <si>
    <t>MATOSHREE RAMABAI MADHAMIK VIDYALAYA, SINDHI (MEGHE), WARDHA</t>
  </si>
  <si>
    <t>D.C JUNIOR COLLAGE , SELOO</t>
  </si>
  <si>
    <t>RTMNU</t>
  </si>
  <si>
    <t>B.D. COLLAGE OF ENGINEERING SEWAGRAM, WARDHA</t>
  </si>
  <si>
    <t>AutoCAD,MS Office,MS Project,Primavera,Sketch UP,Staad Pro,MS-CIT</t>
  </si>
  <si>
    <t>M/S D.V. PATEL AND CO. ENGINEERS &amp; CONTRACTORS | SITE ENGINEER | WARDHA | May 2019 | Jun 2019 | 4.4285714285714 Weeks
R &amp; R ASSOCIATES ARCHITECTURE + CONSTRUCTION | SITE ENGINEER | WARDHA | Jan 2024 | Aug 2024 | 34.571428571429 Weeks
SPD INFRA CONSULTANTS PRIVATE LIMITED | CIVIL ENGINEER | NAGPUR | Oct 2022 | Dec 2023 | 61.857142857143 Weeks</t>
  </si>
  <si>
    <t>Occupational safety and Dignity of sanitation workers and dry waste man
MS-CIT
AUTO CAD
Energy Conversion Technolgies (Biomass and Coal)</t>
  </si>
  <si>
    <t>P25706016</t>
  </si>
  <si>
    <t>ANU</t>
  </si>
  <si>
    <t>DEEPTHI</t>
  </si>
  <si>
    <t>Anu Deepthi</t>
  </si>
  <si>
    <t>anudeepthiavk@gmail.com</t>
  </si>
  <si>
    <t>p25706016@student.nicmar.ac.in</t>
  </si>
  <si>
    <t>6434 4163 7345</t>
  </si>
  <si>
    <t>SHASHIDHARA K M</t>
  </si>
  <si>
    <t>SHAMITHA</t>
  </si>
  <si>
    <t>#12,sreerampura 2nd Stage, Kandayanagara, Mysore- 570023</t>
  </si>
  <si>
    <t>ACHARYA VIDYA KULA</t>
  </si>
  <si>
    <t>INDIAN CERTIFICATE OF SECONDARY EDUCATION(ICSE)</t>
  </si>
  <si>
    <t>CHAITRA PU COLLEGE</t>
  </si>
  <si>
    <t>KARNATAKA SCHOOL EXAMINATION AND ASSESSMENT BOARD(KSEAB)</t>
  </si>
  <si>
    <t>SRI JAYACHAMARAJENDRA COLLEGE OF ENGINEERING</t>
  </si>
  <si>
    <t>MS Office,Primavera,Simapro,Python,GaBi</t>
  </si>
  <si>
    <t>CIPLA | EHS intern | Bangalore | Aug 2024 | Sep 2024 | 4.4285714285714 Weeks
SABIC | LCA- Sustainability intern | Bangalore | Jan 2025 | Jul 2025 | 25.857142857143 Weeks</t>
  </si>
  <si>
    <t>P25706017</t>
  </si>
  <si>
    <t>ADHIP</t>
  </si>
  <si>
    <t>RAVIKRISHNAN</t>
  </si>
  <si>
    <t>Adhip Ravikrishnan</t>
  </si>
  <si>
    <t>adhip.ravikrishnan@gmail.com</t>
  </si>
  <si>
    <t>p25706017@student.nicmar.ac.in</t>
  </si>
  <si>
    <t>English, Hindi, Malayalam, Spanish</t>
  </si>
  <si>
    <t>8020 0017 2492</t>
  </si>
  <si>
    <t>DILEEP M KRISHNAN</t>
  </si>
  <si>
    <t>DIVYA R</t>
  </si>
  <si>
    <t>Haven On Hills, Thiruvallom P.O, Thiruvananthapuram</t>
  </si>
  <si>
    <t>CHRIST NAGAR SENIOR SECONDARY SCHOOL</t>
  </si>
  <si>
    <t>CBSE, TRIVANDRUM, KERALA</t>
  </si>
  <si>
    <t>CHRIST NAGAR ENGLISH HIGHER SECONDARY SCHOOL</t>
  </si>
  <si>
    <t>HSE KERALA, KOWDIAR, KERALA</t>
  </si>
  <si>
    <t>MAR BASELIOS COLLEGE OF ENGINEERING AND TECHNOLOGY, NALANCHIRA, KERALA</t>
  </si>
  <si>
    <t>AutoCAD,Primavera</t>
  </si>
  <si>
    <t>K Raheja Corp Real Estate Private Ltd. | ESG Intern | Bandra-Kurla Complex, Navi Mumbai, Maharashtra | May 2026 | Jun 2026 | 8 Weeks | Campus Internship
Chalet Hotels Ltd. | Intern | Westin Mumbai Powai Lake, Saki Vihar Road, Maharashtra, India | Apr 2023 | Apr 2023 | 1.5714285714286 Weeks
AHAM BUILDERS, CONSULTANTS, DEVELOPERS | INTERN | MANGALORE, KAZHAKUTTOM, MANACAUD | Oct 2023 | Oct 2023 | 1.1428571428571 Weeks</t>
  </si>
  <si>
    <t>P25706018</t>
  </si>
  <si>
    <t>Utkarsha Rajesh Bhosale</t>
  </si>
  <si>
    <t>utkarshabhosale00815@gmail.com</t>
  </si>
  <si>
    <t>p25706018@student.nicmar.ac.in</t>
  </si>
  <si>
    <t>Playing badminton,Explore heritage structure</t>
  </si>
  <si>
    <t>3971 5999 0212</t>
  </si>
  <si>
    <t>RAJESH BHOSALE</t>
  </si>
  <si>
    <t>RAILWAY T.E</t>
  </si>
  <si>
    <t>SARALA BHOSALE</t>
  </si>
  <si>
    <t>Khadka Road Chindhu Nemade Colony</t>
  </si>
  <si>
    <t>K.NARKHEDE VIDYALAYA</t>
  </si>
  <si>
    <t>MAHARASHTRA STATE BOARD OF SECONDARY AND HIGHER SECONDARY EDUCATION, NASHIK DIVISIONAL BOARD</t>
  </si>
  <si>
    <t>SINHGAD COLLEGE OF ARCHITECTURE VADGAON, PUNE.</t>
  </si>
  <si>
    <t>AutoCAD,MS Office,Primavera,Sketchup,photoshop,lumion,enscape,SIMA pro,Open LCA,One click LCA</t>
  </si>
  <si>
    <t>AIRBORNE INDUSTRIES LLP | ARCHITECT INTERN | PUNE | Jun 2024 | Nov 2024 | 21.571428571429 Weeks</t>
  </si>
  <si>
    <t>Awareness programme on energy conservation and ECSBC
IGBC-AP certificate
Exploring renewable energy scheme
Generative AI and ESG
Understanding research methods
Project valuation and the capital budgeting process
Renewable energy technology fundamental
Renewable power and electricity system
Renewable energy project
Introduction to generative AI in human resources
ESG essential for sustainable business
Global environmental management</t>
  </si>
  <si>
    <t>P25706019</t>
  </si>
  <si>
    <t>Abhijith S</t>
  </si>
  <si>
    <t>abhijith7737e@gmail.com</t>
  </si>
  <si>
    <t>p25706019@student.nicmar.ac.in</t>
  </si>
  <si>
    <t>ENGLISH,HINDI,MALAYALAM,TAMIL,KANNADA</t>
  </si>
  <si>
    <t>7242 6454 8057</t>
  </si>
  <si>
    <t>SASIDHARAN NAIR</t>
  </si>
  <si>
    <t>AGRI</t>
  </si>
  <si>
    <t>GEETHA P</t>
  </si>
  <si>
    <t>SREEVALSAM PULIMEL PATTOOR PO NOORANAD</t>
  </si>
  <si>
    <t>SREE BUDDHA CENTRAL SCHOOL PATTOOR</t>
  </si>
  <si>
    <t>HIGHER SECONDARY SCHOOL NOORANAD PADANILAM</t>
  </si>
  <si>
    <t>BOARD OF HIGHER SECONDARY EXAMINATION THIRUVANANTHAPURAM</t>
  </si>
  <si>
    <t>APJ ABDUL KALAM TECHNOLOGICAL UNIVERSITY THIRUVANANTHAPURAM KERALA</t>
  </si>
  <si>
    <t>MUSALIAR COLLEGE OF ENGINEERING AND TECHNOLOGY PATHANAMTHITTA</t>
  </si>
  <si>
    <t>MS Office,EXCEL,PYTHON,DATA ANALYTICS</t>
  </si>
  <si>
    <t>TRAINITY | DATA ANALYTICS | . | Jul 2023 | Sep 2023 | 8 Weeks
MATRIX ARCHITECTS AND INTERIORS | PROJECT COORDINATOR | ERNAKULAM | Sep 2021 | Sep 2022 | 53.571428571429 Weeks
ALMANAC NUTRITION PRIVATE LIMITED | BUSINESS DEVELOPMENT  | BENGALURU  | Jan 2024 | Jan 2025 | 54.285714285714 Weeks</t>
  </si>
  <si>
    <t>P25706020</t>
  </si>
  <si>
    <t>MOHAMMED ADNAN</t>
  </si>
  <si>
    <t>MOHAMMED ASLAM</t>
  </si>
  <si>
    <t>Mohammed Adnan Mohammed Aslam Shaikh</t>
  </si>
  <si>
    <t>adnanshaikh7796@gmail.com</t>
  </si>
  <si>
    <t>p25706020@student.nicmar.ac.in</t>
  </si>
  <si>
    <t>3066 6927 5066</t>
  </si>
  <si>
    <t>MOHAMMED ASLAM SHAIKH</t>
  </si>
  <si>
    <t>LABOR CONTRACTOR</t>
  </si>
  <si>
    <t>RASHIDA ASLAM SHAIKH</t>
  </si>
  <si>
    <t>Flat No. 202 Building No. 5, Moti Baug CHS. Ltd. Almas Colony Road, Near Shamim Apt. Mumbra, Thane.</t>
  </si>
  <si>
    <t>M. H. SABOO SIDDIK POLYTECHNIC</t>
  </si>
  <si>
    <t>ST. FRANCIS INSTITUTE OF TECHNOLOGY, MUMBAI</t>
  </si>
  <si>
    <t>AutoCAD,MS Office,MS Project,Primavera,Navis,MATLAB Simulink</t>
  </si>
  <si>
    <t>Listenlights | Associate Project Controls Engineer | Mumbai | Jun 2024 | Jul 2025 | 1Y 1M | 6.1</t>
  </si>
  <si>
    <t>BECIS | Intern - Construction &amp; Project Management  | Pune  | May 2026 | Jul 2026 | 9.5714285714286 Weeks | Campus Internship
DISCOVER TECHNOLOGIES | INTERN | ONLINE | May 2020 | Jun 2020 | 6.1428571428571 Weeks
Central Railway | Intern | Mumbai | Jun 2023 | Jun 2023 | 2.1428571428571 Weeks
BEST | Intern | Mumbai | Dec 2022 | Jan 2023 | 4.2857142857143 Weeks</t>
  </si>
  <si>
    <t>P25706021</t>
  </si>
  <si>
    <t>KHODKE</t>
  </si>
  <si>
    <t>BRAHMA</t>
  </si>
  <si>
    <t>SARANG</t>
  </si>
  <si>
    <t>Khodke Brahma Sarang</t>
  </si>
  <si>
    <t>linkmebrahma@gmail.com</t>
  </si>
  <si>
    <t>p25706021@student.nicmar.ac.in</t>
  </si>
  <si>
    <t>5499 6525 3495</t>
  </si>
  <si>
    <t>SARANG KHODKE</t>
  </si>
  <si>
    <t>SARLA KHODKE</t>
  </si>
  <si>
    <t>Flat No 302 3rd  Floor, Ashirwad Solar ASK &amp; COMPANY, Silver Park Apartment, Shivanjali Ln No. 2, Dattanagar, Chowk, Katraj, Pune, Maharashtra 411046</t>
  </si>
  <si>
    <t>JAGRUTHI VIDYALAYA, AKOLA, MAHARASHTRA</t>
  </si>
  <si>
    <t>RASHTRASANT TUKADOJI MAHARAJ NAGPUR UNIVERSITY, MAHARASHTRA</t>
  </si>
  <si>
    <t>G H RAISONI COLLAGE OF ENGINEERING AND MANAGEMENT, NAGPUR, MAHARASHTRA</t>
  </si>
  <si>
    <t>AutoCAD,MS Office,MS Project,Primavera,Power BI,SimaPro,One Click LCA</t>
  </si>
  <si>
    <t>Snil Contractors | Junior Engineer | Pune | Nov 2024 | Jul 2025 | 0Y 7M | 1.56</t>
  </si>
  <si>
    <t>Zilla Parishad, Nagpur | Intern | Nagpur | Jun 2023 | Jul 2023 | 4.2857142857143 Weeks
Maharashtra Jeevan Pradhikaran Sub Division Murtizapur | Intern | Murtizapur | Feb 2022 | Feb 2022 | 2.8571428571429 Weeks
A ONE GROUP, Shivajinagar, Pune | Intern | Pune | Dec 2023 | May 2024 | 21.571428571429 Weeks</t>
  </si>
  <si>
    <t>GCC-TBC English 30wpm
One day awareness Programme on Energy Conservation and ECSBC
McKinsey.org Forward Program
(NPTEL) Building Materials as a Cornerstone to Sustainability
Workshop on GHG Accounting &amp; Carbon Accounting</t>
  </si>
  <si>
    <t>P25706022</t>
  </si>
  <si>
    <t>AASTHA</t>
  </si>
  <si>
    <t>Aastha Atul Shinde</t>
  </si>
  <si>
    <t>aasthashinde08@gmail.com</t>
  </si>
  <si>
    <t>p25706022@student.nicmar.ac.in</t>
  </si>
  <si>
    <t>2873 8238 4479</t>
  </si>
  <si>
    <t>ATUL ANANDA SHINDE</t>
  </si>
  <si>
    <t>VRUSHALI ATUL SHINDE</t>
  </si>
  <si>
    <t>FLAT NO.24 WING A SNEHAL PARK SHASTRI NAGAR KOHAPUR MAHARASHTRA</t>
  </si>
  <si>
    <t>INDIAN CERTIFICATE OF SECONDARY EDUCATION (KOLHAPUR)</t>
  </si>
  <si>
    <t>SHAHU DAYANAND HIGH SCHOOL</t>
  </si>
  <si>
    <t>THE MAHARASHTRA STATE BOARD SECONDARY AND HIGHER SECONDARY EDUCATION (KOLHAPUR)</t>
  </si>
  <si>
    <t>KOLHAPUR INSTITUTE OF TECHNOLOGY'S COLLEGE OF ENGINEERING</t>
  </si>
  <si>
    <t>SURAJ ESTATE DEVELOPERS | INTERN | KOLHAPUR, MAHARASHTRA | Jan 2025 | Jun 2025 | 21.571428571429 Weeks</t>
  </si>
  <si>
    <t>REVIT
AUTO CAD</t>
  </si>
  <si>
    <t>P25706023</t>
  </si>
  <si>
    <t>AUM</t>
  </si>
  <si>
    <t>ROKADE</t>
  </si>
  <si>
    <t>Aum Rokade</t>
  </si>
  <si>
    <t>aum.rokade@gmaill.com</t>
  </si>
  <si>
    <t>p25706023@student.nicmar.ac.in</t>
  </si>
  <si>
    <t>7633 6529 5051</t>
  </si>
  <si>
    <t>VINOD ROKADE</t>
  </si>
  <si>
    <t>SUNITA KHADASE</t>
  </si>
  <si>
    <t>CAO, HEALTH DEPARTMENT, AKOLA</t>
  </si>
  <si>
    <t>C/O Sunita Khadse, Flat No. A 04, Plot No-36, Shree Bhagirathi Residency, Shahnoorwadi, Aurangabad, Maharashtra.</t>
  </si>
  <si>
    <t>PODAR INTERNATIONAL SCHOOL (CBSE)</t>
  </si>
  <si>
    <t>AURANGABAD, MAHARASHTRA, INDIA</t>
  </si>
  <si>
    <t>VASANTRAO NAIK MAHAVIDYALAYA</t>
  </si>
  <si>
    <t>DR. BABASAHEB AMBEDKAR TECHNOLOGICAL UNIVERSITY.</t>
  </si>
  <si>
    <t>DEOGIRI INSTITUTE OF ENGINEERING AND MANAGEMENT STUDIES</t>
  </si>
  <si>
    <t>Govardhan Eco-Village | Sustainability Intern | Govardhan Eco-Village, Palghar, Mumbai. | May 2026 | Jul 2026 | 9.5714285714286 Weeks | Campus Internship
S.B.S. &amp; ASSOCIATES | INTERN | AURANGABAD  | Mar 2023 | Jun 2023 | 13.714285714286 Weeks</t>
  </si>
  <si>
    <t>P25706024</t>
  </si>
  <si>
    <t>RAWLE</t>
  </si>
  <si>
    <t>Himanshu Rajendra Rawle</t>
  </si>
  <si>
    <t>himanshurawle@gmail.com</t>
  </si>
  <si>
    <t>p25706024@student.nicmar.ac.in</t>
  </si>
  <si>
    <t>03-Jan-1999</t>
  </si>
  <si>
    <t>Jump Rope,Speed Cubing</t>
  </si>
  <si>
    <t>8928 9031 8764</t>
  </si>
  <si>
    <t>House No.3571, Misal Layout, Behind Old Shiv Temple, Jaripatka, Nagpur_x000D_
Anusaya Niwas</t>
  </si>
  <si>
    <t>BHAVAN'S BHAGWANDAS PUROHIT VIDYA MANDIR CIVIL LINES , NAGPUR</t>
  </si>
  <si>
    <t>CENTRAL BOARD OF SECONDARY EDUCATION , NAGPUR , MAHARASHTRA</t>
  </si>
  <si>
    <t>CENTRE POINT SCHOOL KATOL ROAD , NAGPUR</t>
  </si>
  <si>
    <t>SIR J.J. COLLEGE OF ARCHITECTURE , MUMBAI , MAHARASHTRA</t>
  </si>
  <si>
    <t>AutoCAD,MS Office,MS Project,Primavera,Revit,Naviswork,Photoshop,Lumion,Notion,Sketchup,Twinmotion,Premier Pro,Indesign,Canva</t>
  </si>
  <si>
    <t>SPACE DESIGN ARCHITECTS PLANNER AND INTERIOR DESIGNER | JUNIOR ARCHITECT INTERN | NAVI MUMBAI | Jan 2021 | May 2021 | 16.714285714286 Weeks
HABITROO ARCH SPACE PVT LTD | JUNIOR ARCHITECT AND MANAGEMENT INTERN | PUNE | May 2025 | Jul 2025 | 8.7142857142857 Weeks</t>
  </si>
  <si>
    <t>Exploring Renewable Energy Schemes
Generative AI and ESG
Global Environment Management
Introduction to Generative AI in Human Resource
Master Microsoft Excel Apply, Analyze &amp; Visualize
Renewable Energy Technology Management
ESG Essentials for Sustainable Business
Google Ads for Beginners Coursera Project Network
Foundations of User Experience (UX) Design Google
Autodesk Revit Certified Professional Certification|Autodesk
Autodesk Naviswork|Autodesk
Successful Negotiation: Essential Strategies and Skills|Coursera|University of Michigan
Sales Representative Certification Program|Reliance Foundation|National Skill Development Corporation
BIM Professional Course for Architects and Engineers|Novatr|National Skill Development Corporation</t>
  </si>
  <si>
    <t>P25706025</t>
  </si>
  <si>
    <t>ROHINI</t>
  </si>
  <si>
    <t>WAGHMODE</t>
  </si>
  <si>
    <t>Rohini Tanaji Waghmode</t>
  </si>
  <si>
    <t>rohiniwaghmode13@gmail.com</t>
  </si>
  <si>
    <t>p25706025@student.nicmar.ac.in</t>
  </si>
  <si>
    <t>Marathi , English , Hindi</t>
  </si>
  <si>
    <t>Sports,trekking,traveling,photography,documentation,and organizing team events.</t>
  </si>
  <si>
    <t>5214 2683 1832</t>
  </si>
  <si>
    <t>NEAR WESTEND MALL , AUNDH</t>
  </si>
  <si>
    <t>At Post Tisangi , Taluka - Pandharpur , Dist - Solapur 413304</t>
  </si>
  <si>
    <t>SINHGAD PUBLIC SCHOOL</t>
  </si>
  <si>
    <t>CBSE , PANDHARPUR , MAHARASHTRA</t>
  </si>
  <si>
    <t>ANNASAHEB PATILVA UCCHA VIDYALAY TISANGI , PANDHARPUR , MAHARASHTRA</t>
  </si>
  <si>
    <t>MAHARASHTRA STATE BOARD OF SECONDARY &amp; HIGHER SECONDARY EDUCATION, PANDHARPUR, MAHARASHTRA</t>
  </si>
  <si>
    <t>DR BHANUBEN NANAVATI COLLEGE OF ARCHITECTURE FOR WOMEN</t>
  </si>
  <si>
    <t>AutoCAD,MS Office,MS Project,Primavera,Sketch up,Lumion,enscape,climate consultant,ecotect analysis,canva</t>
  </si>
  <si>
    <t>Meraki Architecture | Junior Architect | Pune | Feb 2025 | Aug 2025 | 0Y 6M | 1.8</t>
  </si>
  <si>
    <t>RenewXpert Solution LLP | Sustainable Energy Management Intern  | Pune  | May 2026 | Jul 2026 | 9.5714285714286 Weeks | Campus Internship
CHANDAN PARAB DESIGNS | INTERN ARCHITECT | GOA | Jun 2023 | Dec 2023 | 26.142857142857 Weeks</t>
  </si>
  <si>
    <t>NATURAL MATERIAL HANDS ON WORKSHOP
VOLLEYBALL TOURNAMENT
COA ARCHITECT LICENSE</t>
  </si>
  <si>
    <t>P25706026</t>
  </si>
  <si>
    <t>MANU</t>
  </si>
  <si>
    <t>Manu R</t>
  </si>
  <si>
    <t>manu.rs08113@gmail.com</t>
  </si>
  <si>
    <t>p25706026@student.nicmar.ac.in</t>
  </si>
  <si>
    <t>08-Nov-2003</t>
  </si>
  <si>
    <t>English,Hindi,Tamil,Kannada</t>
  </si>
  <si>
    <t>2725 5502 8732</t>
  </si>
  <si>
    <t>RAJANI R</t>
  </si>
  <si>
    <t>SAVITHA R</t>
  </si>
  <si>
    <t>19/1,15th Cross,4th Main,LN Puram</t>
  </si>
  <si>
    <t>SRI CHAITANYA PU COLLEGE</t>
  </si>
  <si>
    <t>B.M.S COLLEGE OF ENGINEERING</t>
  </si>
  <si>
    <t>ClimatEngligthen LLP | Research Intern | Remote | May 2026 | Jul 2026 | 9.7142857142857 Weeks | Campus Internship
South Western Railway,Office of the Deputy Chief Engineer(Station Development,Construction Organisation), Bengaluru Cantonment | Student Trainee- Station Development and Construction  | Yeshwanthpur Railway Station | Jul 2024 | Aug 2024 | 4.2857142857143 Weeks</t>
  </si>
  <si>
    <t>P25701001</t>
  </si>
  <si>
    <t>RACHANA</t>
  </si>
  <si>
    <t>SREEKUMAR</t>
  </si>
  <si>
    <t>Rachana Sreekumar</t>
  </si>
  <si>
    <t>rachanascivil@gmail.com</t>
  </si>
  <si>
    <t>p25701001@student.nicmar.ac.in</t>
  </si>
  <si>
    <t>22-May-2003</t>
  </si>
  <si>
    <t>English, Tamil, Malayalam, Hindi</t>
  </si>
  <si>
    <t>8498 1502 2705</t>
  </si>
  <si>
    <t>B SREEKUMAR</t>
  </si>
  <si>
    <t>K P JAYA</t>
  </si>
  <si>
    <t>No.3 Anjana 4th Main Road Vijaya Nagar Velachery Chennai - 600042</t>
  </si>
  <si>
    <t>DAV SCHOOL ADAMBAKKAM</t>
  </si>
  <si>
    <t>CENTRAL BOARD OF SECONDARY EDUCATION (CHENNAI /TAMILNADU)</t>
  </si>
  <si>
    <t>CHETTINAD VIDYASHRAM</t>
  </si>
  <si>
    <t>ANNA UNIVERSITY (CEG CAMPUS)</t>
  </si>
  <si>
    <t>COLLEGE OF ENGINEERING GUINDY, CHENNAI. TAMILNADU</t>
  </si>
  <si>
    <t>AutoCAD, MS Office, MS Project, Primavera</t>
  </si>
  <si>
    <t>KPMG India | Intern - Major Project Advisory (MPA) team | Bangalore | May 2026 | Jun 2026 | 7.5714285714286 Weeks | Campus Internship
BAASHYAAM CONSTRUCTIONS | SITE WORK | Chennai | May 2024 | Jun 2024 | 4.2857142857143 Weeks
INDIAN INSTITUTE OF TECHNOLOGY, MADRAS (IIT-M) | Lab work assistance | Chennai | Jun 2023 | Jul 2023 | 4.2857142857143 Weeks</t>
  </si>
  <si>
    <t>Certificate of Completion (Udemy) - The Project Management Course - Beginner to PROject Manager
Certificate of Completion (Udemy )- Managerial Economics - Effective Business Decisionmaking
Certificate of Achievement - Udbhav 2025 - Transmission_404
Certificate of Achievement - Udbhav 2025 - Riot Pulse
National Sports Organization (NSO) Certification
NPTEL Certification - Strategic Communication for Sustainable Development
Letter of Appointment - Pixels, The Photography and Videography club of CEG - Head of Contents
Letter of Appointment - CEG Tech Forum - Organizer in Marketing domain
Indian Concrete Institute (ICI) Student Member certificate
Certificate of Completion - Employability Skills Development Training Programme
Certificate of Merit - Thiru C.R Ramamoorthy Memorial Endowment award for highest mark in Irrigation Engineering
Certificate of Attendance - World Conference on Earthquake Engineering (WCEE) 2024 at Milan, Italy
Certificate of Participation -  International Conference on Construction Materials and Structures (ICCMS) 2025 conducted by IIT Tirupati
Certificate of Participation - National Essay Writing Competition 2024 on the occasion of Audit Diwas.
Certificate of Participation - Construction Technologies for Sustainable Infrastructure (CTSI) Workshop conducted by IIT Madras
Certificate of Appreciation - The Literary Club of Anna University - Member of Social Media and Contents Domain
Certificate of Appreciation - The Guindy Times - Member
Certificate of Appreciation - Society of Civil Engineers (SCE) Executive Member
Certificate of Appreciation - Volunteer in ICCRIP 2025 as Master of Ceremonies (MC) for Inaugural ceremony
Certificate of Merit - Best Project VII Semester (B.E Civil Engineering) - Krishnaswamy Mohan Memorial Endowment Award
Certificate of Completion - Lean Six sigma Green Belt (LSSGB) Certification Programme offered by KPMG
Certificate of Participation - International Conference on Construction, Real Estate, Infrastructure and Project Management (ICCRIP) 2025 conducted by NICMAR University, Pune</t>
  </si>
  <si>
    <t>P25701002</t>
  </si>
  <si>
    <t>KOTKAR</t>
  </si>
  <si>
    <t>Aniruddha Rajendra Kotkar</t>
  </si>
  <si>
    <t>kotkaraniruddha@gmail.com</t>
  </si>
  <si>
    <t>p25701002@student.nicmar.ac.in</t>
  </si>
  <si>
    <t>14-Jul-2001</t>
  </si>
  <si>
    <t>9307 6764 0442</t>
  </si>
  <si>
    <t>FIRE OFFICER</t>
  </si>
  <si>
    <t>PARNIKA</t>
  </si>
  <si>
    <t>16/B, Damayanti Niwas, Behind Vitthal Mandir, Vitawa Koliwada, Belapur Road, Thane, Post-Kalwa.</t>
  </si>
  <si>
    <t>SHIV SAMARTH VIDYALAYA, THANE.</t>
  </si>
  <si>
    <t>MAHARASHTRA STATE BOARD OF SECONDARY AND HIGHER SECONDARY EDUCATION, PUNE WITH THANE.</t>
  </si>
  <si>
    <t>V.G. VAZE COLLEGE OF ARTS, SCIENCE AND COMMERCE, MULUND EAST, MUMBAI.</t>
  </si>
  <si>
    <t>MAHATMA GANDHI MISSION'S COLLEGE OF ENGINEERING &amp; TECHNOLOGY, KAMOTHE, NAVI MUMBAI.</t>
  </si>
  <si>
    <t>AutoCAD,MS Office,MS Project,STAAD.Pro,ERP,Revit</t>
  </si>
  <si>
    <t>Unique Concrete Technologies Pvt. Ltd. | Site Engineer | Koparkhairane, Navi Mumbai | Jun 2023 | Jan 2025 | 1Y 7M | 3</t>
  </si>
  <si>
    <t>PSP Projects Limited | Civil Intern | International Airport Terminal 1, Vile Parle Mumbai 400099 | May 2026 | Jul 2026 | 8.7142857142857 Weeks | Campus Internship
G.R. Engineering Pvt. Ltd. | Junior Site Engineer | Piramal Revanta, Mulund, Mumbai | Sep 2022 | May 2023 | 38.857142857143 Weeks</t>
  </si>
  <si>
    <t>AutoCAD
Maharastra State Certificate in Information Technology (MS-CIT)
Microsoft Project Cource 2016, 2019, 2021 6 PDUs
Coursera- Managing Project Risks and Changes
Coursera- Project Management- The Basics for Sucess
Coursera - Introduction to Corporate Finance</t>
  </si>
  <si>
    <t>P25701003</t>
  </si>
  <si>
    <t>SANDIP</t>
  </si>
  <si>
    <t>THORAT</t>
  </si>
  <si>
    <t>Shreyas Sandip Thorat</t>
  </si>
  <si>
    <t>shreyas.291203@gmail.com</t>
  </si>
  <si>
    <t>p25701003@student.nicmar.ac.in</t>
  </si>
  <si>
    <t>29-Dec-2003</t>
  </si>
  <si>
    <t>Singing,Guitar,Basketball</t>
  </si>
  <si>
    <t>8584 6479 7004</t>
  </si>
  <si>
    <t>SANDEEP THORAT</t>
  </si>
  <si>
    <t>SANDHYA THORAT</t>
  </si>
  <si>
    <t>B-14, Emirates Hills, Somatne Phata, Talegaon Dabhade, Maval, Pune - 410506</t>
  </si>
  <si>
    <t>INDIRA NATIONAL SCHOOL, TATHAWADE, PUNE</t>
  </si>
  <si>
    <t>CENTRAL BOARD OF SECONDARY EDUCATION, PUNE, MAHARASHTRA</t>
  </si>
  <si>
    <t>MODERN COLLEGE OF ARTS, SCIENCE AND COMMERCE, SHIVAJINAGAR, PUNE</t>
  </si>
  <si>
    <t>PIMPRI CHINCHWAD COLLEGE OF ENGINEERING &amp; RESEARCH, PUNE</t>
  </si>
  <si>
    <t>AutoCAD,MS Office,MS Project,Primavera,Matlab Simulink,Candy</t>
  </si>
  <si>
    <t>ASCENT SURVEY | SURVEY INTERN | KHOPOLI, MAHARASHTRA | Jun 2024 | Jul 2024 | 4.1428571428571 Weeks
Know How Institute | Trainee | Akurdi, Pune | Dec 2023 | Jan 2024 | 3.7142857142857 Weeks</t>
  </si>
  <si>
    <t>HIT-OFFICE CERTIFICATION
Certificate of Completion - Hydraulic and Mathematical Modeling of Spillway and Hydraulic Structures organized by Central Water and Power Research Station (CWPRS), Pune
Certificate of Participation - AI Innovations and MATLAB Solutions (International FDP) conducted by Pimpri Chinchwad College of Engineering &amp; Research, Ravet
Certificate of Completion - Overview of Space Science and Technology organized by ISRO
Certificate of Participation - Geospatial Technology for Climate-Smart Agriculture organized by ISRO
Certificate of Completion (Coursera) - Microeconomics Principles authorized by University of Illinois Urbana-Champaign
Certificate of Completion (Coursera) - Introduction to Corporate Finance authorized by University of Pennsylvania
Certificate of Completion (Coursera) - Project Management: The Basics for Success authorized by University of California, Irvine
Certificate of Completion - Business Analytics Program conducted by Finlatics</t>
  </si>
  <si>
    <t>P25701004</t>
  </si>
  <si>
    <t>ZAYEEM</t>
  </si>
  <si>
    <t>SHARIEF</t>
  </si>
  <si>
    <t>Zayeem Sharief</t>
  </si>
  <si>
    <t>zayeemsharief@gmail.com</t>
  </si>
  <si>
    <t>p25701004@student.nicmar.ac.in</t>
  </si>
  <si>
    <t>24-May-2002</t>
  </si>
  <si>
    <t>4841 4471 0513</t>
  </si>
  <si>
    <t>MASTAN SHARIEF</t>
  </si>
  <si>
    <t>BUSINESSMAN, LANDLORD AND AGRICULTURIST</t>
  </si>
  <si>
    <t>SYEDA THASNIM BANU</t>
  </si>
  <si>
    <t>Block - A1, Flat No - 1201, Mahaveer Riviera Apartment, 24th Main Road,  J.P Nagar 5th Phase, Bengaluru-560078</t>
  </si>
  <si>
    <t>BISHOP COTTON BOYS' SCHOOL</t>
  </si>
  <si>
    <t>INDIAN CERTIFICATE OF SECONDARY EDUCATION, NEW DELHI</t>
  </si>
  <si>
    <t>DAYANANDA SAGAR ACADEMY OF TECHNOLOGY AND MANAGEMENT, BENGALURU, KARNATAKA</t>
  </si>
  <si>
    <t>AutoCAD,MS Office,MS Project,Primavera,POWER BI,CANDY,IBM SPSS Statistcs,@RISK</t>
  </si>
  <si>
    <t>Reddy Structures Pvt. Ltd. | Project Development Intern | Bengaluru | May 2026 | Jul 2026 | 8.7142857142857 Weeks | Campus Internship
CUSHMAN AND WAKEFIELD | PROJECT INTERN, SITE ENGINEER | BIRLA ALOKYA, WHITEFILED | Sep 2024 | Nov 2024 | 8.7142857142857 Weeks</t>
  </si>
  <si>
    <t>P25701005</t>
  </si>
  <si>
    <t>KAAVYA</t>
  </si>
  <si>
    <t>MAANSI</t>
  </si>
  <si>
    <t>Kaavya Maansi</t>
  </si>
  <si>
    <t>thisismaansikam20@gmail.com</t>
  </si>
  <si>
    <t>p25701005@student.nicmar.ac.in</t>
  </si>
  <si>
    <t>20-Jul-2001</t>
  </si>
  <si>
    <t>ENGLISH, TAMIL, HINDI</t>
  </si>
  <si>
    <t>2871 5103 1520</t>
  </si>
  <si>
    <t>C MADHAN KUMAR</t>
  </si>
  <si>
    <t>PASSED AWAY</t>
  </si>
  <si>
    <t>RADHIKA S</t>
  </si>
  <si>
    <t>32 A, Bryant Nagar, 4th Street Middle, Thoothukkudi</t>
  </si>
  <si>
    <t>Thoothukudi</t>
  </si>
  <si>
    <t>THE VIKASA SCHOOL, THOOTHUKKUDI</t>
  </si>
  <si>
    <t>COUNCIL FOR INDIAN CERTIFICATE EXAMINATIONS, NEW DELHI</t>
  </si>
  <si>
    <t>INDIAN SCHOOL CERTIFICATE EXAMINATION, NEW DELHI</t>
  </si>
  <si>
    <t>ANNA UNIVERSITY, CHENNAI</t>
  </si>
  <si>
    <t>MOHAMED SATHAK A.J. ACADEMY OF ARCHITECTURE, CHENNAI, TAMIL NADU</t>
  </si>
  <si>
    <t>Primavera P6 | Microsoft Project | Microsoft Office | AutoCAD | Autodesk Revit | SketchUp | Navisworks Manage | Candy (CCS Candy) | Lumion | Twinmotion | Enscape | Adobe Photoshop | AI Tools</t>
  </si>
  <si>
    <t>ECONSTRUCT DESIGN &amp; BUILD PVT. LTD. | PROJECT MANAGEMENT INTERN &amp; BUSINESS ANALYST | BANGALORE | May 2026 | Jun 2026 | 8.1428571428571 Weeks | Campus Internship
LARSEN AND TOUBRO LIMITED | ARCHITECT | MANAPAKKAM, CHENNAI | Jul 2023 | Nov 2023 | 17.571428571429 Weeks</t>
  </si>
  <si>
    <t xml:space="preserve">Be 10X WORKSHOP
TASA - CERTIFIED COURSE (SKETCH UP)
COA - CERTIFICATE OF REGISTRATION
AUTODESK CERTIFICATION - NAVISWORKS MANAGE
AUTODESK CERTIFICATION - REVIT
COURSERA - PROJECT MANAGEMENT: THE BASICS FOR SUCCESS
COURSERA - INTRODUCTION TO CORPORATE FINANCE
NPTEL - MODERN INDIAN ARCHITECTURE
NOVATR - BIM PROFESSIONAL COURSE FOR ARCHITECTS
NSDC Certificate
ANNA UNIVERSITY RANK HOLDER
ALUMINI CERTIFICATE OF ACHIEVEMENT </t>
  </si>
  <si>
    <t>P25701007</t>
  </si>
  <si>
    <t>Yash Pravin Sonar</t>
  </si>
  <si>
    <t>yashsonar0101@gmail.com</t>
  </si>
  <si>
    <t>p25701007@student.nicmar.ac.in</t>
  </si>
  <si>
    <t>01-Sep-2001</t>
  </si>
  <si>
    <t>3254 5005 3230</t>
  </si>
  <si>
    <t>Flat No. 301, Plot No. 382, Datta Prasanna Apartment Near Datta Mandir, Sai Section,_x000D_
Ambarnath City</t>
  </si>
  <si>
    <t>SMT SUHASINI PRABHAKAR ADHIKARI MADHYAMIK VIDHYALAY</t>
  </si>
  <si>
    <t>MAHARASTRA STATE BOARD OF SECONDARY AND HIGHER SECONDARY EDUCATION, AMBERNATH/MAHARASTRA</t>
  </si>
  <si>
    <t>NEW ENGLISH HIGH SCHOOL AND JUNIOR COLLEGE</t>
  </si>
  <si>
    <t>MAHARASTRA STATE BOARD OF SECONDARY AND HIGHER SECONDARY EDUCATION, ULHASNAGAR/MAHARASTRA</t>
  </si>
  <si>
    <t>S.H. JONDHALE POLYTECHNIC, DOMBIVLI/MAHARASTRA</t>
  </si>
  <si>
    <t>MAHARASTRA INSTITUTE OF TECHNOLOGY WORLD PEACE UNIVERSITY, PUNE/MAHARASTRA</t>
  </si>
  <si>
    <t>Primavera P6, MS Project, Microsoft Excel, SAP, MS Office, AutoCAD</t>
  </si>
  <si>
    <t>SHAPOORJI PALLONJI AND COMPANY PRIVATE LIMITED | Graduate Engineer Trainee (Civil) | Kandivali, Mumbai  | Aug 2024 | Dec 2024 | 0Y 4M | 3.75</t>
  </si>
  <si>
    <t>NEW CONSOLIDATED CONSTRUCTION CO. LTD. | Civil Engineer Intern  | Seawoods, Navi Mumbai  | May 2026 | Jul 2026 | 8.7142857142857 Weeks | Campus Internship
PARANJAPE SCHEMES (CONSTRUCTION) LIMITED | Civil Engineer Intern  | Wakad, Pune  | Feb 2024 | May 2024 | 14.857142857143 Weeks</t>
  </si>
  <si>
    <t xml:space="preserve">Oracle Primavera P6 
Microsoft Project 
Autodesk AutoCAD </t>
  </si>
  <si>
    <t>P25701008</t>
  </si>
  <si>
    <t>AHAN</t>
  </si>
  <si>
    <t>Ahan Ketan Vaidya</t>
  </si>
  <si>
    <t>architectahanvaidya@gmail.com</t>
  </si>
  <si>
    <t>p25701008@student.nicmar.ac.in</t>
  </si>
  <si>
    <t>4921 3416 8548</t>
  </si>
  <si>
    <t>KETAN PRABHAKAR VAIDYA</t>
  </si>
  <si>
    <t>JAYALI KETAN VAIDYA</t>
  </si>
  <si>
    <t>DENTAL SURGEON</t>
  </si>
  <si>
    <t>B-2001,IMPERIAL HEIGHTS,NEAR BEST COLONY,GOREGAON (WEST),MUMBAI-400104</t>
  </si>
  <si>
    <t>JANKIDEVI PUBLIC SCHOOL</t>
  </si>
  <si>
    <t>SVKM'S MITHIBAI COLLEGE OF ARTS, CHAUHAN INSTITUTE OF SCIENCE AND AMRUTBEN JIVANLAL COLLEGE OF COMMERCE AND ECONOMICS</t>
  </si>
  <si>
    <t>THAKUR SCHOOL OF ARCHITECTURE AND PLANNING, MUMBAI</t>
  </si>
  <si>
    <t>AutoCAD,MS Office,MS Project,Sketchup,Photoshop,Archicad,Lumion</t>
  </si>
  <si>
    <t>Ketan Vaidya Associates |  Architect-Project Planning &amp; Liasoning | MUMBAI | Jun 2023 | May 2025 | 1Y 11M | 3.84</t>
  </si>
  <si>
    <t>Colliers  | Technical Advisory-Intern | MUMBAI | May 2026 | Jul 2026 | 8.5714285714286 Weeks | Campus Internship
Ingrain | Architectural intern | MUMBAI | Nov 2021 | Apr 2022 | 20.285714285714 Weeks</t>
  </si>
  <si>
    <t>Real Estate Development and Management</t>
  </si>
  <si>
    <t>P25701009</t>
  </si>
  <si>
    <t>MUKUNDRAJ</t>
  </si>
  <si>
    <t>ANVIKAR</t>
  </si>
  <si>
    <t>Varun Mukundraj Anvikar</t>
  </si>
  <si>
    <t>varun.m.anvikar@gmail.com</t>
  </si>
  <si>
    <t>p25701009@student.nicmar.ac.in</t>
  </si>
  <si>
    <t>27-Oct-1999</t>
  </si>
  <si>
    <t>9150 0745 8762</t>
  </si>
  <si>
    <t>MUKUNDRAJ CHANDRAKANT ANVIKAR</t>
  </si>
  <si>
    <t>MADHURA MUKUNDRAJ ANVIKAR</t>
  </si>
  <si>
    <t>CLINICAL PSYCHOLOGIST</t>
  </si>
  <si>
    <t>401, Sakhamai Sadan, Plot No.51, Behind Green Olive Hotel, Bhagyanagar, Chhatrapati Sambhajinagar</t>
  </si>
  <si>
    <t>NATH VALLEY SCHOOL</t>
  </si>
  <si>
    <t>CBSE - AURANGABAD/MAHARASHTRA</t>
  </si>
  <si>
    <t>SMEF'S BRICK SCHOOL OF ARCHITECTURE, PUNE/MAHARASHTRA</t>
  </si>
  <si>
    <t>AutoCAD,SketchUp,Photoshop,Rhino,Enscape,Lumion,InDesign,Revit,Primavera,coral,MS Project,Excel,MS Office</t>
  </si>
  <si>
    <t>Kasturi Kulkarni and Associates | Junior Architect | Aurangabad | Apr 2024 | Jun 2025 | 1Y 2M | 2.52</t>
  </si>
  <si>
    <t>Pidilite Industries Limited | Summer Intern at Pidilite Professional Solutions Division | Pune | May 2026 | Jun 2026 | 7.5714285714286 Weeks | Campus Internship
DAISARIA ASSOCIATES | INTERN ARCHITECT | MUMBAI | Jun 2021 | Nov 2021 | 25.285714285714 Weeks</t>
  </si>
  <si>
    <t>P25701010</t>
  </si>
  <si>
    <t>Arnav Soni</t>
  </si>
  <si>
    <t>soni.arnav@gmail.com</t>
  </si>
  <si>
    <t>p25701010@student.nicmar.ac.in</t>
  </si>
  <si>
    <t>English, Hindi, German (CEFR A1)</t>
  </si>
  <si>
    <t>7216 3978 6333</t>
  </si>
  <si>
    <t>VISHAL SONI</t>
  </si>
  <si>
    <t>EXECUTIVE ENGINEER</t>
  </si>
  <si>
    <t>PRABHA SONI</t>
  </si>
  <si>
    <t>36 Pula, Vrij Vihar, Near RK Circle, Udaipur</t>
  </si>
  <si>
    <t>Udaipur</t>
  </si>
  <si>
    <t>MAHARAHA MEWAR PUBLIC SCHOOL</t>
  </si>
  <si>
    <t>CENTRAL BOARD OF SECONDARY EDUCATION, UDAIPUR, RAJASTHAN</t>
  </si>
  <si>
    <t>MAHARANA MEWAR PUBLIC SCHOOL</t>
  </si>
  <si>
    <t>MUGNEERAM BANGUR MEMORIAL UNIVERSITY</t>
  </si>
  <si>
    <t>MUGNEERAM BANGUR MEMORIAL COLLEGE, JODHPUR, RAJASTHAN</t>
  </si>
  <si>
    <t>AutoCAD,MS Office,MS Project,Primavera,Revit,Rhino,Airtable,Navisworks,Recap Pro,SAP</t>
  </si>
  <si>
    <t>Shantanu Sharma and Associates | Junior Architect | Udaipur | Apr 2023 | Apr 2024 | 1Y 0M | 1.44
Techture Structures Pvt. Ltd. | Junior BIM Architect | Indore | May 2024 | Mar 2025 | 0Y 10M | 3.33</t>
  </si>
  <si>
    <t>Ahluwalia Contracts (India) Limited | Project Management Intern | Gurugram | May 2026 | Jun 2026 | 8.1428571428571 Weeks | Campus Internship
Venugopal and Associates | Architectural Intern | Udaipur | Oct 2021 | Mar 2022 | 25 Weeks</t>
  </si>
  <si>
    <t>Indian Green Building Council - Accredited Professional
Building Information Modelling - Structure and Architecture
Lean Six Sigma - Green Belt [KPMG]
Applied Statistics and Data Analysis</t>
  </si>
  <si>
    <t>P25701011</t>
  </si>
  <si>
    <t>MEET</t>
  </si>
  <si>
    <t>Meet Sanjay Patel</t>
  </si>
  <si>
    <t>meetpatel5811@gmail.com</t>
  </si>
  <si>
    <t>p25701011@student.nicmar.ac.in</t>
  </si>
  <si>
    <t>06-Jul-2000</t>
  </si>
  <si>
    <t>ENGLISH, HINDI, MARATHI GUJARATI</t>
  </si>
  <si>
    <t>4698 2626 8026</t>
  </si>
  <si>
    <t>SANJAY PATEL</t>
  </si>
  <si>
    <t>MANISHA PATEL</t>
  </si>
  <si>
    <t>F-2, Silver Leaf Appartment, Tirthrup Nagar, Chawhan Colony, Near W.C.L. Quarter, CHANDRAPUR</t>
  </si>
  <si>
    <t>ST. MICHAELâ€™S SCHOOL, CHANDRAPUR</t>
  </si>
  <si>
    <t>BAJAJ CHANDRAPUR POLYTECHNIC, CHANDRAPUR</t>
  </si>
  <si>
    <t>SINHGAD INSTITUTE OF TECHNOLOGY, LONAVALA</t>
  </si>
  <si>
    <t>Majestic Realties | HR Operations &amp; Project Coordination Intern | pune | May 2026 | Jun 2026 | 7.7142857142857 Weeks | Campus Internship
Hani Enterprises | Operation and Maintenance Executive | Chandrapur | Jul 2022 | Jun 2025 | 154.42857142857 Weeks</t>
  </si>
  <si>
    <t>Project Management: The Basics for Success
Introduction to Corporate Finance</t>
  </si>
  <si>
    <t>P25701013</t>
  </si>
  <si>
    <t>AKANKSHA</t>
  </si>
  <si>
    <t>Akanksha Avinash Patil</t>
  </si>
  <si>
    <t>akankshapatil1449@gmail.com</t>
  </si>
  <si>
    <t>p25701013@student.nicmar.ac.in</t>
  </si>
  <si>
    <t>14-Apr-1999</t>
  </si>
  <si>
    <t>English,Hindi,Marathi, Kannada</t>
  </si>
  <si>
    <t>Reading,Traveling</t>
  </si>
  <si>
    <t>5699 3975 1939</t>
  </si>
  <si>
    <t>AVINASH PATIL</t>
  </si>
  <si>
    <t>PADMA A. PATIL</t>
  </si>
  <si>
    <t>103, 18 LATTITUDE PHASE 2 GAIKWAD NAGAR PUNAWALE_x000D_</t>
  </si>
  <si>
    <t>5th Floor Iris Apartment Karandemala Kolhapur</t>
  </si>
  <si>
    <t>NEW MODEL ENGLISH SCHOOL</t>
  </si>
  <si>
    <t>MAHAVEER COLLEGE, KOLHAPUR</t>
  </si>
  <si>
    <t>D.Y. PATIL SCHOOL OF ARCHITECTURE, KOLHAPUR.</t>
  </si>
  <si>
    <t>AutoCAD,MS Office,MS Project,Primavera,Sketchup,Lumion,Twinmotion,3Ds Max,Photoshop,Revit,Naviswork</t>
  </si>
  <si>
    <t>Meinhardt EPCM | Junior Manager Architect | Bengaluru | Aug 2022 | Nov 2024 | 2Y 3M | 3.5</t>
  </si>
  <si>
    <t>Architecture Rushikesh H. | Project management intern | Pune | May 2026 | Jul 2026 | 9.5714285714286 Weeks | Campus Internship
PRASHANT S HADKAR CONSULTING ENGINEER | ARCHITECT | KOLHAPUR | Apr 2025 | May 2025 | 8.5714285714286 Weeks
SACHIN GAIKWAD ARCHITECT, INTERIOR DESIGNER AND LANDSCAPE CONSULTANT | TRAINEE | KOLHAPUR | Sep 2021 | Jan 2022 | 18 Weeks</t>
  </si>
  <si>
    <t>Introduction to Corporate Finance
Project Management: The Basics for Success</t>
  </si>
  <si>
    <t>P25701014</t>
  </si>
  <si>
    <t>AGAM</t>
  </si>
  <si>
    <t>WADHWA</t>
  </si>
  <si>
    <t>Agam Wadhwa</t>
  </si>
  <si>
    <t>agamwadhwa8@gmail.com</t>
  </si>
  <si>
    <t>p25701014@student.nicmar.ac.in</t>
  </si>
  <si>
    <t>26-May-2002</t>
  </si>
  <si>
    <t>PUNJABI, HINDI, MARATHI, ENGLISH</t>
  </si>
  <si>
    <t>9389 1168 1928</t>
  </si>
  <si>
    <t>NEERAJ</t>
  </si>
  <si>
    <t>SHIVANI</t>
  </si>
  <si>
    <t>BPH 205, PREM NAGAR APARTMENT_x000D_
NEAR JAIN TEMPLE, MALEGAON ROAD, TARODA KH. NANDED</t>
  </si>
  <si>
    <t>Jasmine 131, L&amp;T Serene County, Telecom Nagar, Gachibowli, Hyderabad</t>
  </si>
  <si>
    <t>GYAN MATA VIDYA VIHAR</t>
  </si>
  <si>
    <t>CENTRAL BOARD OF SECONDARY EDUCATION (NANDED)</t>
  </si>
  <si>
    <t>KIDS' KINGDOM PUBLIC SCHOOL</t>
  </si>
  <si>
    <t>PRESIDENCY UNIVERSITY</t>
  </si>
  <si>
    <t>PRESIDENCY UNIVERSITY BENGALURU</t>
  </si>
  <si>
    <t>MS Office,MS Project,Primavera,Power BI,Tableau,SAP</t>
  </si>
  <si>
    <t>Titus Harris Construction | Project Operations Associate  | Udupi, Karnataka | May 2024 | Jun 2025 | 1Y 1M | 2.4</t>
  </si>
  <si>
    <t>ONESUBSEA | PMO INTERN | PUNE, MAHARASHTRA | May 2026 | Jul 2026 | 8.5714285714286 Weeks | Campus Internship
Huanar | Marketing Head Intern | Bengaluru | Mar 2023 | Jun 2023 | 13.142857142857 Weeks</t>
  </si>
  <si>
    <t>P25701015</t>
  </si>
  <si>
    <t>ASHOOTOSH</t>
  </si>
  <si>
    <t>Ashootosh Sanjay Patil</t>
  </si>
  <si>
    <t>ashootoshpatil@gmail.com</t>
  </si>
  <si>
    <t>p25701015@student.nicmar.ac.in</t>
  </si>
  <si>
    <t>05-Oct-2001</t>
  </si>
  <si>
    <t>5524 4223 3623</t>
  </si>
  <si>
    <t>SANJAY PATIL</t>
  </si>
  <si>
    <t>CHARULATA</t>
  </si>
  <si>
    <t>405 Venkatesh Park C Wing,_x000D_
Near Shree Complex, Adharwadi, Kalyan West</t>
  </si>
  <si>
    <t>SACRED HEART SCHOOL, KALYAN</t>
  </si>
  <si>
    <t>SHRI NARAYANDAS TEJKARAN MUNDADA SECONDARY &amp; HIGHER SECONDARY SCHOOL AMALNER</t>
  </si>
  <si>
    <t>LOKMANYA TILAK INSTITUTE OF ARCHITECTURE AND DESIGN STUDIES</t>
  </si>
  <si>
    <t>AutoCAD,MS Office,MS Project,Primavera,Revit,D5,Twinmotion,Lumion,Photoshop,Sketchup</t>
  </si>
  <si>
    <t>Nudes Architecture | Intern | Lower Parel, Mumbai | May 2026 | Jul 2026 | 9.7142857142857 Weeks | Campus Internship
ARCHITECT HAFEEZ CONTRACTOR | INTERN ARCHITECT | MUMBAI | Nov 2023 | Mar 2024 | 16.571428571429 Weeks</t>
  </si>
  <si>
    <t>BIM, PHOTOSHOP, SKETCHUP, LUMION, REVIT, AUTOCAD 2D &amp; 3D</t>
  </si>
  <si>
    <t>P25701016</t>
  </si>
  <si>
    <t>SURABHI</t>
  </si>
  <si>
    <t>Surabhi Singh</t>
  </si>
  <si>
    <t>surabhi.ils13@gmail.com</t>
  </si>
  <si>
    <t>p25701016@student.nicmar.ac.in</t>
  </si>
  <si>
    <t>6507 6908 8264</t>
  </si>
  <si>
    <t>JAI PRAKASH SINGH</t>
  </si>
  <si>
    <t>GUNJAN SINGH</t>
  </si>
  <si>
    <t>C136, San Tropez, Madrid County, Bhayli, Vasna, Vadodara, Gujarat</t>
  </si>
  <si>
    <t>NAVRACHANA INTERNATIONAL SCHOOL BHAYALI VADODARA</t>
  </si>
  <si>
    <t>INDIAN LANGUAGE SCHOOL LAGOS NIGERIA</t>
  </si>
  <si>
    <t>MANIPAL SCHOOL OF ARCHITECTURE AND PLANNING MANIPAL, KARNATAKA</t>
  </si>
  <si>
    <t>AutoCAD,MS Project,MS PowerPoint,Canva,Revit,Twinmotion,MS Exel</t>
  </si>
  <si>
    <t>Table space constructions Pvt. Ltd. | Project intern  | Bangalore  | May 2026 | Jul 2026 | 8.5714285714286 Weeks | Campus Internship
Geo Designs And Research PVT. LTD | Professional Trainee | Vadodara, Gujarat | Dec 2023 | May 2024 | 25.857142857143 Weeks</t>
  </si>
  <si>
    <t>P25701017</t>
  </si>
  <si>
    <t>Rishika Sharma</t>
  </si>
  <si>
    <t>rishika.seju@gmail.com</t>
  </si>
  <si>
    <t>p25701017@student.nicmar.ac.in</t>
  </si>
  <si>
    <t>25-Mar-2000</t>
  </si>
  <si>
    <t>2052 7646 3202</t>
  </si>
  <si>
    <t>SUSHMESH SHARMA</t>
  </si>
  <si>
    <t>POONAM SHARMA</t>
  </si>
  <si>
    <t>A3-103, NYATI ESTEBAN, UNDRI MARG, UNDRI.</t>
  </si>
  <si>
    <t>A5-21, Solace Park, BT Kawade Road</t>
  </si>
  <si>
    <t>THE BISHOP'S CO-ED SCHOOL, UNDRI</t>
  </si>
  <si>
    <t>THE BISHOP'S SCHOOL, CAMP</t>
  </si>
  <si>
    <t>MIT SCHOOL OF MANAGEMENT</t>
  </si>
  <si>
    <t>MS Office,MS Project,Primavera,MS EXCEL,SPSS,MS POWERPOINT,CANDY</t>
  </si>
  <si>
    <t>Scalene Works | Consultant - Capgemini | Pune | Apr 2021 | Feb 2022 | 0Y 10M | 3
Capgemini | Business Unit Staffing Partner | Pune | Feb 2022 | Oct 2022 | 0Y 8M | 3.75
Accenture | Talent Fulfillment Associate | Pune | Oct 2022 | Sep 2023 | 0Y 10M | 6.4
Erecon Spaces | Assistant Manager-Process Integration | Pune | Feb 2024 | Jun 2025 | 1Y 3M | 7.2</t>
  </si>
  <si>
    <t>P25701018</t>
  </si>
  <si>
    <t>Vedant Anil Mahajan</t>
  </si>
  <si>
    <t>vedant6492@gmail.com</t>
  </si>
  <si>
    <t>p25701018@student.nicmar.ac.in</t>
  </si>
  <si>
    <t>6539 5034 5886</t>
  </si>
  <si>
    <t>NICMAR UNIVERSITY, ULTIMA HOSTEL, N.I.A, BALEWADI RD, RAM NAGAR, BANER, PUNE</t>
  </si>
  <si>
    <t>Dena Nagar Pushpa Appartment Plot No 8 Beside Arihant Appartment Back Side Of Bhole Petrol Pump, Bhusawal.</t>
  </si>
  <si>
    <t>MAHARANA PRATAP VIDYALAYA, BHUSAWAL.</t>
  </si>
  <si>
    <t>MAHARASTRA STATE BOARD OF SECOUNDARY AND HIGHER SECOUNDARY  EDUCATION, PUNE</t>
  </si>
  <si>
    <t>DADASAHEB DEVIDAS NAMDEO BHOLE COLLEGE, BHUSAWAL.</t>
  </si>
  <si>
    <t>MAHARASTRA STATE BOARD OF SECOUNDARY AND HIGHER SECOUNDARY EDUCATION, PUNE</t>
  </si>
  <si>
    <t>SINHGAD COLLEGE OF ENGINEERING, PUNE.</t>
  </si>
  <si>
    <t>AutoCAD,MS Office,MS Project,3d Civil,MS Excel,Revit,Work Breakdown Structure (WBS),Project Scheduling &amp; Tracking,Gantt Charts | Progress Measurement,Risk and Issue Tracking</t>
  </si>
  <si>
    <t>Nyati Group | Project management intern | Pune | May 2026 | Jul 2026 | 9 Weeks | Campus Internship
EVEREST  Constructions &amp; Developers | Intern Site Engineer | Bhusawal | Jul 2024 | Jan 2025 | 30.571428571429 Weeks
M/S VINODKUMAR MOHANLAL JADAWANI (RAILWAY CONTRACTOR) | Intern  | Bhusawal  | Jan 2023 | Feb 2023 | 3.8571428571429 Weeks</t>
  </si>
  <si>
    <t>P25701020</t>
  </si>
  <si>
    <t>NIMISHA</t>
  </si>
  <si>
    <t>POWALE</t>
  </si>
  <si>
    <t>Nimisha Shailesh Powale</t>
  </si>
  <si>
    <t>powalenimisha@gmail.com</t>
  </si>
  <si>
    <t>p25701020@student.nicmar.ac.in</t>
  </si>
  <si>
    <t>Theatre and drama performances,Painting and sketching,Networking and interacting with new people,Exploring art and design and market trends,Travel and cultural exploration,Indian history and heritage</t>
  </si>
  <si>
    <t>6760 0170 4045</t>
  </si>
  <si>
    <t>SHAILESH MANOHAR POWALE</t>
  </si>
  <si>
    <t>BHAGYASHREE SHAILESH POWALE</t>
  </si>
  <si>
    <t>PATHOLOGIST</t>
  </si>
  <si>
    <t>B-25/26, Parijat Chs, Gunsagar Nagar Near Station Road, Kalwa West, Thane. 400605</t>
  </si>
  <si>
    <t>JNAN VIKAS MANDAL'S NEW ENGLISH SCHOOL, KALWA, THANE</t>
  </si>
  <si>
    <t>MAHARASHTRA STATE BOARD OF SECONDARY AND HIGHER SECONDARY EDUCATION, PUNE. THANE, MAHARASHTRA</t>
  </si>
  <si>
    <t>SHETH N.K.T.T. COLLEGE OF COMMERCE AND SHETH J.T.T. COLLEGE OF ARTS THANE</t>
  </si>
  <si>
    <t>UNIVERSITY  OF MUMBAI</t>
  </si>
  <si>
    <t>LOKMANYA TILAK INSTITUTE OF ARCHITECTURE AND DESIGN STUDIES, KOPARKHAIRANE, NAVI MUMBAI, MAHARASHTRA.</t>
  </si>
  <si>
    <t>AutoCAD,MS Office,MS Project,Primavera,Candy,@RISK</t>
  </si>
  <si>
    <t>THE ROOM OF ELEMENTS | JUNIOR ARCHITECT | DOMBIVALI, MUMBAI, MAHARASHTRA  | Jul 2024 | Jul 2025 | 1Y 0M | 1.8</t>
  </si>
  <si>
    <t>Architect Rushikesh. H | Project Management Intern | Pune  | May 2026 | Jul 2026 | 9.5714285714286 Weeks | Campus Internship
ADYTUM DESIGNS PRIVATE LIMITED | ARCHITECTURAL INTERN  | GHATKOPAR, MUMBAI, MAHARASHTRA | Dec 2022 | Apr 2023 | 20.857142857143 Weeks</t>
  </si>
  <si>
    <t>Project Management:The basics for Success</t>
  </si>
  <si>
    <t>P25701021</t>
  </si>
  <si>
    <t>SUSHIR</t>
  </si>
  <si>
    <t>Prajakta Sanjay Sushir</t>
  </si>
  <si>
    <t>prajaktasushir15@gmail.com</t>
  </si>
  <si>
    <t>p25701021@student.nicmar.ac.in</t>
  </si>
  <si>
    <t>15-Mar-2003</t>
  </si>
  <si>
    <t>4388 9186 2796</t>
  </si>
  <si>
    <t>SUDHA</t>
  </si>
  <si>
    <t>127, Dattatraya Nagar, Behind NIT Garden, Nagpur, 440024</t>
  </si>
  <si>
    <t>PRAJAKTA SANJAY SUSHIR</t>
  </si>
  <si>
    <t>SMT. JANKIDEVI JAISWAL HIGH SCHOOL &amp; JUNIOR COLLEGE</t>
  </si>
  <si>
    <t>SWARGIYA JAGANNATH JATTEWAR SHIKSHAN SANSTHA'S INSTITUTE OF DESIGN EDUCATION &amp; ARCHITECTURAL STUDIES, NAGPUR</t>
  </si>
  <si>
    <t>AutoCAD,MS Office,MS Project,Primavera,Sketchup,Rhino,Photoshop,Enscape,Vray,Candy</t>
  </si>
  <si>
    <t>Anarock Property Consultancy | Sourcing and Closing Intern | Dombivli West, Mumbai | May 2026 | Jul 2026 | 9.5714285714286 Weeks | Campus Internship
GRAYSTONE PALETTE ARCHITECTS | INTERN | PUNE | Jan 2024 | May 2024 | 17.428571428571 Weeks</t>
  </si>
  <si>
    <t>Initiating and Planning Projects
Project Management: The Basics for Success</t>
  </si>
  <si>
    <t>P25701022</t>
  </si>
  <si>
    <t>SAMIKSHA</t>
  </si>
  <si>
    <t>POTDUKHE</t>
  </si>
  <si>
    <t>Samiksha Sunil Potdukhe</t>
  </si>
  <si>
    <t>samiksha96potdukhe@gmail.com</t>
  </si>
  <si>
    <t>p25701022@student.nicmar.ac.in</t>
  </si>
  <si>
    <t>Sustainable Infrastructure,Sketching,Concept visualisation,Problem-solving through creative design</t>
  </si>
  <si>
    <t>3604 4434 9445</t>
  </si>
  <si>
    <t>T2- 706, GODREJ GREEN COVE, MAHALUNGE-BALEWADI</t>
  </si>
  <si>
    <t>36, Shubhangi Gruh Nirman Society Besa Nagpur</t>
  </si>
  <si>
    <t>PODAR INTERNATIONAL SCHOOL, NAGPUR</t>
  </si>
  <si>
    <t>G.H.RAISONI JUNIOR COLLEGE NAGPUR, MAHARASHTRA</t>
  </si>
  <si>
    <t>MAHARASHTRA STATE BOARD OF SECONDARY AND HIGHER SECONDARY EDUCATION, NAGPUR/MAHARASHTRA</t>
  </si>
  <si>
    <t>MKSSS, DR. BHANUBEN NANAVAVATI COLLEGE OF ARCHITECTURE FOR WOMEN, PUNE</t>
  </si>
  <si>
    <t>AutoCAD,MS Office,MS Project,Primavera,phtoshop,sketechup,revit,enscape,lumion,QGIS,procreate,Advanced excel,SPSS, Candy, @Risk</t>
  </si>
  <si>
    <t>GODREJ PROPERTIES LIMITED | Operations- (Planning) Intern | Mumbai | May 2026 | Jul 2026 | 8.7142857142857 Weeks | Campus Internship
Architect Rushikesh H. | intern | mumbai | Jun 2023 | Dec 2023 | 24.571428571429 Weeks</t>
  </si>
  <si>
    <t>Capturing spatial data by photogrammetry for scanning and documenting Architectural Heritage</t>
  </si>
  <si>
    <t>P25701024</t>
  </si>
  <si>
    <t>KANDUR</t>
  </si>
  <si>
    <t>SRINATH</t>
  </si>
  <si>
    <t>Neha Kandur Srinath</t>
  </si>
  <si>
    <t>neha.kandur@gmail.com</t>
  </si>
  <si>
    <t>p25701024@student.nicmar.ac.in</t>
  </si>
  <si>
    <t>29-Jun-2000</t>
  </si>
  <si>
    <t>2146 7866 6398</t>
  </si>
  <si>
    <t>SRINATH KANDUR</t>
  </si>
  <si>
    <t>LAKSHMI KANDUR</t>
  </si>
  <si>
    <t>4046, 23rd Main, Banashankari 2nd Stage, Bangalore- 560070</t>
  </si>
  <si>
    <t>SRI KUMARAN CHILDREN'S HOME, BANGALORE</t>
  </si>
  <si>
    <t>BMS COLLEGE OF ARCHITECTURE, BANGALORE</t>
  </si>
  <si>
    <t>AutoCAD,MS Office,MS Project,Primavera,Adobe Illustrator,Adobe Photoshop,SketchUp,Revit,Lumion,Enscape</t>
  </si>
  <si>
    <t>Pragrup: Architecture and Urbanism | Architect | Bangalore | Sep 2023 | Jun 2025 | 1Y 8M | 3.36</t>
  </si>
  <si>
    <t>KPMG India | Major Project Advisory (MPA) Intern | Mumbai | May 2026 | Jun 2026 | 7.5714285714286 Weeks | Campus Internship
Mistry Architects | Architectural Intern | Bangalore | Aug 2022 | Dec 2022 | 17.571428571429 Weeks</t>
  </si>
  <si>
    <t>P25701025</t>
  </si>
  <si>
    <t>PRADYUMNA</t>
  </si>
  <si>
    <t>Deshmukh Pradyumna Nilesh</t>
  </si>
  <si>
    <t>pradyumnadeshmukh1997@gmail.com</t>
  </si>
  <si>
    <t>p25701025@student.nicmar.ac.in</t>
  </si>
  <si>
    <t>8124 2443 9968</t>
  </si>
  <si>
    <t>NILESH DESHMUKH</t>
  </si>
  <si>
    <t>POOJA DESHMUKH</t>
  </si>
  <si>
    <t>F1002, 7 AVENUE, PATIL NAGAR, BALEWADI</t>
  </si>
  <si>
    <t>8, Parag Township, Malu Layout, Ram Nagar, Amravati</t>
  </si>
  <si>
    <t>DNYANMATA HIGH SCHOOL, AMRAVATI</t>
  </si>
  <si>
    <t>PROF. RAM MEGHE INSTITUTE OF TECCHNOLOGY &amp; RESEARCH, BADNERA, MAHARASHTRA</t>
  </si>
  <si>
    <t xml:space="preserve"> Majestic Realties | Project Management Intern | Kothrud, Pune | May 2026 | Jun 2026 | 7.7142857142857 Weeks | Campus Internship</t>
  </si>
  <si>
    <t>P25701026</t>
  </si>
  <si>
    <t>HARSHITH</t>
  </si>
  <si>
    <t>S N</t>
  </si>
  <si>
    <t>Harshith S N</t>
  </si>
  <si>
    <t>harshithsn2001@gmail.com</t>
  </si>
  <si>
    <t>p25701026@student.nicmar.ac.in</t>
  </si>
  <si>
    <t>28-Apr-2001</t>
  </si>
  <si>
    <t>4972 9597 6681</t>
  </si>
  <si>
    <t>NATARAJ S R</t>
  </si>
  <si>
    <t>RETRED TEACHER</t>
  </si>
  <si>
    <t>SARVAMANGALA S</t>
  </si>
  <si>
    <t>HARSHITH SN S/O NATARAJ SR ,SURENAHALLI ,THOVINAKERE POST CN DURGA HOBLI ,KORATAGERE TALLUK ,TUMKUR (D)</t>
  </si>
  <si>
    <t>J K MEMORIAL CENTRAL SCHOOL TUMKUR KARNATAKA</t>
  </si>
  <si>
    <t>MAHESH PU COLLEGE,KUNIGAL ROAD MARALURU,TUMKUR</t>
  </si>
  <si>
    <t>BANGALURU/KARNATAKA</t>
  </si>
  <si>
    <t>CICON ENGINEERS PVT.LTD | SITE ENGINEER - QC | BANAGLURU | Mar 2024 | Jun 2025 | 1Y 3M | 2.6</t>
  </si>
  <si>
    <t>Econstruct Design &amp; Build Pvt.ltd | Project Managament Intern | BANGALURU | May 2026 | Jun 2026 | 8.1428571428571 Weeks | Campus Internship
NEW CONSOLIDATED CONSTRUCTION CO.LTD | QC TRAINEE | BANGALURU | Jul 2022 | Aug 2022 | 4.4285714285714 Weeks</t>
  </si>
  <si>
    <t>P25701027</t>
  </si>
  <si>
    <t>Shreya Gupta</t>
  </si>
  <si>
    <t>11shreyainform@gmail.com</t>
  </si>
  <si>
    <t>p25701027@student.nicmar.ac.in</t>
  </si>
  <si>
    <t>ENGLISH, HINDI, BENGALI AND ODIA</t>
  </si>
  <si>
    <t>Travelling,Social Communication,Event Management,Photography,Management,Problem Solving,Decision Making,Designing,Volunteering &amp; Mentorship</t>
  </si>
  <si>
    <t>2758 6559 5379</t>
  </si>
  <si>
    <t>VIKRAM GUPTA</t>
  </si>
  <si>
    <t>DEEPMALA GUPTA</t>
  </si>
  <si>
    <t>15/29 Bose Pukur Road Opposite Bediadanga Post  Office</t>
  </si>
  <si>
    <t>DELHI PUBLIC SCHOOL RUBY PARK KOLKATA</t>
  </si>
  <si>
    <t>BIJU PATNAIK UNIVERSITY OF TECHNOLOGY, ODISHA ROURKELA</t>
  </si>
  <si>
    <t>PILOO MODY COLLEGE OF ARCHITECTURE, ABIT, CUTTACK</t>
  </si>
  <si>
    <t>AutoCAD,MS Office,MS Project,Primavera,Sketchup,D5,Lumion,Excel,Canva,Teams,Photoshop,SPSS</t>
  </si>
  <si>
    <t>Ahluwalia Contracts (India) Limited  | Project Planning  | Kolkata  | May 2026 | Jul 2026 | 8.7142857142857 Weeks | Campus Internship
Studio Raw Design | Architectural Intern  | Gurugram  | Jun 2024 | Oct 2024 | 21.714285714286 Weeks</t>
  </si>
  <si>
    <t>Project Management: The Basics for Success
Project Management - Initiation and Planning
Six Sigma Tools for Define and Measure
Operations Management
Effective Interpersonal Communication for Business
Microeconomics Principles
Introduction to Generative AI in Human Resources
Corporate Finance Essentials
Laurie Baker Centre For Habitat Studies</t>
  </si>
  <si>
    <t>P25701028</t>
  </si>
  <si>
    <t>MADHURA</t>
  </si>
  <si>
    <t>Madhura Dinesh Bagwe</t>
  </si>
  <si>
    <t>armadhurabagwe@gmail.com</t>
  </si>
  <si>
    <t>p25701028@student.nicmar.ac.in</t>
  </si>
  <si>
    <t>12-Oct-1999</t>
  </si>
  <si>
    <t>9013 4818 5019</t>
  </si>
  <si>
    <t>LOCO-PILOT IN INDIAN RAILWAYS</t>
  </si>
  <si>
    <t>1802,AISHWARYA HEIGHTS,OPP LIC COLONY_x000D_
MITHAGAR ROAD, Mulund East.</t>
  </si>
  <si>
    <t>JAI HIND COLLEGE</t>
  </si>
  <si>
    <t>BHARATI VIDYAPEETH COLLEGE OF ARCHITECTURE, NAVI MUMBAI</t>
  </si>
  <si>
    <t>AutoCAD,MS Office,MS Project,sketchup,lumion,enscape,photoshop</t>
  </si>
  <si>
    <t>Godrej &amp; Boyce Manufacturing Company Limited | Assistant Manager- studio design for Interio Division | Vikhroli, Mumbai | Sep 2022 | Dec 2024 | 2Y 2M | 8.45</t>
  </si>
  <si>
    <t>Pidilite Industries Limited  | Intern | Mumbai | May 2026 | Jun 2026 | 7.5714285714286 Weeks | Campus Internship
Daisaria Associates | Intern | Vidyavihar, Mumbai | Jan 2021 | Jun 2021 | 19.285714285714 Weeks</t>
  </si>
  <si>
    <t>P25701029</t>
  </si>
  <si>
    <t>GANDHARV</t>
  </si>
  <si>
    <t>TUKARAM</t>
  </si>
  <si>
    <t>TIKAM</t>
  </si>
  <si>
    <t>Gandharv Tukaram Tikam</t>
  </si>
  <si>
    <t>gandharv268@gmail.com</t>
  </si>
  <si>
    <t>p25701029@student.nicmar.ac.in</t>
  </si>
  <si>
    <t>06-Sep-2001</t>
  </si>
  <si>
    <t>DRAWING,SINGING,PLAYING CRICKET,Watching construction podcasts,Reading books</t>
  </si>
  <si>
    <t>4755 5309 8342</t>
  </si>
  <si>
    <t>TUKARAM DHONDU TIKAM</t>
  </si>
  <si>
    <t>TRUSHALI TUKARAM TIKAM</t>
  </si>
  <si>
    <t>B/23 VIHANG DARSHAN PROF N.S PHADKE ROAD SAIWADI ANDHERI_x000D_
(EAST)</t>
  </si>
  <si>
    <t>SHRI MADHAVRAO BHAGWAT HIGH SCHOOL</t>
  </si>
  <si>
    <t>MUMBAI SUBURBAN , MAHARASTRA</t>
  </si>
  <si>
    <t>SATHAYE COLLEGE</t>
  </si>
  <si>
    <t>M.H SABOO SIDDIK COLLEGE OF ENGINEERING, MUMBAI CITY</t>
  </si>
  <si>
    <t>AutoCAD,MS Office,MS Project,Primavera,STAAD PRO,Candy</t>
  </si>
  <si>
    <t>DEEP CONSTRUCTIONS | Site Engineer  | Mumbai  | May 2024 | Jun 2025 | 1Y 0M | 2.16</t>
  </si>
  <si>
    <t>New Conssolidated Construction Company | Intern-Contracts and Commercials  | Mumbai  | May 2026 | Jul 2026 | 8.7142857142857 Weeks | Campus Internship</t>
  </si>
  <si>
    <t>Advanced Excel
TCS ioN Young Professional Certificate Course
STAAD PRO
AUTOCCAD</t>
  </si>
  <si>
    <t>P25701030</t>
  </si>
  <si>
    <t>GARGI</t>
  </si>
  <si>
    <t>SUCHINT</t>
  </si>
  <si>
    <t>RAJHANSA</t>
  </si>
  <si>
    <t>Gargi Suchint Rajhansa</t>
  </si>
  <si>
    <t>gargi2001rajhansa@gmail.com</t>
  </si>
  <si>
    <t>p25701030@student.nicmar.ac.in</t>
  </si>
  <si>
    <t>4176 7355 8629</t>
  </si>
  <si>
    <t>SUCHINT VISHNUPANT RAJHANSA</t>
  </si>
  <si>
    <t>SERVICE (BESIX CONSTRUCT LLC, DUBAI)</t>
  </si>
  <si>
    <t>SWATI SUCHINT RAJHANSA</t>
  </si>
  <si>
    <t>SERVICE (DISTRICT AND SESSION'S COURT, NAGPUR)</t>
  </si>
  <si>
    <t>H - 1204, VTP LEONARA, NANDE ROAD, MHALUNGE PUNE</t>
  </si>
  <si>
    <t>'Parijaat' Plot 28, Narkesari Layout, Near Jaitala Post Office, Jaitala,Â Nagpur</t>
  </si>
  <si>
    <t>CENTRE POINT SCHOOL, DABHA, NAGPUR</t>
  </si>
  <si>
    <t>G.H. RAISONI VIDYA NIKETAN, NAGPUR</t>
  </si>
  <si>
    <t>DR. BHANUBEN NANAVATI COLLEGE OF ARCHITECTURE, PUNE, MAHARASHTRA</t>
  </si>
  <si>
    <t>AutoCAD,MS Office,MS Project,Revit,Photoshop,Sketchup,Lumion,Enscape,Illustrator,Canva</t>
  </si>
  <si>
    <t>a'XYKno Capital Services Pvt. Ltd. | Contracts and Transaction Advisory Intern | Nagpur, Maharashtra | May 2026 | Jul 2026 | 8.7142857142857 Weeks | Campus Internship
Shrutika Raut Design Studio | Architecture and Interiors | Prabhat Road, Pune | Jun 2024 | Nov 2024 | 25.571428571429 Weeks</t>
  </si>
  <si>
    <t>P25701031</t>
  </si>
  <si>
    <t>Akshita Anand Chandak</t>
  </si>
  <si>
    <t>akshitachandak25@gmail.com</t>
  </si>
  <si>
    <t>p25701031@student.nicmar.ac.in</t>
  </si>
  <si>
    <t>09-Nov-2000</t>
  </si>
  <si>
    <t>4476 7855 3727</t>
  </si>
  <si>
    <t>A1-1003, MANTRA MONARCH, PATIL NAGAR, BALEWADI, PUNE</t>
  </si>
  <si>
    <t>19, Zade Layout, Bharat Nagar, Amravati Road, Nagpur</t>
  </si>
  <si>
    <t>BHAVAN'S BHAGWANDAS PUROHIT VIDYA MANDIR, CIVIL LINES, NAGPUR</t>
  </si>
  <si>
    <t>SHRI SHIVAJI SCIENCE COLLEGE, NAGPUR</t>
  </si>
  <si>
    <t>L.S. RAHEJA SCHOOL OF ARCHITECTURE, BANDRA EAST, MUMBAI, MAHARASHTRA</t>
  </si>
  <si>
    <t>AutoCAD,MS Office,MS Project,AutoDesk Revit,Adobe Photoshop</t>
  </si>
  <si>
    <t>HSA-Hiten Sethi and Associates | Junior Architect | Bandra, Mumbai | Aug 2024 | Apr 2025 | 0Y 8M | 2.4</t>
  </si>
  <si>
    <t>Studio Humane | Intern | Pune | Nov 2022 | Apr 2023 | 19.571428571429 Weeks
Ideas1 | Intern | Thane, Mumbai | May 2022 | Jun 2022 | 8.5714285714286 Weeks
Rethinking the Future | Editorial Writer- Trainee | Remote | Dec 2024 | Mar 2025 | 15.857142857143 Weeks</t>
  </si>
  <si>
    <t>Intensive Program on Advance Design Tools
Rethinking the Future- Architectural Writing Training Programme
Project Management Assessment
Post Graduate Certification Programme in Project Management
Certified ScrumMaster
PRINCE2: 7th Edition Foundation and Practitioner Master Class
Primavera P6 Fundamentals
Project Management: The Basics for Success</t>
  </si>
  <si>
    <t>P25701032</t>
  </si>
  <si>
    <t>PANCHAMI</t>
  </si>
  <si>
    <t>GUNDA</t>
  </si>
  <si>
    <t>Panchami Milind Gunda</t>
  </si>
  <si>
    <t>panchamigundastudies@gmail.com</t>
  </si>
  <si>
    <t>p25701032@student.nicmar.ac.in</t>
  </si>
  <si>
    <t>6346 4142 9699</t>
  </si>
  <si>
    <t>MILIND GUNDA</t>
  </si>
  <si>
    <t>PANKAJA GUNDA</t>
  </si>
  <si>
    <t>201, B Wing, Indrapuri Apartment, Opp SBI, Karvenagar, Pune 411052</t>
  </si>
  <si>
    <t>MAHARASHTRA EDUCATION SOCIETY'S ABASAHEB GARWARE COLLEGE</t>
  </si>
  <si>
    <t>AutoCAD,MS Office,MS Project,Primavera,Sketch Up,Rhinoceros 3D,Lumion,Enscape,Power Director</t>
  </si>
  <si>
    <t>Sikachi Incorporation | Junior Architect | Pune, Maharashtra | Dec 2023 | Jun 2025 | 1Y 6M | 3</t>
  </si>
  <si>
    <t>Godrej Properties Limited | Summer Intern | Pune | May 2026 | Jul 2026 | 8.5714285714286 Weeks | Campus Internship
Indian National Trust for Art and Cultural Heritage | Architectural Intern | Hampi, Karnataka | Jun 2022 | Oct 2022 | 19.428571428571 Weeks</t>
  </si>
  <si>
    <t>Introduction to Corporate Finance by Coursera
Project Management: The basics for success by Coursera</t>
  </si>
  <si>
    <t>P25701033</t>
  </si>
  <si>
    <t>SANSKAR</t>
  </si>
  <si>
    <t>Sanskar Santosh Mishra</t>
  </si>
  <si>
    <t>mishrasanskar219@gmail.com</t>
  </si>
  <si>
    <t>p25701033@student.nicmar.ac.in</t>
  </si>
  <si>
    <t>Volunteering for Social Causes,Keen interest in global affairs and geopolitics</t>
  </si>
  <si>
    <t>9004 3682 1050</t>
  </si>
  <si>
    <t>NANDITA</t>
  </si>
  <si>
    <t>Ghanshyam Nagar Badnera Road Saturna Amravati</t>
  </si>
  <si>
    <t>TAKHATMAL ENGLISH HIGH SCHOOL</t>
  </si>
  <si>
    <t>MAHARASHTRA STATE BOARD OF SECONDARY AND HIGHER SECONDARY EDUCATION, AMRAVATI</t>
  </si>
  <si>
    <t>BRIJLAL BIYANI SCIENCE COLLEGE</t>
  </si>
  <si>
    <t>BRIJLAL BIYANI SCIENCE COLLEGE, AMRAVATI</t>
  </si>
  <si>
    <t>MS Office,MS Project,Primavera,SPSS</t>
  </si>
  <si>
    <t>Majestic Realties | Digital Marketing Intern | NIBM, PUNE | May 2026 | Jul 2026 | 8.7142857142857 Weeks | Campus Internship</t>
  </si>
  <si>
    <t>Introduction to corporate finance
Project Management: Basics for success</t>
  </si>
  <si>
    <t>P25701034</t>
  </si>
  <si>
    <t>HARIKRISHNA</t>
  </si>
  <si>
    <t>S Harikrishna</t>
  </si>
  <si>
    <t>sh.ug16.ar@nitp.ac.in</t>
  </si>
  <si>
    <t>p25701034@student.nicmar.ac.in</t>
  </si>
  <si>
    <t>25-Jun-1998</t>
  </si>
  <si>
    <t>4307 7590 9558</t>
  </si>
  <si>
    <t>S APPALASWAMY</t>
  </si>
  <si>
    <t>RETIRED EMPLOYEE</t>
  </si>
  <si>
    <t>S BABY</t>
  </si>
  <si>
    <t>No. 42, F3 Nithyam Homes, Valmiki Street, East Tambaram</t>
  </si>
  <si>
    <t>CENTRAL BOARD OF SECONDARY EDUCATION AND CHENNAI</t>
  </si>
  <si>
    <t>NATIONAL INSTITUTE OF TECHNOLOGY</t>
  </si>
  <si>
    <t>NATIONAL INSTITUTE OF TECHNOLOGY, PATNA</t>
  </si>
  <si>
    <t>AutoCAD,MS Office,Revit,Sketchup,Lumion,Photoshop,Enscape</t>
  </si>
  <si>
    <t>Design  Square | Junior Architect | Chennai | Sep 2021 | Mar 2022 | 0Y 6M | 1.56
Bhartiya Urban Private Limited | Trainee Architect | Bengaluru | Mar 2022 | Aug 2022 | 0Y 4M | 3.75
FreshBus Private Limited | Junior Architect, Product Specialist | Hyderabad | Dec 2022 | Jun 2025 | 2Y 6M | 4.5</t>
  </si>
  <si>
    <t>TruBoard Partners | Asset Management Intern | Gurgaon | May 2026 | Jun 2026 | 8.1428571428571 Weeks | Campus Internship
BARA ARCHITECT | Architectural Intern | Chennai | Jul 2020 | Nov 2020 | 18 Weeks</t>
  </si>
  <si>
    <t>P25701035</t>
  </si>
  <si>
    <t>LATA</t>
  </si>
  <si>
    <t>Lata Anil Gupta</t>
  </si>
  <si>
    <t>latagupta1301@gmail.com</t>
  </si>
  <si>
    <t>p25701035@student.nicmar.ac.in</t>
  </si>
  <si>
    <t>13-Jul-2001</t>
  </si>
  <si>
    <t>6493 2819 0431</t>
  </si>
  <si>
    <t>A-202, HILL VIEW CHS, JP ROAD, NEAR NAVRANG CINEMAS, ANDHERI WEST MUMBAI 400058</t>
  </si>
  <si>
    <t>513, Juhu Azad Nagar CHS LTD, CD Barfiwala Road, Andheri West Mumbai-400058</t>
  </si>
  <si>
    <t>SMT. R.S.B. ARYA VIDYA MANDIR, MUMBAI</t>
  </si>
  <si>
    <t>LATE BHAUSAHEB HIRAY S.S. TRUST'S DR. BALIRAM HIRAY COLLEGE OF ARCHITECTURE, MUMBAI</t>
  </si>
  <si>
    <t>AutoCAD,MS Office,MS Project,Primavera,Adobe Photoshop</t>
  </si>
  <si>
    <t>ARCHITECT RUSHIKESH H. | JUNIOR ARCHITECT | MUMBAI | Oct 2024 | Jun 2025 | 0Y 8M | 3.09</t>
  </si>
  <si>
    <t>KALPATARU LIMITED | PROJECT INTERN | Santacruz, Mumbai | May 2026 | Jul 2026 | 9.5714285714286 Weeks | Campus Internship
ARCHITECT RUSHIKESH H. | ARCHITECTURAL INTERN | MUMBAI | Dec 2022 | Apr 2023 | 20.571428571429 Weeks</t>
  </si>
  <si>
    <t>P25701036</t>
  </si>
  <si>
    <t>CHINTALAPATI</t>
  </si>
  <si>
    <t>Archana Chintalapati</t>
  </si>
  <si>
    <t>archi14902@gmail.com</t>
  </si>
  <si>
    <t>p25701036@student.nicmar.ac.in</t>
  </si>
  <si>
    <t>14-Sep-2002</t>
  </si>
  <si>
    <t>English, Hindi And Telugu</t>
  </si>
  <si>
    <t>Carnatic Music,Crochet,Paper Quilling,Custom Rakhi&amp;#39;s,Rangoli,Cooking,Organising,Doodling,Zentangle,Sketching,Water color Painting,Reading Books,Calligraphy,Travelling,Art of Living,Yoga,Dance</t>
  </si>
  <si>
    <t>2638 6342 9076</t>
  </si>
  <si>
    <t>DATTATREYA CHINTALAPATI</t>
  </si>
  <si>
    <t>LAKSHMI SUNEETHA CHINTALAPATI</t>
  </si>
  <si>
    <t>11-39-18, KATURIVARI STREET,_x000D_
ONE TOWN</t>
  </si>
  <si>
    <t>40012 - N ST MATHEW'S PUBLIC SCHOOL, VIJAYAWADA, AP</t>
  </si>
  <si>
    <t>BOARD OF INTERMEDIATE EDUCATION A.P., VIJAYAWADA</t>
  </si>
  <si>
    <t>KONERU LAKSHMAIAH EDUCATION FOUNDATION</t>
  </si>
  <si>
    <t>KONERU LAKSHMAIAH EDUCATION FOUNDATION , VADDESWARAM, GUNTUR</t>
  </si>
  <si>
    <t>AutoCAD,MS Office,MS Project,Autodesk Revit,SketchUp,Lumion,Enscape,Twinmotion,Navisworks,D5,Photoshop,Illustrator,QGIS,Canva,ZWCAD,Forma,Formit,Rhino,Dynamo,Fusion 360,Point Cloud Modelling,DiRoots,BIM Collaborative</t>
  </si>
  <si>
    <t>KPMG | Transformation - Major Project Advisory  | Gurugram | May 2026 | Jun 2026 | 7.5714285714286 Weeks | Campus Internship
INGENIO STUDIO | INTERN | BANGALORE | Jun 2024 | Nov 2024 | 24.714285714286 Weeks
Hidden Dimension | Summer Intern | Vijayawada | Jun 2023 | Jul 2023 | 3.2857142857143 Weeks</t>
  </si>
  <si>
    <t>Professional REVIT &amp; BIM Certification Program</t>
  </si>
  <si>
    <t>P25701037</t>
  </si>
  <si>
    <t>VARSHA H</t>
  </si>
  <si>
    <t>NAYAR</t>
  </si>
  <si>
    <t>Varsha H Nayar</t>
  </si>
  <si>
    <t>varshahnayar.2001@gmail.com</t>
  </si>
  <si>
    <t>p25701037@student.nicmar.ac.in</t>
  </si>
  <si>
    <t>English,Hindi,Malayalm,Tamil</t>
  </si>
  <si>
    <t>9768 9148 1044</t>
  </si>
  <si>
    <t>HARI P NAIR</t>
  </si>
  <si>
    <t>ADDITIONAL GOVT.SECRETARY RTD</t>
  </si>
  <si>
    <t>ANITHA DEVI S</t>
  </si>
  <si>
    <t>ASST.HR MANAGER AIRPORT AUTHORITY OF INDIA</t>
  </si>
  <si>
    <t>TC 9/2900 Sannidhi _x000D_
Mnaluvilakom House,Kariyvattom _x000D_
Trivandrum Kerala _x000D_</t>
  </si>
  <si>
    <t>MARION VILLA CONVENT ICSE SCHOOL</t>
  </si>
  <si>
    <t>ICSE KERALA</t>
  </si>
  <si>
    <t>MAR GREGROS MEMORIAL CENTRAL PUBLIC SCHOOL</t>
  </si>
  <si>
    <t>CBSE KERALA</t>
  </si>
  <si>
    <t>MAR BASELIOS COLLAGE OF ENGINEERING AND TECHNOLOGY</t>
  </si>
  <si>
    <t>AutoCAD,MS Project,Primavera,REVIT,STAAD Pro,ERP,BIM</t>
  </si>
  <si>
    <t>Heather constructions | Assistant Project Engineer (Civil Execution)  | Trivandrum  | Apr 2024 | Nov 2024 | 33.428571428571 Weeks</t>
  </si>
  <si>
    <t>Diploma in BIM and QUANTITY SURVEY</t>
  </si>
  <si>
    <t>P25701038</t>
  </si>
  <si>
    <t>LALIT</t>
  </si>
  <si>
    <t>Lalit Rajput</t>
  </si>
  <si>
    <t>lalitrajput.1112@outlook.com</t>
  </si>
  <si>
    <t>p25701038@student.nicmar.ac.in</t>
  </si>
  <si>
    <t>11-Dec-1997</t>
  </si>
  <si>
    <t>5197 9192 5528</t>
  </si>
  <si>
    <t>POORAN SINGH</t>
  </si>
  <si>
    <t>MEENA SINGH</t>
  </si>
  <si>
    <t>A-202, EURO APPT, SEC-5, RAJENDRA NAGAR, SAHIBABAD, GHAZIABAD</t>
  </si>
  <si>
    <t>DAV PUBLIC SCHOOL</t>
  </si>
  <si>
    <t>CENTRAL BOARD OF SECONDARY EDUCATION, GHAZIABAD</t>
  </si>
  <si>
    <t>DIWAKAR MODEL SCHOOL</t>
  </si>
  <si>
    <t>UNIVERSITY OF PETROLIUM AND ENERGY STUDIES</t>
  </si>
  <si>
    <t>UPES, DEHRADUN</t>
  </si>
  <si>
    <t>Geo Designs and Research (P) Ltd. | Land Aquisition Assistant | Gujarat | Jan 2022 | Jan 2025 | 3Y 0M | 2.52</t>
  </si>
  <si>
    <t>Asian Paints | Sales Engineer | Lucknow | May 2026 | Jul 2026 | 8.7142857142857 Weeks | Campus Internship
Intercontinental Consultants and Technologies Pvt. Ltd. | Internship Trainee | Gujarat | Jul 2018 | Jul 2018 | 3.7142857142857 Weeks</t>
  </si>
  <si>
    <t>Project Management Essentials
Leadership Skills
Supply Chain Digitization: Strategy and Design
Comprehensive Relative Valuation Training
Introduction to Corporate Finance</t>
  </si>
  <si>
    <t>P25701040</t>
  </si>
  <si>
    <t>JAPNEET</t>
  </si>
  <si>
    <t>Japneet Singh</t>
  </si>
  <si>
    <t>japneetsingh141@gmail.com</t>
  </si>
  <si>
    <t>p25701040@student.nicmar.ac.in</t>
  </si>
  <si>
    <t>26-Oct-1997</t>
  </si>
  <si>
    <t>English, Hindi &amp; Punjabi</t>
  </si>
  <si>
    <t>2384 7205 6729</t>
  </si>
  <si>
    <t>GURVINDER SINGH</t>
  </si>
  <si>
    <t>NAVNEET KAUR</t>
  </si>
  <si>
    <t>N-60 Sham Nagar</t>
  </si>
  <si>
    <t>West Delhi</t>
  </si>
  <si>
    <t>SARDAR JASSA SINGH RAMGARHIA PUBLIC SCHOOL</t>
  </si>
  <si>
    <t>CBSE FROM DELHI</t>
  </si>
  <si>
    <t>SALWAN BOYS SENIOR SECONDARY SCHOOL</t>
  </si>
  <si>
    <t>DEENBANDU CHHOTU RAM UNIVERSITY OF SCIENCE &amp; TECHNOLOGY, MURTHAL (SONEPAT)</t>
  </si>
  <si>
    <t>HINDU SCHOOL OF ARCHITECTURE, SONEPAT, HARYANA</t>
  </si>
  <si>
    <t>AutoCAD, MS Office, MS Project, Primavera P6, Revit, Sketchup, Vray, Photoshop, Lumion</t>
  </si>
  <si>
    <t>Confluence | Architect | Delhi | Feb 2025 | Jun 2025 | 0Y 4M | 7.5
DDF Consultants | Architect | Delhi | Jul 2022 | Jan 2025 | 2Y 6M | 6</t>
  </si>
  <si>
    <t>Asian Paints | Intern | Panchkula | May 2026 | Jul 2026 | 8.7142857142857 Weeks | Campus Internship
Distrct Town Planner, Gurugram (Planning) | Intern | Gurugram  | Sep 2021 | Oct 2021 | 5.2857142857143 Weeks</t>
  </si>
  <si>
    <t>P25701041</t>
  </si>
  <si>
    <t>Nishant Nandan T</t>
  </si>
  <si>
    <t>nishantnandan3526@gmail.com</t>
  </si>
  <si>
    <t>p25701041@student.nicmar.ac.in</t>
  </si>
  <si>
    <t>26-Feb-2000</t>
  </si>
  <si>
    <t>ENGLISH,TELUGU,HINDI,ODIA</t>
  </si>
  <si>
    <t>7299 1790 5877</t>
  </si>
  <si>
    <t>T KALI PRASAD</t>
  </si>
  <si>
    <t>T RAJESWARI</t>
  </si>
  <si>
    <t>MAHARANI PETA, JEYPORE, ODISHA</t>
  </si>
  <si>
    <t>Koraput</t>
  </si>
  <si>
    <t>New Street 1st Lane, Jeypore ,koraput , Odisha</t>
  </si>
  <si>
    <t>SRI PRAKASH VIDYANIKETAN</t>
  </si>
  <si>
    <t>ASCENT JUNIOR COLLEGE</t>
  </si>
  <si>
    <t>BIEAP</t>
  </si>
  <si>
    <t>GITAM DEEMED TO BE UNIVERSITY</t>
  </si>
  <si>
    <t>GITAM VISAKHAPATNAM</t>
  </si>
  <si>
    <t>MS Office,MS Project,Primavera,candy</t>
  </si>
  <si>
    <t>SAROJ CONSTRUCTION | project-in-charge(Engineer) | kakinada  | Jan 2022 | May 2024 | 2Y 4M | 3.6
BYJU'S | Business Development Trainee | Bhubaneshwar | Nov 2021 | Dec 2021 | 0Y 1M | 3</t>
  </si>
  <si>
    <t>Engineering Project Management: Initiating and Planning
Renewable Energy and Green Building Entrepreneurship
Municipal Solid Waste Management in Developing Countries
Ethics, Technology and Engineering</t>
  </si>
  <si>
    <t>P25701042</t>
  </si>
  <si>
    <t>SHETTIGAR</t>
  </si>
  <si>
    <t>Shettigar Yash Harish</t>
  </si>
  <si>
    <t>yashshetty44@gmail.com</t>
  </si>
  <si>
    <t>p25701042@student.nicmar.ac.in</t>
  </si>
  <si>
    <t>28-May-1996</t>
  </si>
  <si>
    <t>9077 9783 1968</t>
  </si>
  <si>
    <t>8A-404, Akashdeep CHS, Damodar Park, LBS Marg, Ghatkopar (W), Mumbai - 400 086</t>
  </si>
  <si>
    <t>BOMBAY CAMBRIDGE SCHOOL</t>
  </si>
  <si>
    <t>S.S. &amp; L.S. PATKAR COLLEGE OF ARTS &amp; SCIENCE AND V.P. VARDE COLLEGE OF COMMERCE &amp; ECONOMICS</t>
  </si>
  <si>
    <t>ASMITA COLLEGE OF ARCHITECTURE, THANE, MAHARASHTRA</t>
  </si>
  <si>
    <t>BGM Interior | Project Manager | Bengaluru | Dec 2022 | Jun 2025 | 2Y 6M | 8.4
Talati &amp; Panthaky Associated Designers LLP / ZRC Associates | Architect | Mumbai | Jan 2020 | Nov 2022 | 2Y 9M | 3.24</t>
  </si>
  <si>
    <t>5 Years 4 Months</t>
  </si>
  <si>
    <t>Cushman &amp; Wakefield | Project management Intern | Mumbai | May 2026 | Jul 2026 | 8.7142857142857 Weeks | Campus Internship</t>
  </si>
  <si>
    <t>P25701043</t>
  </si>
  <si>
    <t>VIGHNESH</t>
  </si>
  <si>
    <t>BHADSAVLE</t>
  </si>
  <si>
    <t>Vighnesh Vinod Bhadsavle</t>
  </si>
  <si>
    <t>vighneshbhadsavle@gmail.com</t>
  </si>
  <si>
    <t>p25701043@student.nicmar.ac.in</t>
  </si>
  <si>
    <t>02-Oct-1999</t>
  </si>
  <si>
    <t>3556 4402 7575</t>
  </si>
  <si>
    <t>4/113, Khatav Building, Dr. S. S. Rao Road, Lalbaug, Mumbai - 400012</t>
  </si>
  <si>
    <t>ST. PAUL HIGH SCHOOL</t>
  </si>
  <si>
    <t>WILSON COLLEGE</t>
  </si>
  <si>
    <t>SARDAR VALLABHBHAI PATEL POLYTECHNIC, MUMBAI</t>
  </si>
  <si>
    <t>B. R. HARNE COLLEGE OF ENGINEERING AND TECHNOLOGY, MAHARASHTRA</t>
  </si>
  <si>
    <t>A. R. W Infra Projects Pvt. Ltd. | Project Engineer | Mumbai | Jun 2022 | Jan 2023 | 0Y 7M | 2.88
Xylem Water Solutions India Pvt. Ltd. | Project Engineer | Mumbai | Feb 2023 | Jul 2025 | 2Y 4M | 6.9</t>
  </si>
  <si>
    <t>Ahluwalia Contracts India Ltd. | Project Management Intern | Mumbai | May 2026 | Jun 2026 | 8.1428571428571 Weeks | Campus Internship
Central Railway | Mechanical Engineering Intern | Mumbai | Jan 2022 | Jan 2022 | 3 Weeks
Sai Service India | Internship Trainee | Mumbai | Dec 2021 | Jan 2022 | 1.7142857142857 Weeks
Pantechelearning | Mechanical Engineering Intern | Online | Aug 2021 | Sep 2021 | 4.1428571428571 Weeks</t>
  </si>
  <si>
    <t>AutoCAD Essential
Post Graduate Diploma in Piping Design Engineering</t>
  </si>
  <si>
    <t>P25701044</t>
  </si>
  <si>
    <t>Kushagra Gupta</t>
  </si>
  <si>
    <t>kushagragupta668@gmail.com</t>
  </si>
  <si>
    <t>p25701044@student.nicmar.ac.in</t>
  </si>
  <si>
    <t>05-Mar-1999</t>
  </si>
  <si>
    <t>6328 9736 9583</t>
  </si>
  <si>
    <t>LAKSHMAN GUPTA</t>
  </si>
  <si>
    <t>IT SERVICE</t>
  </si>
  <si>
    <t>PRITI GUPTA</t>
  </si>
  <si>
    <t>R-203, Roseland Residency, Gate-4, Pimple Saudagar, Pune</t>
  </si>
  <si>
    <t>CENTRAL BOARD OF SECONDARY EDUCATION, PUNE/MAHARASHTRA</t>
  </si>
  <si>
    <t>THAPAR INSTITUTE OF ENGINEERING AND TECHNOLOGY, PATIALA/PUNJAB</t>
  </si>
  <si>
    <t>AutoCAD,MS Office,MS Project,Autodesk Revit,Bentley Staad pro,Autodesk Quantity Takeoff</t>
  </si>
  <si>
    <t>L&amp;T Construction | Senior Engineer | Mumbai, Kundankulam | Jul 2022 | Oct 2024 | 2Y 3M | 6
Parthsarthy Infrastructures Pvt Ltd | Manager (Civil &amp; Structural) | Jhansi | Dec 2024 | Jun 2025 | 0Y 6M | 12</t>
  </si>
  <si>
    <t>KPMG India | MPA Transformation Intern | Mumbai | May 2026 | Jun 2026 | 7.5714285714286 Weeks | Campus Internship
Parag Deshpande Consulting Engineers Pvt Ltd | Design Intern | Pune | Aug 2022 | Dec 2022 | 21.571428571429 Weeks</t>
  </si>
  <si>
    <t>P25701045</t>
  </si>
  <si>
    <t>DIPESH</t>
  </si>
  <si>
    <t>PRASANNAKUMAR</t>
  </si>
  <si>
    <t>Dipesh Prasannakumar Mahajan</t>
  </si>
  <si>
    <t>dipesh.mahajan4@gmail.com</t>
  </si>
  <si>
    <t>p25701045@student.nicmar.ac.in</t>
  </si>
  <si>
    <t>27-Apr-2003</t>
  </si>
  <si>
    <t>3850 9482 4933</t>
  </si>
  <si>
    <t>PRASANNAKUMAR MAHAJAN</t>
  </si>
  <si>
    <t>CONTRACTOR/ BUILDER</t>
  </si>
  <si>
    <t>SUVARNA MAHAJAN</t>
  </si>
  <si>
    <t>FL. 10, GOVIND GAURAV APP, RIGHT BHUSARI COLONY, PAUD ROAD, KOTHARUD, PUNE- 411038</t>
  </si>
  <si>
    <t>FL.603, B WING, PRIDE PRISTINE, VASUNDHARA LAYOUT,_x000D_
ELECTRONIC CITY, BANGALURU-560100</t>
  </si>
  <si>
    <t>SHREE SANT DNYANESHWAR MADHYAMIK VIDYALAYA</t>
  </si>
  <si>
    <t>SHRI JAYANTRAO WANJARI JUNIOR COLLEGE</t>
  </si>
  <si>
    <t>AMC ENGINEERING COLLEGE, BENGALURU</t>
  </si>
  <si>
    <t>AutoCAD, PRIMAVERA, MS PROJECT</t>
  </si>
  <si>
    <t>VENKATESH BUILCON  | Intern | PUNE | May 2026 | Jul 2026 | 8.7142857142857 Weeks | Campus Internship
SATYAM BUILDERS AND DEVELOPERS | JUNIOR SITE ENGINEER | BENGALURU | Feb 2025 | May 2025 | 12.714285714286 Weeks
SATYAM BUILDERS AND DEVELOPERS | JUNIOR SITE ENGINEER | BENGALURU | Mar 2024 | Apr 2024 | 6.4285714285714 Weeks</t>
  </si>
  <si>
    <t>P25701047</t>
  </si>
  <si>
    <t>MELVIN</t>
  </si>
  <si>
    <t>Melvin Mathew</t>
  </si>
  <si>
    <t>mathewmelvin2000@gmail.com</t>
  </si>
  <si>
    <t>p25701047@student.nicmar.ac.in</t>
  </si>
  <si>
    <t>English, Malayalam and Hindi</t>
  </si>
  <si>
    <t>7517 0124 0166</t>
  </si>
  <si>
    <t>T J MATHEW</t>
  </si>
  <si>
    <t>MARY N JOHN</t>
  </si>
  <si>
    <t>KELAMPARAMBIL HOUSE ,UDAYAMPEROOR P O, _x000D_
ERNAKULAM.</t>
  </si>
  <si>
    <t>CHINMAYA VIDYALAYA KANNANKULANGARA</t>
  </si>
  <si>
    <t>CENTRAL BOARD OF SECONDARY EDUCATION, ERNAKULAM</t>
  </si>
  <si>
    <t>MUTHOOT INSTITUE OF TECHNOLOGY AND SCIENCE, ERNAKULAM.</t>
  </si>
  <si>
    <t>AutoCAD,MS Office,MS Project,3DS MAX,REVIT ARCHITECTURE,BIM</t>
  </si>
  <si>
    <t>KERALA INDUSTRIAL &amp; TECHNICAL CONSULTANCY ORGANISATION Ltd | GRADUATE APPRENTICE | CHENGANNUR, ALAPPUZHA. | Sep 2023 | Sep 2024 | 0Y 11M | 2.07</t>
  </si>
  <si>
    <t>Sobha Limited | Project Management Intern | GIFT City, Gujarat. | May 2026 | Jul 2026 | 9 Weeks | Campus Internship</t>
  </si>
  <si>
    <t>NPTEL Online Certification
Master in Building Design</t>
  </si>
  <si>
    <t>P25701048</t>
  </si>
  <si>
    <t>BANDARU</t>
  </si>
  <si>
    <t>VANITHA DEVI</t>
  </si>
  <si>
    <t>Bandaru Vanitha Devi</t>
  </si>
  <si>
    <t>vanithadevi20@gmail.com</t>
  </si>
  <si>
    <t>p25701048@student.nicmar.ac.in</t>
  </si>
  <si>
    <t>Hindi,English,Telugu</t>
  </si>
  <si>
    <t>2487 0243 1017</t>
  </si>
  <si>
    <t>BANDARU RAMESH</t>
  </si>
  <si>
    <t>BANDARU RADHA</t>
  </si>
  <si>
    <t>Devangula Veedhi, Alamanda, Jami Mandal, Vizinagaram District</t>
  </si>
  <si>
    <t>Vizianagaram</t>
  </si>
  <si>
    <t>KENDRIYA VIDYALAYA NO1,NAUSENABAUGH VISHAKAPATANAM</t>
  </si>
  <si>
    <t>CENTRAL BOARD OF SECONDARY EDUCATION VISHAKHAPATNAM</t>
  </si>
  <si>
    <t>KENDRIYA VIDYALAYA NO1 , NAUSENABAUGH VISHAKAPATANAM</t>
  </si>
  <si>
    <t>CENTRAL BOARD OF SECONDARY EDUCATION, VISHAKAPATANAM</t>
  </si>
  <si>
    <t>JNTU(GV) VIZIANAGARAM ANDHRA PRADESH</t>
  </si>
  <si>
    <t>MVGR COLLEGE OF ENGINEERING ,VIZIANAGARAM</t>
  </si>
  <si>
    <t>AutoCAD,MS Office,MS Project,Primavera,QGIS,ARCGIS</t>
  </si>
  <si>
    <t>Asian Paints | Sales Engineer | Hyderabad | May 2026 | Jul 2026 | 8.7142857142857 Weeks | Campus Internship
NATIONAL INSTITUTE OF CONSTRUCTION MANAGEMENT AND RESEARCH | SUMMER INTERN | HYDERBAD | Jun 2024 | Jun 2024 | 2.4285714285714 Weeks</t>
  </si>
  <si>
    <t>Autodesk Certified Professional: AutoCAD for Design and Drafting Exam Prep
NPTEL  Integrated Waste Management for a Smart City</t>
  </si>
  <si>
    <t>P25701049</t>
  </si>
  <si>
    <t>SACHAN</t>
  </si>
  <si>
    <t>Rajat Sachan</t>
  </si>
  <si>
    <t>rajatsachan123@gmail.com</t>
  </si>
  <si>
    <t>p25701049@student.nicmar.ac.in</t>
  </si>
  <si>
    <t>09-Jan-2002</t>
  </si>
  <si>
    <t>6303 2253 0094</t>
  </si>
  <si>
    <t>ARVIND SACHAN</t>
  </si>
  <si>
    <t>NEETU SACHAN</t>
  </si>
  <si>
    <t>113 SANJAY GANDHI NAGAR NAUBASTA, KANPUR</t>
  </si>
  <si>
    <t>BNSD SHIKSHA NIKETAN INTER COLLEGE</t>
  </si>
  <si>
    <t>BOARD OF HIGHSCHOOL AND INTERMEDIATE EDUCATION UP, KANPUR NAGAR</t>
  </si>
  <si>
    <t>SYMBIOSIS INSTITUTE OF TECHNOLOGY, PUNE, MAHARASTRA</t>
  </si>
  <si>
    <t>MS Office,MS Project,Primavera, Gov E-file</t>
  </si>
  <si>
    <t>KPMG Assurance and Consulting Services LLP | INTERN MPA | Transport Bhawan, New Delhi | May 2026 | Jun 2026 | 7.5714285714286 Weeks | Campus Internship
Kanpur Development Authority | Summer Intern | Kanpur  | Jul 2021 | Aug 2021 | 4.4285714285714 Weeks
GODREJ PROPERTIES LTD | OPERATIONS | MUMBAI | Jan 2023 | Jun 2023 | 24.571428571429 Weeks</t>
  </si>
  <si>
    <t>"Water Quality studies using Hyperspectral Remote Sensing for the Indian Coastal and Inland Waters" by ISRO
â€œGeospatial Modeling Driven Urban Hazard and Risk Analysis" by ISRO
PG Certification Program in Financial Managment</t>
  </si>
  <si>
    <t>P25701050</t>
  </si>
  <si>
    <t>RINKE</t>
  </si>
  <si>
    <t>Abhinav Pramod Rinke</t>
  </si>
  <si>
    <t>abhinav7169@gmail.com</t>
  </si>
  <si>
    <t>p25701050@student.nicmar.ac.in</t>
  </si>
  <si>
    <t>2055 1793 2321</t>
  </si>
  <si>
    <t>PRAMOD RINKE</t>
  </si>
  <si>
    <t>ARCHANA RINKE</t>
  </si>
  <si>
    <t>MORYA PARK LANE NO. 4, PIMPLE GURAV, PUNE</t>
  </si>
  <si>
    <t>Waman Nagar, Khamgaon</t>
  </si>
  <si>
    <t>SARASWATI VIDHYA MANDIR, KHAMGAON</t>
  </si>
  <si>
    <t>NATIONAL SCIENCE JR. COLLEGE, AKOLA, MAHARASHTRA</t>
  </si>
  <si>
    <t>SANT GADGE BABA AMRAVATI UNIVERSITY, AMRAVATI, MAHARASHTRA</t>
  </si>
  <si>
    <t>MAULI COLLEGE OF ENGINEERING AND TECHNOLOGY, SHEGAON, MAHARASHTRA</t>
  </si>
  <si>
    <t>AutoCAD,MS Office,MS Project,Tekla Software,Revit</t>
  </si>
  <si>
    <t>Quadratic Consultants | Precast Modeler | Baner, Pune | Jun 2023 | Jul 2025 | 2Y 1M | 3.49</t>
  </si>
  <si>
    <t>Jyoti Structures Ltd | Management Intern | Pune | May 2026 | Jul 2026 | 8.7142857142857 Weeks | Campus Internship
Thinktech Engineers | Trainee Engineer | Deccan,Pune | Jan 2023 | Jun 2023 | 25.571428571429 Weeks</t>
  </si>
  <si>
    <t>Tekla Structures Steel Basic Training
Tekla Structures Concrete Basic Training</t>
  </si>
  <si>
    <t>P25701051</t>
  </si>
  <si>
    <t>DEORE</t>
  </si>
  <si>
    <t>Om Ravindra Deore</t>
  </si>
  <si>
    <t>deoreom11@gmail.com</t>
  </si>
  <si>
    <t>p25701051@student.nicmar.ac.in</t>
  </si>
  <si>
    <t>5618 7307 3541</t>
  </si>
  <si>
    <t>RAVINDRA DEORE</t>
  </si>
  <si>
    <t>KAVITA DEORE</t>
  </si>
  <si>
    <t>HOUSE WIFE561873073541</t>
  </si>
  <si>
    <t>Bapusadan, Kalanagar, Near Krishna Row House, Dindori Road, Nashik.</t>
  </si>
  <si>
    <t>DON BOSCO SCHOOL AND JUNIOR COLLEGE</t>
  </si>
  <si>
    <t>MAHARASHTRA STATE BOARD OF SECONDARY AND HIGHER SECONDARY EDUCATION.</t>
  </si>
  <si>
    <t>KRANTIVEER VANSANTRAO NAI SHIKSHAN PRASARAKH</t>
  </si>
  <si>
    <t>SAVITRIBAI PHULE PUNE UNIVERSITY.</t>
  </si>
  <si>
    <t>SMEF'S BRICK SCHOOL OF ARCHITECTURE.</t>
  </si>
  <si>
    <t>AutoCAD,MS Office,MS Project,Primavera,3d Sketchup,lumion,Photoshop.,InDesign,Twinmotion.,CANDY(CCS)</t>
  </si>
  <si>
    <t>Fortress Infracon limited | Project Advisory | Thane | May 2026 | Jul 2026 | 8.7142857142857 Weeks | Campus Internship
Raagin Karman Architects | Intern Architect | Ahemdabad | Jun 2024 | Oct 2024 | 21 Weeks</t>
  </si>
  <si>
    <t>Geometric and Traffic Aspects of Highway
Introduction to Corporate Finance
Project Planning and Execution Management
Project Management: The Basics for Success</t>
  </si>
  <si>
    <t>P25701052</t>
  </si>
  <si>
    <t>PRAGVANSH</t>
  </si>
  <si>
    <t>PALDEWAR</t>
  </si>
  <si>
    <t>Pragvansh Praveen Paldewar</t>
  </si>
  <si>
    <t>pppragu@gmail.com</t>
  </si>
  <si>
    <t>p25701052@student.nicmar.ac.in</t>
  </si>
  <si>
    <t>ENGLISH, MARATHI  AND HINDI</t>
  </si>
  <si>
    <t>3747 4129 6983</t>
  </si>
  <si>
    <t>FLAT NO-203 SHROFF SOLENO, RH21, NANDE - BALEWADI RD, MAHALUNGE, PUNE, MAHARASHTRA 411045</t>
  </si>
  <si>
    <t>Plot No -111/112 Vasant Nagar Near Airport Road ,Nanded</t>
  </si>
  <si>
    <t>CENTRAL BOARD OF SECONDARY EDUCATION , NANDED, MAHARASHTRA</t>
  </si>
  <si>
    <t>CAMBRIDGE JUNIOR COLLEGE ,NANDED</t>
  </si>
  <si>
    <t>VELLORE INSTITUTE OF TECHNOLOGY (VIT), VELLORE</t>
  </si>
  <si>
    <t>VELLORE INSTITUTE OF TECHNOLOGY ,  VELLORE, TAMIL NADU</t>
  </si>
  <si>
    <t>AutoCAD,MS Office,MS Project,Primavera,STAAD PRO,CSI ETABS</t>
  </si>
  <si>
    <t>Kolte-Patil Integrated Townships ( Pune ) Ltd | Civil Engineering Intern | Pune | Sep 2023 | Dec 2023 | 13.142857142857 Weeks</t>
  </si>
  <si>
    <t>Stakeholder Management
Project Scheduling: Estimate Activity Durations
Introduction to Corporate Finance
Project Management: The Basics for Success</t>
  </si>
  <si>
    <t>P25701053</t>
  </si>
  <si>
    <t>KEERTI</t>
  </si>
  <si>
    <t>POLICEPATIL</t>
  </si>
  <si>
    <t>Keerti G Policepatil</t>
  </si>
  <si>
    <t>keertipolicepatil04@gmail.com</t>
  </si>
  <si>
    <t>p25701053@student.nicmar.ac.in</t>
  </si>
  <si>
    <t>7781 3871 3529</t>
  </si>
  <si>
    <t>GURURAJ POLICEPATIL</t>
  </si>
  <si>
    <t>SARASWATI G POLICEPATIL</t>
  </si>
  <si>
    <t>#25/27,LINGARAJ NAGAR(SOUTH) ,VIDYANAGAR,HUBLI</t>
  </si>
  <si>
    <t>CHINMAYA  ENGLISH PRIMARY SCHOOL</t>
  </si>
  <si>
    <t>CHETAN  PU SCIENCE COLLEGE</t>
  </si>
  <si>
    <t>KLE TECHNOLOGICAL UNIVERSITY HUBBALLI ,KARNATAKA</t>
  </si>
  <si>
    <t>MS Office,MS Project,Primavera,Microsoft Excel,Sap</t>
  </si>
  <si>
    <t>Ahluwalia Contracts(India)Limited | INTERN-Project Coordinator  | BENGALURU,KARNATAKA | May 2026 | Jul 2026 | 8.5714285714286 Weeks | Campus Internship
Brigade Group | Intern In PMG and QMS  Department  | Bengaluru | Jan 2025 | Mar 2025 | 8.2857142857143 Weeks</t>
  </si>
  <si>
    <t>P25701054</t>
  </si>
  <si>
    <t>SAMRUDDHI</t>
  </si>
  <si>
    <t>JADHAO</t>
  </si>
  <si>
    <t>Samruddhi Surendra Jadhao</t>
  </si>
  <si>
    <t>samruddhisjadhao@gmail.com</t>
  </si>
  <si>
    <t>p25701054@student.nicmar.ac.in</t>
  </si>
  <si>
    <t>7078 6197 8189</t>
  </si>
  <si>
    <t>SURENDRA JADHAO</t>
  </si>
  <si>
    <t>VAISHALI JADHAO</t>
  </si>
  <si>
    <t>15, Sitaram Baba Colony_x000D_
Behind Satysai Center_x000D_
Near Farshi Stop</t>
  </si>
  <si>
    <t>ST. FRANCIS HIGH SCHOOL, AMRAVATI</t>
  </si>
  <si>
    <t>ARTS, COMMERCE, SCIENCE COLLAGE, KIRAN NAGAR, AMRAVATI</t>
  </si>
  <si>
    <t>VISHWAKARMA INSTITUTE OF INFORMATION AND TECHNOLOGY, PUNE</t>
  </si>
  <si>
    <t>AutoCAD,MS Office,MS Project,Project Planning &amp; Scheduling,Cost Estimation &amp; Quantity Surveying,Billing &amp; BOQ Preparation,Urban Infrastructure Fundamentals,Project Controls &amp; Reporting,Earned Value Management (EVM),Risk Management</t>
  </si>
  <si>
    <t>VISION CIVIL ENGINEER CONTRACTOR &amp; VALUER | Property Valuation Intern | PUNE | Jan 2025 | May 2025 | 19.285714285714 Weeks</t>
  </si>
  <si>
    <t>P25701055</t>
  </si>
  <si>
    <t>CHANDRAHAS</t>
  </si>
  <si>
    <t>Omkar Chandrahas Shinde</t>
  </si>
  <si>
    <t>ocshinde43@gmail.com</t>
  </si>
  <si>
    <t>p25701055@student.nicmar.ac.in</t>
  </si>
  <si>
    <t>Passionate about trekking and outdoor exploration,cricket</t>
  </si>
  <si>
    <t>5544 8966 5131</t>
  </si>
  <si>
    <t>CHANDRAHAS SHINDE</t>
  </si>
  <si>
    <t>GOVT RETIRED</t>
  </si>
  <si>
    <t>502, A -WING RUNWAL GARDEN_x000D_
NEAR RAUNAK PARK ,POKHARAN RD 2</t>
  </si>
  <si>
    <t>LITTLE FLOWER HIGH SCHOOL</t>
  </si>
  <si>
    <t>MAHARSHTA STATE BOARD OF SECONDARY AND HIGHER SECONDARY EDUCATION, PUNE</t>
  </si>
  <si>
    <t>MUCHHALA POLYTECHNIC THANE</t>
  </si>
  <si>
    <t>NEW HORIZON INSTITUTE OF TECHNOLOGY AND MANAGEMENT</t>
  </si>
  <si>
    <t>AutoCAD,MS Office,Revit Structure</t>
  </si>
  <si>
    <t>SHREE SAIBABA GRIHANIRMITI PVT. LTD. | Fitout Engineer | Thane | Jun 2023 | Jul 2024 | 1Y 0M | 2.17</t>
  </si>
  <si>
    <t>PLANHIGH ARCHITECTS AND PROJECT MANAGEMENT CONSULTANTS  | PROJECT MANAGEMENT/COORDINATION  | Thane | May 2026 | Jul 2026 | 8.5714285714286 Weeks | Campus Internship</t>
  </si>
  <si>
    <t>Programme in Autocad</t>
  </si>
  <si>
    <t>P25701056</t>
  </si>
  <si>
    <t>SAWANT</t>
  </si>
  <si>
    <t>Neha Rajesh Sawant</t>
  </si>
  <si>
    <t>nehasawant1904@gmail.com</t>
  </si>
  <si>
    <t>p25701056@student.nicmar.ac.in</t>
  </si>
  <si>
    <t>19-Apr-1999</t>
  </si>
  <si>
    <t>7082 2232 2612</t>
  </si>
  <si>
    <t>DEPUTY ENGINEER</t>
  </si>
  <si>
    <t>SWAPNA</t>
  </si>
  <si>
    <t>BANK OFFICER</t>
  </si>
  <si>
    <t>702, Parth CHS, L.T. Nagar, M.G. Road, Goregaon-west, Mumbai- 400104</t>
  </si>
  <si>
    <t>VIVEK VIDYALAYA &amp; JUNIOR COLLEGE   (MUMBAI)</t>
  </si>
  <si>
    <t>M.L. DAHANUKAR COLLEGE OF COMMERCE   (MUMBAI)</t>
  </si>
  <si>
    <t>SIR J. J. COLLEGE OF ARCHITECTURE   (MUMBAI)</t>
  </si>
  <si>
    <t>AutoCAD,MS Office,MS Project,3D Sketchup,3D Rhino,Adobe Photoshop,Adobe Indesign,Canva design,Lumion</t>
  </si>
  <si>
    <t>Samira Rathod Design Atelier | Junior Architect | Prabhadevi, Mumbai | Oct 2021 | Nov 2023 | 2Y 1M | 3
Serie Architects | Junior Architect | Lower Parel, Mumbai | Feb 2024 | Jun 2025 | 1Y 3M | 5.4</t>
  </si>
  <si>
    <t>ManAssure - Advisory and Consultancy | Business Development Intern | Remote | May 2026 | Jul 2026 | 8.5714285714286 Weeks | Campus Internship
SAS ARCHITECTS | Intern Architect (Site Coordinator) | MULUND, MUMBAI | Jun 2021 | Oct 2021 | 17.428571428571 Weeks
ARCHITECT LOKHADWALLA F.T. | Intern | MUMBAI CENTRAL, MUMBAI | Nov 2019 | Mar 2020 | 17.142857142857 Weeks</t>
  </si>
  <si>
    <t>P25701057</t>
  </si>
  <si>
    <t>PRITHVIRAJ</t>
  </si>
  <si>
    <t>GOSWAMI</t>
  </si>
  <si>
    <t>Prithviraj Goswami</t>
  </si>
  <si>
    <t>prithvirajgoswamilogan@gmail.com</t>
  </si>
  <si>
    <t>p25701057@student.nicmar.ac.in</t>
  </si>
  <si>
    <t>08-Oct-1999</t>
  </si>
  <si>
    <t>8868 4819 2974</t>
  </si>
  <si>
    <t>ALOK RANJAN GOSWAMI</t>
  </si>
  <si>
    <t>PRATIBHA SHARMA GOSWAMI</t>
  </si>
  <si>
    <t>Flat 1B,Ujan Abhoynagar, Agartala, West Tripura,Tripura-799005</t>
  </si>
  <si>
    <t>West Tripura</t>
  </si>
  <si>
    <t>Tripura</t>
  </si>
  <si>
    <t>SRI KRISHNA MISSION SCHOOL</t>
  </si>
  <si>
    <t>CENTRAL BOARD OF SECONDARY EDUCATION(TRIPURA)</t>
  </si>
  <si>
    <t>HINDI HIGHER SECONDARY SCHOOL</t>
  </si>
  <si>
    <t>NATIONAL INSTITUTE OF TECHNOLOGY AGARTALA</t>
  </si>
  <si>
    <t>KEC International Ltd | Engineer-Projects | Bhopal | Jul 2022 | Jun 2024 | 1Y 10M | 6.25</t>
  </si>
  <si>
    <t>Aditya Planing And CAD Solutions | Project Planning And Coordination Intern | Agartala | May 2026 | Jul 2026 | 8.5714285714286 Weeks | Campus Internship</t>
  </si>
  <si>
    <t>P25701058</t>
  </si>
  <si>
    <t>ANIRUDH</t>
  </si>
  <si>
    <t>MANGLIA</t>
  </si>
  <si>
    <t>Anirudh Singh Manglia</t>
  </si>
  <si>
    <t>manglia.anirudh27@gmail.com</t>
  </si>
  <si>
    <t>p25701058@student.nicmar.ac.in</t>
  </si>
  <si>
    <t>27-Jun-2000</t>
  </si>
  <si>
    <t>Theatre,Watching Movies,Geography,Playing Cricket and Basketball,Travelling</t>
  </si>
  <si>
    <t>6045 1604 0860</t>
  </si>
  <si>
    <t>JUGAL KISHORE</t>
  </si>
  <si>
    <t>RETIRED UDC</t>
  </si>
  <si>
    <t>PRAVEENA MANGLIA</t>
  </si>
  <si>
    <t>C-225/A, SARASWATI NAGAR, BASNI-Ist PHASE, JODHPUR</t>
  </si>
  <si>
    <t>Jodhpur</t>
  </si>
  <si>
    <t>ST. ANNE'S SR. SEC. SCHOOL</t>
  </si>
  <si>
    <t>MBM UNIVERSITY</t>
  </si>
  <si>
    <t>MBM ENGINEERING COLLEGE JODHPUR</t>
  </si>
  <si>
    <t>AutoCAD,MS Office,MS Project,Primavera,REVIT,EXCEL</t>
  </si>
  <si>
    <t>HGIEL | GET | PAN INDIA | Oct 2023 | Jan 2024 | 0Y 3M | 3</t>
  </si>
  <si>
    <t>Asian Paints Ltd | Executive I/II Sales Engineering-WP | BHIWADI- RAJASTHAN | May 2026 | Jul 2026 | 8.7142857142857 Weeks | Campus Internship
CPWD | Assistant Engineer | Udaipur, Rajasthan | Jun 2022 | Jul 2022 | 6.2857142857143 Weeks</t>
  </si>
  <si>
    <t>AUTODESK REVIT
Microeconomics Principles
Introduction to Generative AI in Human Resources
Project Management:The basics for Success
Introduction to Corporate Finance</t>
  </si>
  <si>
    <t>P25701059</t>
  </si>
  <si>
    <t>Priyanka S</t>
  </si>
  <si>
    <t>priyankashiremath878@gmail.com</t>
  </si>
  <si>
    <t>p25701059@student.nicmar.ac.in</t>
  </si>
  <si>
    <t>English,Hindi and Kannada</t>
  </si>
  <si>
    <t>9356 7359 6680</t>
  </si>
  <si>
    <t>SATHAYYA B</t>
  </si>
  <si>
    <t>NAGAMMA</t>
  </si>
  <si>
    <t>968 VEERABHADRESHWARA NILAYA , BANASHANKARI 6TH STAGE ,2ND BLOCK KARIYANPALYA</t>
  </si>
  <si>
    <t>#13 20th Main Road  , JC Nagar Kurubarahalli Bangalore 560086</t>
  </si>
  <si>
    <t>PRIYANKA S</t>
  </si>
  <si>
    <t>RNS PRE UNIVERSITY COLLAGE</t>
  </si>
  <si>
    <t>JSS ACADEMY OF TECHNICAL EDUCATION</t>
  </si>
  <si>
    <t>AutoCAD,MS Office,MS Project,Primavera,Revit,Stadd pro</t>
  </si>
  <si>
    <t>Systra India | Regional Technical Centre (CTR) | SYSTRA MVA Consulting (India) Pvt. Ltd. Prestige Towers, 8th Floor, Residency Road, Shanthala Nagar, Ashok  Nagar, Bengaluru, Karnataka- 560027 | May 2026 | Jul 2026 | 8.5714285714286 Weeks | Campus Internship
CHETAN INFRATECH CONSULTANTS PVT.LTD | Intern | Banshankari 1st stage, Srinagar | Feb 2025 | Apr 2025 | 11.857142857143 Weeks
Nagarjuna Construction Company | Intern | HBR layout | Oct 2024 | Jan 2025 | 9.4285714285714 Weeks
RITES | SITE INTERN | CHALLAGHATA, BANGALORE | Nov 2023 | Dec 2023 | 4.2857142857143 Weeks</t>
  </si>
  <si>
    <t>P25701060</t>
  </si>
  <si>
    <t>SANGAM</t>
  </si>
  <si>
    <t>SHASHIKANT</t>
  </si>
  <si>
    <t>Singh Sangam Shashikant</t>
  </si>
  <si>
    <t>sangamsingh492000@gmail.com</t>
  </si>
  <si>
    <t>p25701060@student.nicmar.ac.in</t>
  </si>
  <si>
    <t>3172 2660 5130</t>
  </si>
  <si>
    <t>SHASHIKANT RAMSURAT SINGH</t>
  </si>
  <si>
    <t>PRIVATE SECTOR JOB</t>
  </si>
  <si>
    <t>SARITA SHASHIKANT SINGH</t>
  </si>
  <si>
    <t>Flat 002, Guruprabha Sankul, Near Mangalvaar Bazaar, Water Supply Road, Kongaon, Kalyan West</t>
  </si>
  <si>
    <t>OXFORD PUBLIC SCHOOL</t>
  </si>
  <si>
    <t>MAHARASHTRA STATE BOARD OF SECONDARY AND HIGHER SECONDARY EDUCATION / MUMBAI</t>
  </si>
  <si>
    <t>THAKUR POLYTECHNIC / MUMBAI</t>
  </si>
  <si>
    <t>UNIVERSAL COLLEGE OF ENGINEERING / MUMBAI</t>
  </si>
  <si>
    <t>DNEG India Media Services Limited | Show Production Coordinator | Mumbai | Sep 2022 | Sep 2024 | 2Y 0M | 2.4
Freyssinet Menard India Private Limited | Graduate Engineer Trainee | New Delhi, Gurugram, Noida, Mumbai | Oct 2024 | Apr 2025 | 0Y 6M | 3.25</t>
  </si>
  <si>
    <t>Pidilite Industries Limited | Business Development &amp; Market Intelligence Intern | Mumbai | May 2026 | Jun 2026 | 7.5714285714286 Weeks | Campus Internship
SHRREEYA DEVELOPERS | Junior Engineer | Mumbai | Nov 2019 | Jan 2020 | 6.1428571428571 Weeks
KOSMOS DEVELOPERS | JUNIOR ENGINEER | MUMBAI | Nov 2020 | Feb 2021 | 16.428571428571 Weeks
VASUDEV C. WADHWA CONSTRUCTION | JUNIOR ENGINEER | MUMBAI | Mar 2021 | Dec 2021 | 42.571428571429 Weeks</t>
  </si>
  <si>
    <t>P25701061</t>
  </si>
  <si>
    <t>DIPANJAN</t>
  </si>
  <si>
    <t>Dipanjan Ghosh</t>
  </si>
  <si>
    <t>ghoshdipanjan03@gmail.com</t>
  </si>
  <si>
    <t>p25701061@student.nicmar.ac.in</t>
  </si>
  <si>
    <t>3122 3447 7841</t>
  </si>
  <si>
    <t>JOYDIP GHOSH</t>
  </si>
  <si>
    <t>ANJANA GHOSH</t>
  </si>
  <si>
    <t>NICMAR UNIVERSITY, PUNE,25 / 1, BALEWADI, N.I.A. POST OFFICE, PUNE - 411045, MAHARASHTRA</t>
  </si>
  <si>
    <t>Village - Joychandipur_x000D_
P.O. - Bakhrahat_x000D_
District - 24 Pgs (S)_x000D_
Pin - 743377</t>
  </si>
  <si>
    <t>S.L. BAJORIA FOUNDATION HIGH SCHOOL</t>
  </si>
  <si>
    <t>K.E. CARMEL SCHOOL, AMTALA</t>
  </si>
  <si>
    <t>INDIAN SCHOOL CERTIFICATE, NEW DELHI</t>
  </si>
  <si>
    <t>JADAVPUR UNIVERSITY</t>
  </si>
  <si>
    <t>JADAVPUR UNIVERSITY, WEST BENGAL</t>
  </si>
  <si>
    <t>Aditya Birla Group | Assistant Manager, Civil &amp; Construction | Singrauli, Madhya Pradesh | Aug 2023 | Jun 2025 | 1Y 10M | 8</t>
  </si>
  <si>
    <t>Grant Thornton Bharat LLP | Client study, research | Work from home | May 2026 | Jul 2026 | 9.7142857142857 Weeks | Campus Internship</t>
  </si>
  <si>
    <t>P25701062</t>
  </si>
  <si>
    <t>CHINCHAWADE</t>
  </si>
  <si>
    <t>Nikhil Anil Chinchawade</t>
  </si>
  <si>
    <t>nikhilanilchin@gmail.com</t>
  </si>
  <si>
    <t>p25701062@student.nicmar.ac.in</t>
  </si>
  <si>
    <t>Traveling,Theatre,Sports,Watching Movies/Shows</t>
  </si>
  <si>
    <t>3178 4471 9185</t>
  </si>
  <si>
    <t>ANIL CHINCHAWADE</t>
  </si>
  <si>
    <t>SR. DGM</t>
  </si>
  <si>
    <t>NANDINI CHINCHAWADE</t>
  </si>
  <si>
    <t>Kurtarkar Nagri, Bld No. 3A, Flat No. S5, Near Forest Office</t>
  </si>
  <si>
    <t>A. J. DE ALMEIDA HIGH SCHOOL</t>
  </si>
  <si>
    <t>GOA BOARD OF SECONDARY AND HIGHER SECONDARY EDUCATION, ALTO-BETIM, GOA</t>
  </si>
  <si>
    <t>S. S. SAMITI'S HIGHER SECONDARY SCHOOL</t>
  </si>
  <si>
    <t>DON BOSCO COLLEGE OF ENGINEERING, FATORDA MARGAO-GOA</t>
  </si>
  <si>
    <t>AutoCAD,MS Office,MS Project,Primavera,MidasGen</t>
  </si>
  <si>
    <t>Prakash S.P. Lawande Consulting Engineer | Civil Engineer | Ponda Goa | Sep 2023 | Sep 2024 | 1Y 0M | 2.4
Suraksha Constructions | Civil Engineer | Kundaim-Goa | Feb 2023 | Aug 2023 | 0Y 6M | 1.8</t>
  </si>
  <si>
    <t>New Consolidated Construction Co. Ltd. (NCCCL) | Project Planning and Execution | Alibag, Maharashtra | May 2026 | Jul 2026 | 8.7142857142857 Weeks | Campus Internship
Techno Art Builder | Civil Engineer | Ponda | Oct 2024 | Apr 2025 | 28.428571428571 Weeks</t>
  </si>
  <si>
    <t>Financial Literacy  by IITBombayX
English for Oral Communication by  IITBombayX
Diploma in Autocad
Introduction to Generative AI in Human Resources
Introduction to Marketing
Six Sigma Principles
Foundations of Project Management
Microeconomics Principles
Project Management: The Basics for Success
Introduction to Corporate Finance</t>
  </si>
  <si>
    <t>P25701063</t>
  </si>
  <si>
    <t>Sandeep Sahu</t>
  </si>
  <si>
    <t>sahusandeep387@gmail.com</t>
  </si>
  <si>
    <t>p25701063@student.nicmar.ac.in</t>
  </si>
  <si>
    <t>6192 7253 7149</t>
  </si>
  <si>
    <t>SUDHIR KUMAR SAHU</t>
  </si>
  <si>
    <t>DIPMALA SAHU</t>
  </si>
  <si>
    <t>House No - 21, Balaji City, Bargarh, Odisha, 768028</t>
  </si>
  <si>
    <t>VIKASH RESIDENTIAL SCHOOL VIKASENCLAVE BARHAGUDA, BARGARH, ODISHA</t>
  </si>
  <si>
    <t>CENTRAL BOARD OF SECONDAY EDUCATION, BARGARH,ODISHA</t>
  </si>
  <si>
    <t>VIKASH RESIDENTIAL SCHOOL BBSR KHURDA ODISHA</t>
  </si>
  <si>
    <t>CENTRAL BOARD OF SECONDAY EDUCATION, BBSR, ODISHA</t>
  </si>
  <si>
    <t>AutoCAD,MS Office,MS Project,Primavera,Sketchup,lumion,Revit,Navisworks</t>
  </si>
  <si>
    <t>Arconaid Consultants Private Limited | Architecture, Interior Design | Pune | Sep 2024 | Jun 2025 | 0Y 8M | 1.8</t>
  </si>
  <si>
    <t>ARCHITECT RISHIKESH H. | Project Managemrnt Intern | Pune | May 2026 | Jul 2026 | 9.5714285714286 Weeks | Campus Internship
Kalamiti Design Studio | Architecture, Interior Design | Pune | May 2022 | Jul 2022 | 8.5714285714286 Weeks
Verizon Architects | Architecture, Interior, Landscape, Urban Planning and Design | Ahmedabad | Jun 2023 | Nov 2023 | 23.142857142857 Weeks</t>
  </si>
  <si>
    <t>P25701064</t>
  </si>
  <si>
    <t>RIJUTA</t>
  </si>
  <si>
    <t>PULLIWAR</t>
  </si>
  <si>
    <t>Rijuta Prasad Pulliwar</t>
  </si>
  <si>
    <t>rijuta.pulliwar20@gmail.com</t>
  </si>
  <si>
    <t>p25701064@student.nicmar.ac.in</t>
  </si>
  <si>
    <t>20-Sep-2001</t>
  </si>
  <si>
    <t>ENGLISH, HINDI, MARATHI, GERMAN</t>
  </si>
  <si>
    <t>8201 2116 2108</t>
  </si>
  <si>
    <t>PRASAD PULLIWAR</t>
  </si>
  <si>
    <t>POOJA PULLIWAR</t>
  </si>
  <si>
    <t>FLAT 1003, A1 WING, MANTRA MONARCH, PATIL NAGAR, BALEWADI, PUNE.</t>
  </si>
  <si>
    <t>Plot 42, Navnirman Colony, Pratap Nagar, Nagpur.</t>
  </si>
  <si>
    <t>SOMALWAR HIGH SCHOOL &amp; JUNIOR COLLEGE, NIKALAS BRANCH, NAGPUR - 440022</t>
  </si>
  <si>
    <t>M K H SANCHETI PUBLIC SCHOOL &amp; JUNIOR COLLEGE, NAGPUR</t>
  </si>
  <si>
    <t>DR. BHANUBEN NANAVATI COLLEGE OF ARCHITECTURE, PUNE.</t>
  </si>
  <si>
    <t>AutoCAD,MS Office,MS Project,Autodesk Revit,Primavera P6,MS Excel,@Risk</t>
  </si>
  <si>
    <t>Studio Adroit Architects | Junior Architect | Nagpur | Nov 2024 | May 2025 | 0Y 6M | 1.8
PEB Utkarsha Projects Pvt. Ltd. | Junior Architect | Nagpur | May 2024 | Nov 2024 | 0Y 6M | 1.8</t>
  </si>
  <si>
    <t>URBAN TREE ARCHITECTURE | Architectural Intern | PUNE, MAHARASHTRA. | Jun 2023 | Nov 2023 | 24.428571428571 Weeks
AIESEC IN PUNE | Senior Business Development Manager  | PUNE, MAHARASHTRA. | Aug 2020 | Jul 2021 | 52 Weeks</t>
  </si>
  <si>
    <t>Google Agile Essentials
Project Management - The Basics For Success
Certificate for Energy Literacy
Construction Management Foundations
Rhinoceros 3D and Grasshopper
Certified Associate in Project Management (CAPM)Â®
IIM Nagpur - Post Graduation Certificate Programme in Project Management
CSM - Certified Scrum Master
German Language: A2 Level (Goethe-Institute Certified)
Project Optimization in Primavera P6
Introduction to Corporate Finance</t>
  </si>
  <si>
    <t>P25701065</t>
  </si>
  <si>
    <t>CHANDRA</t>
  </si>
  <si>
    <t>K J</t>
  </si>
  <si>
    <t>Surabhi Chandra K J</t>
  </si>
  <si>
    <t>surabhichandra2003@gmail.com</t>
  </si>
  <si>
    <t>p25701065@student.nicmar.ac.in</t>
  </si>
  <si>
    <t>29-Jan-2003</t>
  </si>
  <si>
    <t>8416 6006 8802</t>
  </si>
  <si>
    <t>JAYACHANDRAN C K</t>
  </si>
  <si>
    <t>SENIOR DESIGNER</t>
  </si>
  <si>
    <t>DEEPA JAYACHANDRAN</t>
  </si>
  <si>
    <t>TC 10/2018 (4), VILLA A1, BEACON COLORS, PALATHARA, POWDIKONAM, THIRUVANANTHAPURAM, KERALA</t>
  </si>
  <si>
    <t>COTTAKKATTU HOUSE, NARIYAPURAM, VALLICODE, PATHANAMTHITTA, KERALA</t>
  </si>
  <si>
    <t>Pathanamthitta</t>
  </si>
  <si>
    <t>NAVAJEEVAN BETHANY VIDYALAYA NALANCHIRA</t>
  </si>
  <si>
    <t>SARVODAYA CENTRAL VIDYALAYA NALANCHIRA</t>
  </si>
  <si>
    <t>GOVERNMENT ENGINEERING COLLEGE BARTON HILL, THIRUVANANTHAPURAM</t>
  </si>
  <si>
    <t>AutoCAD,MS Office,MS Project,SPSS</t>
  </si>
  <si>
    <t>Deloitte Touche Tohmatsu India LLP | Intern | Mumbai | May 2026 | Jul 2026 | 8.5714285714286 Weeks | Campus Internship
KERALA RAIL DEVELOPMENT CORPORATION LIMITED | INTERN | THIRUVANANTHAPURAM, KERALA | May 2025 | Jun 2025 | 5.5714285714286 Weeks
SI PROPERTY (KERALA) PRIVATE LIMITED | INTERN | THIRUVANANTHAPURAM, KERALA | Jun 2024 | Jul 2024 | 3.4285714285714 Weeks
KERALA WATER AUTHORITY | INTERN | ARUVIKKARA, THIRUVANANTHAPURAM, KERALA | May 2023 | May 2023 | 0.85714285714286 Weeks</t>
  </si>
  <si>
    <t>P25701066</t>
  </si>
  <si>
    <t>Srushti Shah</t>
  </si>
  <si>
    <t>srushti.urmish.shah@gmail.com</t>
  </si>
  <si>
    <t>p25701066@student.nicmar.ac.in</t>
  </si>
  <si>
    <t>4098 2115 6950</t>
  </si>
  <si>
    <t>URMISH SHAH</t>
  </si>
  <si>
    <t>JAYSHRI SHAH</t>
  </si>
  <si>
    <t>702, Bella Wing, Crystal Palace, Sec- 20, S.G. Belapur, SG Patil Marg, CBD Belapur, Navi Mumbai _x000D_</t>
  </si>
  <si>
    <t>JAIPURIAR SCHOOL NAVI MUMBAI THANE MAHARASHTRA</t>
  </si>
  <si>
    <t>MAHATMA EDUCATION SOCIETY'S PILLAI COLLEGE OF ARCHITECTURE, NEW PANVEL</t>
  </si>
  <si>
    <t>AutoCAD,MS Office,MS Project,Adobe Photoshop,Adobe Illustrator,SketchUp,Lumion</t>
  </si>
  <si>
    <t>Designworks | Junior architect  | Sanpada Navi Mumbai  | Aug 2024 | Jun 2025 | 0Y 10M | 3</t>
  </si>
  <si>
    <t>Medigence Solutions Pvt Ltd | Project Management Intern  | Ahmedabad | May 2026 | Jul 2026 | 8.7142857142857 Weeks | Campus Internship
Compartment S4 | Intern  | Ahmedabad | Nov 2022 | Apr 2023 | 25.714285714286 Weeks</t>
  </si>
  <si>
    <t>SMEF's BRICK School of Architecture, Pune - The Pandemic Memorial competition</t>
  </si>
  <si>
    <t>P25701067</t>
  </si>
  <si>
    <t>SHIRBHATE</t>
  </si>
  <si>
    <t>Akshata Anup Shirbhate</t>
  </si>
  <si>
    <t>akshatashirbhate9@gmail.com</t>
  </si>
  <si>
    <t>p25701067@student.nicmar.ac.in</t>
  </si>
  <si>
    <t>02-Dec-2002</t>
  </si>
  <si>
    <t>4067 6622 3648</t>
  </si>
  <si>
    <t>Anup Shirbhate, Opposite Monalisha Apartment Shrikrushna Peth Near Daffrin Hospital Amravati</t>
  </si>
  <si>
    <t>HOLY CROSS CONVENT ENGLISH HIGH AMRAVTI</t>
  </si>
  <si>
    <t>SSC ,PUNE</t>
  </si>
  <si>
    <t>INDEPENDENT JUNIOR COLLEGE RURAL INSTITUTE, AMRAVATI</t>
  </si>
  <si>
    <t>HSC , PUNE</t>
  </si>
  <si>
    <t>AutoCAD,MS Office,MS Project,Primavera,Illustrator,Indesign,Photoshop,Sketchup</t>
  </si>
  <si>
    <t>Godrej Properties  | Project Planning Intern | Mumbai | May 2026 | Jul 2026 | 8.7142857142857 Weeks | Campus Internship
Jawaharlal Nehru Port Authority | Architectural Intern | Navi Mumbai | Nov 2023 | Mar 2024 | 17.142857142857 Weeks</t>
  </si>
  <si>
    <t>Project Management Foundations  Project Management Foundation
Strategic Project Risk Management
Business Development Foundation
Lean Six Sigma Foundations
Six Sigma - Green Belt</t>
  </si>
  <si>
    <t>P25701068</t>
  </si>
  <si>
    <t>Prathamesh Santosh Kadam</t>
  </si>
  <si>
    <t>prathmeshkadam259@gmail.com</t>
  </si>
  <si>
    <t>p25701068@student.nicmar.ac.in</t>
  </si>
  <si>
    <t>Trekking,swimming,Acting,Fashion,Photography</t>
  </si>
  <si>
    <t>6574 9105 3938</t>
  </si>
  <si>
    <t>SANTOSH KONDIRAM KADAM</t>
  </si>
  <si>
    <t>OFFICE SUPERINTENDENT</t>
  </si>
  <si>
    <t>HEMLATA SANTOSH KADAM</t>
  </si>
  <si>
    <t>MAHALUNGE</t>
  </si>
  <si>
    <t>Deur, Koregaon, Satara</t>
  </si>
  <si>
    <t>ST. ANN'S ENGLISH MEDIUM SCHOOL &amp; JR.COLLAGE</t>
  </si>
  <si>
    <t>MAHARASHTRA STATE BOARD OF SECONDARY AND HIGHER SECONDARY EDUCATION, KOLHAPUR DIVISIONAL BOARD.</t>
  </si>
  <si>
    <t>PRAGNYA JUNIOR COLLEGE OF ARTS, COMMERCE AND SCIENCE</t>
  </si>
  <si>
    <t>MAHARASHTRA STATE BOARD OF SECONDARY AND HIGHER SECONDARY EDUCATION, PUNE DIVISIONAL BOARD.</t>
  </si>
  <si>
    <t>AISSMS COLLAGE OF ENGINEERING, PUNE, MAHARASHTRA</t>
  </si>
  <si>
    <t>Ecoboard industries Ltd | Project management intern | Pune | May 2026 | Jun 2026 | 8 Weeks | Campus Internship
Jain Engineering Pvt. Ltd. | Site execution  | Dombivli east | Dec 2023 | Jan 2024 | 5.8571428571429 Weeks</t>
  </si>
  <si>
    <t>Autocad
Collaborate effectively for professional success
Introduction to Corporate Finance
Project Management: The Basics for Success</t>
  </si>
  <si>
    <t>P25701070</t>
  </si>
  <si>
    <t>TAPASWIN</t>
  </si>
  <si>
    <t>Tapaswin Mishra</t>
  </si>
  <si>
    <t>mishratapaswin@gmail.com</t>
  </si>
  <si>
    <t>p25701070@student.nicmar.ac.in</t>
  </si>
  <si>
    <t>20-Oct-2002</t>
  </si>
  <si>
    <t>English Odia Hindi</t>
  </si>
  <si>
    <t>5481 6714 3768</t>
  </si>
  <si>
    <t>RABINARAYAN MISHRA</t>
  </si>
  <si>
    <t>SNEHALATA MISHRA</t>
  </si>
  <si>
    <t>Mohaveer Nagar ,  Jaipurkilla , Pipili</t>
  </si>
  <si>
    <t>Puri</t>
  </si>
  <si>
    <t>SRASWATI SISHU VIDYA MANDIR, JAYAPURKILLA, PIPILI</t>
  </si>
  <si>
    <t>JUPITER WOMEN'S SCIENCE HIGHER SECONDARY SCHOOL</t>
  </si>
  <si>
    <t>COUNCIL OF HIGHER SECONDARY  EDUCATION , ODISHA</t>
  </si>
  <si>
    <t>ODISHA UNIVERSITY OF TECHNOLOGY AND RESEARCH, ODISHA</t>
  </si>
  <si>
    <t>MS Office,MS Project,Primavera,SPSS,GIS</t>
  </si>
  <si>
    <t>Odisha Power Transmission Corporation Limited  | Project Finance  | Bhubneswar  | May 2026 | Jul 2026 | 9.8571428571429 Weeks | Campus Internship
MINISTRY OF HOUSING AND URBAN AFFAIRS, INDIA | INTERN | BHUBANESWAR | Jul 2022 | Aug 2022 | 5 Weeks</t>
  </si>
  <si>
    <t>Introduction to Corporate Finance
Project Management : The Basic For Success</t>
  </si>
  <si>
    <t>P25701071</t>
  </si>
  <si>
    <t>SADAVARTE</t>
  </si>
  <si>
    <t>Sakshi Avinash Sadavarte</t>
  </si>
  <si>
    <t>sakshi61002@gmail.com</t>
  </si>
  <si>
    <t>p25701071@student.nicmar.ac.in</t>
  </si>
  <si>
    <t>5976 4376 8257</t>
  </si>
  <si>
    <t>303, BARKHA BAHAR, MG ROAD, BESIDE THE FOOD TOWN HOTEL, NAUPADA, THANE WEST</t>
  </si>
  <si>
    <t>B/2 Shri Krishna Govind Prasad, Bhaskar Colony, Naupada, Thane West.</t>
  </si>
  <si>
    <t>SARASWATI VIDYALAYA HIGH SCHOOL &amp; JR. COLLEGE OF SCIENCE, THANE WEST</t>
  </si>
  <si>
    <t>MAHARASHTRA STATE BOARD OF SECONDARY AND HIGHER SECONDARY EDUCATION - MUMBAI</t>
  </si>
  <si>
    <t>AutoCAD,MS Office,MS Project,Primavera,Revit,Sketchup,Lumion</t>
  </si>
  <si>
    <t>JDesigns | Architectural Intern | Dadar, Mumbai | Nov 2023 | Apr 2024 | 20.714285714286 Weeks</t>
  </si>
  <si>
    <t>Sales Representative Certification Program by Reliance Foundation Skilling Academy
Coursera - Project Management- The Basics for success
Coursera- Introduction to Corporate Finance</t>
  </si>
  <si>
    <t>P25701073</t>
  </si>
  <si>
    <t>ANISH</t>
  </si>
  <si>
    <t>Anish K J</t>
  </si>
  <si>
    <t>kj.anish31@gmail.com</t>
  </si>
  <si>
    <t>p25701073@student.nicmar.ac.in</t>
  </si>
  <si>
    <t>31-Dec-2001</t>
  </si>
  <si>
    <t>ENGLISH, HINDI, KANNADA, KONKONI</t>
  </si>
  <si>
    <t>8126 1232 4008</t>
  </si>
  <si>
    <t>JOSEPH KV</t>
  </si>
  <si>
    <t>ANITHA JENNIFER</t>
  </si>
  <si>
    <t>#176, Munnekolal, Marathalli</t>
  </si>
  <si>
    <t>AIR FORCE SCHOOL MURGESHPALYA CAMP</t>
  </si>
  <si>
    <t>CENTRAL BOARD OF SECONDARY EDUCATION, BENGALURU/ KARNATAKA</t>
  </si>
  <si>
    <t>GOVERNMENT POLYTECHNIC IMMADIHALLI, BANGALORE/KARNATAKA</t>
  </si>
  <si>
    <t>CMR INSTITUTE OF TECHNOLOGY, BANGALORE/KARNATAKA</t>
  </si>
  <si>
    <t>AutoCAD,MS Office,MS Project,Primavera,@Risk,Candy</t>
  </si>
  <si>
    <t>Sowparnika Homes Pvt. Ltd. | Jr. Engineer | Bangalore | Jul 2024 | Jun 2025 | 0Y 11M | 3.25</t>
  </si>
  <si>
    <t>UNISPACE | Project Management Intern | Bengaluru | May 2026 | Jul 2026 | 8.7142857142857 Weeks | Campus Internship
SALARPURIA SATTVA | CONSTRUCTION MANAGEMENT AND QA/QC | BENGALURU | Aug 2023 | Sep 2023 | 4.4285714285714 Weeks
GOVERNMENT OF KARNATAKA PUBLIC WORKS DEPARTMENT | PROJECT MANAGEMENT | BANGERPET, KARNATAKA | Sep 2021 | Sep 2021 | 2 Weeks</t>
  </si>
  <si>
    <t>P25701074</t>
  </si>
  <si>
    <t>Jaswant Singh R</t>
  </si>
  <si>
    <t>jasusingh001@gmail.com</t>
  </si>
  <si>
    <t>p25701074@student.nicmar.ac.in</t>
  </si>
  <si>
    <t>08-Nov-2000</t>
  </si>
  <si>
    <t>English,Hindi,Kannada,Tamil,Telugu</t>
  </si>
  <si>
    <t>6256 4386 3517</t>
  </si>
  <si>
    <t>RAVINDRANATH SINGH R</t>
  </si>
  <si>
    <t>RATHNA SINGH R</t>
  </si>
  <si>
    <t>9/1, 1st Main Road, New Guddadahalli, Bangalore, Karnataka 560026</t>
  </si>
  <si>
    <t>BANGALORE HIGH SCHOOL</t>
  </si>
  <si>
    <t>KARNATAKA SECONDARY EDUCATION EXAMINATION BOARD, BENGALURU</t>
  </si>
  <si>
    <t>AUTOMOBILE ENGINEERING</t>
  </si>
  <si>
    <t>PVP POLYTECHNIC, BANGALURU</t>
  </si>
  <si>
    <t>2017-Nov</t>
  </si>
  <si>
    <t>ACHARYA INSTITUTE OF TECHNOLOGY</t>
  </si>
  <si>
    <t>AutoCAD,MS Office,MS Project,Primavera,Matlab,Adobe suite,Solid works,HSE documentation</t>
  </si>
  <si>
    <t>Practice Buzz | Marketing Executive | India | Sep 2023 | Jul 2025 | 1Y 10M | 3.96
JBM Ogihara Automotive India Limited | Production Engineer | Bangalore | May 2023 | Apr 2024 | 0Y 11M | 3</t>
  </si>
  <si>
    <t>King's Developers &amp; Infrastructure | Management Trainee  | Bangalore | May 2026 | Jul 2026 | 8.7142857142857 Weeks | Campus Internship
Acharya Institute Of Technology | Digital Marketing Team | Baangalore | Nov 2021 | Oct 2022 | 47.571428571429 Weeks</t>
  </si>
  <si>
    <t>Electrical Vehicles</t>
  </si>
  <si>
    <t>P25701075</t>
  </si>
  <si>
    <t>BHANUSHALI</t>
  </si>
  <si>
    <t>Varun Amar Bhanushali</t>
  </si>
  <si>
    <t>varunbhanu3@gmail.com</t>
  </si>
  <si>
    <t>p25701075@student.nicmar.ac.in</t>
  </si>
  <si>
    <t>ENGLISH, HINDI, MARATHI, GUJRATI</t>
  </si>
  <si>
    <t>Drama &amp; Playwriting,Running marathons,playing a musical instrument,Listening to podcasts</t>
  </si>
  <si>
    <t>7659 7642 5921</t>
  </si>
  <si>
    <t>Gurukul Nagar,yukta Apartment,flat No 2/3, Kinhavali</t>
  </si>
  <si>
    <t>WISDOM ENGLISH SCHOOL</t>
  </si>
  <si>
    <t>MAHARASHTRA STATE BOARD/MURBAD</t>
  </si>
  <si>
    <t>PACE JUNIOR SCIENCE COLLEGE</t>
  </si>
  <si>
    <t>MAHARASHTRA STATE OF HIGHER AND SECONDARY EDUCATION/THANE</t>
  </si>
  <si>
    <t>SHIVAJIRAO S JONDHLE COLLEGE OF ENGINEERING/MAHARASHTRA</t>
  </si>
  <si>
    <t>AutoCAD,MS Office,MS Project,Primavera,Asana</t>
  </si>
  <si>
    <t>Pidilite Industries | Business Development &amp; Market Research | Mumbai | May 2026 | Jul 2026 | 11.857142857143 Weeks | Campus Internship
Manish Construction | Junior Engineer  | Pimpri-Chinchwad  | Jul 2024 | Feb 2025 | 27.714285714286 Weeks</t>
  </si>
  <si>
    <t>AUTOCAD CIVIL
Equity Market Analyst
Corporate Finance</t>
  </si>
  <si>
    <t>P25701076</t>
  </si>
  <si>
    <t>RUDRA</t>
  </si>
  <si>
    <t>DATTATRAYA</t>
  </si>
  <si>
    <t>PHADTARE</t>
  </si>
  <si>
    <t>Rudra Dattatraya Phadtare</t>
  </si>
  <si>
    <t>rudraphadtare2709@gmail.com</t>
  </si>
  <si>
    <t>p25701076@student.nicmar.ac.in</t>
  </si>
  <si>
    <t>Fitness and Gym,Volunteering for Social Causes,Gathering Information about different Countries,Playing cricket &amp; volleyball</t>
  </si>
  <si>
    <t>4085 8597 7971</t>
  </si>
  <si>
    <t>DATTATRAYA PHADTARE</t>
  </si>
  <si>
    <t>RETIRED MECHANICAL ENGINEER</t>
  </si>
  <si>
    <t>RESHMA PHADTARE</t>
  </si>
  <si>
    <t>JOURNALIST</t>
  </si>
  <si>
    <t>Chaitrabun Bungalow Pl, No 84 , Vanashree Nagar ,Talegaon Dabhade ,</t>
  </si>
  <si>
    <t>DR.A.C HIGH SCHOOL</t>
  </si>
  <si>
    <t>ASM JR . COLLEGE</t>
  </si>
  <si>
    <t>DY PATIL COLLEGE OF ENGINEERING , AKURDI , PUNE.</t>
  </si>
  <si>
    <t>AutoCAD,MS Office,MS Project,Advanced Excel,STAAD.PRO,Revit</t>
  </si>
  <si>
    <t>VEDAS AND POLARIS INTERNATIONAL INDUSTRIES DUBAI , UAE . | OPERATIONS INTERN | DUBAI , UAE | Dec 2023 | Jan 2024 | 6.7142857142857 Weeks</t>
  </si>
  <si>
    <t>Project Management : The Basics for Success
Diploma in Building Design
Introduction to corporate finance</t>
  </si>
  <si>
    <t>P25701077</t>
  </si>
  <si>
    <t>SHOURYA</t>
  </si>
  <si>
    <t>Shourya Singh</t>
  </si>
  <si>
    <t>shourya.031.singh@gmail.com</t>
  </si>
  <si>
    <t>p25701077@student.nicmar.ac.in</t>
  </si>
  <si>
    <t>31-Oct-2001</t>
  </si>
  <si>
    <t>5989 6114 9482</t>
  </si>
  <si>
    <t>SAURABH KUMAR</t>
  </si>
  <si>
    <t>PRIYA SINGH</t>
  </si>
  <si>
    <t>Rzf-1 Street 1, Mahavir Enclave Palam, Sec - 1, Dwarka, Delhi - 110045</t>
  </si>
  <si>
    <t>VANADANA INTERNATIONAL SR SEC SCHOOL</t>
  </si>
  <si>
    <t>VANDANA INTERNATIONAL SR SEC SCHOOL</t>
  </si>
  <si>
    <t>BHARATI VIDYAPEETH DEEMED TO BE UNIVERSITY</t>
  </si>
  <si>
    <t>Janaadhar Ind Pvt Ltd | Assistant Planning Engineer  | Bangalore | Aug 2022 | Apr 2025 | 2Y 8M | 6.5</t>
  </si>
  <si>
    <t>Mace Project &amp; Cost Management Pvt. Ltd | Project Management Intern | Noida, Delhi NCR | May 2026 | Jul 2026 | 8.1428571428571 Weeks | Campus Internship
SHANGHAI TUNNEL ENGINEERING COMPANY LTD. | INTERN  | DELHI  | Sep 2021 | Oct 2021 | 6 Weeks</t>
  </si>
  <si>
    <t>P25701078</t>
  </si>
  <si>
    <t>SARAVANAN</t>
  </si>
  <si>
    <t>Avinash Saravanan</t>
  </si>
  <si>
    <t>avinashsaravanan.2000@gmail.com</t>
  </si>
  <si>
    <t>p25701078@student.nicmar.ac.in</t>
  </si>
  <si>
    <t>27-Aug-2000</t>
  </si>
  <si>
    <t>6765 0235 9747</t>
  </si>
  <si>
    <t>ARTHI</t>
  </si>
  <si>
    <t>3,pilliyar Koil Street, Pulliyambedu_x000D_</t>
  </si>
  <si>
    <t>SWAMYS MATRIC HIGHER SECONDARY SCHOOL</t>
  </si>
  <si>
    <t>STATE BOARD OF EXAMINATIONS, TAMILNADU</t>
  </si>
  <si>
    <t>CRESCENT SCHOOL OF ARCHITECTURE, CHENNAI</t>
  </si>
  <si>
    <t>AutoCAD,MS Office,MS Project,Rhino,D5 Render,Photoshop</t>
  </si>
  <si>
    <t>Creative Lab Interiors and Contracting | Interior Architect | Dubai | Sep 2023 | May 2025 | 1Y 8M | 12.88</t>
  </si>
  <si>
    <t>Ashoka Builders India Private Limited (ASBL Private Limited) | Design Research and Coordination Intern | Hyderabad | May 2026 | Jul 2026 | 11.857142857143 Weeks | Campus Internship
Shilpa Architects | Intern Architect | Chennai | Jan 2022 | Jun 2022 | 24.428571428571 Weeks</t>
  </si>
  <si>
    <t>P25701080</t>
  </si>
  <si>
    <t>Vedant Ganesh Sawant</t>
  </si>
  <si>
    <t>work.ar.vedantsawant@gmail.com</t>
  </si>
  <si>
    <t>p25701080@student.nicmar.ac.in</t>
  </si>
  <si>
    <t>9610 8476 9993</t>
  </si>
  <si>
    <t>GANESH SADASHIV SAWANT</t>
  </si>
  <si>
    <t>RETIRED FROM ONGC</t>
  </si>
  <si>
    <t>MADHAVI GANESH SAWANT</t>
  </si>
  <si>
    <t>1103 Terrain Heights, Aaram Society Road, Vakola, Santacruz East, Mumbai -400055</t>
  </si>
  <si>
    <t>PARLE TILAK VIDYALAYA, VILE PARLE EAST, MUMBAI</t>
  </si>
  <si>
    <t>PACE JUNIOR SCIENCE COLLEGE, DADAR</t>
  </si>
  <si>
    <t>THAKUR SCHOOL OF ARCHITECTURE AND PLANNING , MUMBAI</t>
  </si>
  <si>
    <t>AutoCAD,MS Office,MS Project,Primavera,SKETCHUP,PHOTOSHOP,LUMION,SPSS,CANDY,@RISK</t>
  </si>
  <si>
    <t>URBAN STUDIO, MUMBAI | ARCHITECT | MUMBAI | Jun 2023 | Jun 2025 | 2Y 0M | 6.6</t>
  </si>
  <si>
    <t>Architect Rushikesh. H | Project Management Intern | MUMBAI | May 2026 | Jul 2026 | 9.5714285714286 Weeks | Campus Internship
INGRAIN | ARCHITECTURAL INTERN | MUMBAI | Nov 2021 | Apr 2022 | 20.285714285714 Weeks</t>
  </si>
  <si>
    <t>REAL ESTATE DEVELOPMENT AND MANAGEMENT</t>
  </si>
  <si>
    <t>P25701082</t>
  </si>
  <si>
    <t>KARTIKEYA</t>
  </si>
  <si>
    <t>Kumar Kartikeya</t>
  </si>
  <si>
    <t>kartikeyak2@gmail.com</t>
  </si>
  <si>
    <t>p25701082@student.nicmar.ac.in</t>
  </si>
  <si>
    <t>2047 9541 4130</t>
  </si>
  <si>
    <t>DILIP KUMAR SINGH</t>
  </si>
  <si>
    <t>SARIKA SINGH</t>
  </si>
  <si>
    <t>ROOM NO. - 302, SILVER JUBILEE HOSTEL</t>
  </si>
  <si>
    <t>23/2 Kumar House, Single Mandi_x000D_
Behind Lakshman Vidhyalaya_x000D_
Pathri Bagh</t>
  </si>
  <si>
    <t>Dehradun</t>
  </si>
  <si>
    <t>SCHOLARS HOME SR SEC SCHOOL</t>
  </si>
  <si>
    <t>S.G.R.R. PATEL NAGAR SCHOOL</t>
  </si>
  <si>
    <t>MECHANICAL</t>
  </si>
  <si>
    <t>SHIVALIK COLLEGE OF ENGINEERING, DEHRA DUN, UTTRAKHAND</t>
  </si>
  <si>
    <t>CHANDIGARH UNIVERSITY, CHANDIGARH, PUNJAB</t>
  </si>
  <si>
    <t>Primavera P6, Power BI, ERM, Advanced Excel, AutoCAD, MS Project Engineering, Drawings Interpretation, Cost Control</t>
  </si>
  <si>
    <t>Proactive Engineering Services  | Project Management Intern. | Pune | May 2026 | Jul 2026 | 8.7142857142857 Weeks | Campus Internship
Ultra vision engineering | Rajasthan | Mechanical engineer | Rajasthan, Barmer | Jan 2024 | Aug 2024 | 31.285714285714 Weeks | Campus Internship
S.S.R Enterprises  | Planning Engineer | Rajasthan | Oct 2024 | Jun 2025 | 34.714285714286 Weeks
Uttarakhand transport corporation | Mechanical engineer | Dehra dun | Jun 2022 | Jul 2022 | 5.8571428571429 Weeks
Bridge And Roof Corporation LTD. | Assistant Engineer | Bhatinda, Punjab | Jun 2021 | Jul 2021 | 8.5714285714286 Weeks</t>
  </si>
  <si>
    <t>KPMG 6 Sigma Certificate</t>
  </si>
  <si>
    <t>P25701083</t>
  </si>
  <si>
    <t>AADEESH</t>
  </si>
  <si>
    <t>GOBRELE</t>
  </si>
  <si>
    <t>Aadeesh Gobrele</t>
  </si>
  <si>
    <t>aadeesh.gobrele23@gmail.com</t>
  </si>
  <si>
    <t>p25701083@student.nicmar.ac.in</t>
  </si>
  <si>
    <t>2517 0648 3412</t>
  </si>
  <si>
    <t>MANOJ GOBRELE</t>
  </si>
  <si>
    <t>KIRAN GOBRELE</t>
  </si>
  <si>
    <t>A2-102, GULMARG COOPERATIVE HOUSING SOCIETY, GATE NO 2, MOHAN NAGAR</t>
  </si>
  <si>
    <t>House No. 14, Sanjana Park, Bhicholi Mardana</t>
  </si>
  <si>
    <t>ST. ARNOLDâ€™S HIGHER SECONDARY SCHOOL</t>
  </si>
  <si>
    <t>INDORE</t>
  </si>
  <si>
    <t>SCHOOL OF ARCHITECTURE, IPS ACADEMY INFORE</t>
  </si>
  <si>
    <t>AutoCAD,MS Office,MS Project,Primavera,Lightroom,revit</t>
  </si>
  <si>
    <t>Anarock | Closing and sourcing intern | NAVI MUMBAI | May 2026 | Jun 2026 | 8 Weeks | Campus Internship
9 SQUARES ARCHITECTS PVT LTD | INTERN | INDORE | Aug 2023 | Dec 2023 | 18.285714285714 Weeks</t>
  </si>
  <si>
    <t>P25701084</t>
  </si>
  <si>
    <t>Rohit Kumar</t>
  </si>
  <si>
    <t>rohitkumar19d@gmail.com</t>
  </si>
  <si>
    <t>p25701084@student.nicmar.ac.in</t>
  </si>
  <si>
    <t>3160 9676 8577</t>
  </si>
  <si>
    <t>VIBHUTI KUMAR</t>
  </si>
  <si>
    <t>ANITA KUMARI</t>
  </si>
  <si>
    <t>SOUTH COLONY ANDAL, P.O+P.S-ANDAL, DISTRICT- PASCHIM BARDHAMAN, WEST BENGAL-713321</t>
  </si>
  <si>
    <t>VILLAGE- BAKARPUR NIRPURA, P.O-BISHNUPUR SAID, P.S- RAJAPAKAR THANA BLOCK-RAJAPAKAR, SUB-DIVISION- MAHUA, DISTRICT- VAISHALI, BIHAR- 844115</t>
  </si>
  <si>
    <t>Vaishali</t>
  </si>
  <si>
    <t>KENDRIYA VIDYALAYA ANDAL</t>
  </si>
  <si>
    <t>MEGHNAD SAHA INSTITUTE OF TECHNOLOGY-142, KOLKATA</t>
  </si>
  <si>
    <t>Project Planning and Scheduling,MS Excel (Dashboards and Data Analysis),Lean Six Sigma,MS Project,IBM SPSS,Oracle Primavera P6,MINITAB,MS Office,Risk Management and Cost Control,AutoCAD 2D,MS Word &amp; PowerPoint</t>
  </si>
  <si>
    <t>Ahluwalia Contracts (India) Ltd.  | Planning Intern | Kolkata | May 2026 | Jul 2026 | 8.7142857142857 Weeks | Campus Internship
M/S GUPTA ENTERPRISE | SUMMER-INTERNSHIP | BELGACHIA VAGAR, HOWRAH | Jul 2023 | Jul 2023 | 3.7142857142857 Weeks
M/S LAXMAN SHARMA |  INTERN â€“ PLANNING ENGINEER | PHULWARISHARIF,PANTA | Aug 2024 | Jan 2025 | 26.142857142857 Weeks</t>
  </si>
  <si>
    <t>AutoCAD 2D â€“ Drafting and Civil Design
Oracle Primavera P6 â€“ Project Planning, Scheduling &amp; Control
MS Project â€“ Scheduling, Cost Management &amp; Tracking
Create Charts and Dashboards Using Microsoft Excel
Project Management: The Basics for Success
Data Analytics for Lean Six Sigma using Minitab</t>
  </si>
  <si>
    <t>P25701085</t>
  </si>
  <si>
    <t>NIRANJAN</t>
  </si>
  <si>
    <t>Kshitij Niranjan Kanade</t>
  </si>
  <si>
    <t>kanadekshitij151@gmail.com</t>
  </si>
  <si>
    <t>p25701085@student.nicmar.ac.in</t>
  </si>
  <si>
    <t>06-Dec-2002</t>
  </si>
  <si>
    <t>7855 0513 3619</t>
  </si>
  <si>
    <t>Deulwada,near Ballaleshwar Temple,Pali, Tal-Sudhagad, Dist-Raigad</t>
  </si>
  <si>
    <t>PETROCHEMICALS VIDYALAYA</t>
  </si>
  <si>
    <t>CBSE NAGOTHANE MAHARSHTRA</t>
  </si>
  <si>
    <t>Y.B PATIL POLYTECHNIC, AKURDI</t>
  </si>
  <si>
    <t>JSPM NTC, PUNE</t>
  </si>
  <si>
    <t>AutoCAD,MS Office,MS Project,Primavera,Market Research &amp; Site Feasibility Support,Vendor &amp; Channel Coordination,Data Collection &amp; Documentation for Due Diligence,Report Preparation &amp; Site Notes</t>
  </si>
  <si>
    <t>D'quor Spaces | Project-Coordinator | Pune | May 2026 | Jul 2026 | 8.7142857142857 Weeks | Campus Internship
SBP INFRA | Intern â€“ Assistant Engineer  | PALI, SUDHAGAD | Dec 2022 | Jan 2023 | 4.2857142857143 Weeks</t>
  </si>
  <si>
    <t>Auto cad and revit</t>
  </si>
  <si>
    <t>P25701087</t>
  </si>
  <si>
    <t>VINEET</t>
  </si>
  <si>
    <t>Vineet H</t>
  </si>
  <si>
    <t>vineethosmani18@gmail.com</t>
  </si>
  <si>
    <t>p25701087@student.nicmar.ac.in</t>
  </si>
  <si>
    <t>27-Apr-2001</t>
  </si>
  <si>
    <t>English, Hindi &amp; Kannada</t>
  </si>
  <si>
    <t>2478 3863 8999</t>
  </si>
  <si>
    <t>VENKATESH H</t>
  </si>
  <si>
    <t>VINAYA VENKATESH</t>
  </si>
  <si>
    <t>1027/18, Nisargadhama, Chamarajapuram, JLV Road, Mysuru</t>
  </si>
  <si>
    <t>JSS PUBLIC SCHOOL SIDDARTHA NAGAR MYSORE</t>
  </si>
  <si>
    <t>BASE PU COLLEGE</t>
  </si>
  <si>
    <t>DEAPARTMENT OF PRE-UNIVERSITY EDUCATION, GOVERNMENT OF KARNATAKA</t>
  </si>
  <si>
    <t>JSS SCIENCE &amp; TECHNOLOGY UNIVERSITY</t>
  </si>
  <si>
    <t>AutoCAD,MS Office,REVIT,StaadPRO</t>
  </si>
  <si>
    <t>Tata Consulting Engineers Limited | Senior Engineer | Bengaluru | Aug 2023 | Jun 2025 | 1Y 10M | 7.99</t>
  </si>
  <si>
    <t>Deloitte Touche Tohmatsu India LLP | Intern - Audit &amp; Assurance | Bengaluru | May 2026 | Jul 2026 | 8.5714285714286 Weeks | Campus Internship
M/S Foundations, Developers and Promoters, Mysuru | Intern | Mysuru | Aug 2022 | Sep 2022 | 4.4285714285714 Weeks</t>
  </si>
  <si>
    <t>P25701088</t>
  </si>
  <si>
    <t>WADEKAR</t>
  </si>
  <si>
    <t>Sanskar Bhaskar Wadekar</t>
  </si>
  <si>
    <t>wadekarsanskar242@gmail.com</t>
  </si>
  <si>
    <t>p25701088@student.nicmar.ac.in</t>
  </si>
  <si>
    <t>6136 0271 7821</t>
  </si>
  <si>
    <t>Gopalpur, Post Palashi_x000D_
Chhatrapati Sambhajinagar (Aurangabad),431008</t>
  </si>
  <si>
    <t>MUKUL MANDIR</t>
  </si>
  <si>
    <t>SHIV CHHATRAPATI COLLEGE</t>
  </si>
  <si>
    <t>DR. BABASAHEB AMBEDKAR TECHNOLOGICAL UNIVERSITY, LONERE, RAIGAD, MAHARASHTRA</t>
  </si>
  <si>
    <t>AutoCAD,MS Office,MS Project,Primavera,Sketchup,Lumion,Adobe Suites,Adobe Photoshop,After Effects,Vray,Enscape,Figma,Media Encoder,Candy,Snaptrude,AI</t>
  </si>
  <si>
    <t>Econiwaran (Way to Sustainable Development) | Junior Architect | Chhatrapati Sambhajinagar (Aurangabad) | Jun 2023 | Jun 2025 | 2Y 0M | 0.9</t>
  </si>
  <si>
    <t>Veerkar and Associates  | Business Development and Project Coordination Trainee | Aurangabad  | May 2026 | Jul 2026 | 9.5714285714286 Weeks | Campus Internship
SPACE CDA | Junior Architect | Nashik | Jul 2022 | Dec 2022 | 23.714285714286 Weeks</t>
  </si>
  <si>
    <t>UI UX Design
Professional Course in Stereoscopic Film Making</t>
  </si>
  <si>
    <t>P25701089</t>
  </si>
  <si>
    <t>Darshan Sanjay Kamble</t>
  </si>
  <si>
    <t>darshankamble6838@gmail.com</t>
  </si>
  <si>
    <t>p25701089@student.nicmar.ac.in</t>
  </si>
  <si>
    <t>06-Aug-2003</t>
  </si>
  <si>
    <t>English , Hindi, Marathi</t>
  </si>
  <si>
    <t>6758 3447 6554</t>
  </si>
  <si>
    <t>SANJAY SHIVRAM KAMBLE</t>
  </si>
  <si>
    <t>SUJATA SANJAY KAMBLE</t>
  </si>
  <si>
    <t>C-17,Darshan Nagari,Keshavnagar,Chinchwad,Pune-33</t>
  </si>
  <si>
    <t>BLOSSOM PUBLIC SCHOOL,TATHAWADE</t>
  </si>
  <si>
    <t>JSPM RAJARSHI SHAHU COLLEGE OF ENGINEERING , TATHAWADE</t>
  </si>
  <si>
    <t>IMPACT INFRAHEIGHTS PVT LTD | Quantity surveyor &amp; Site Execution | Pune  | May 2026 | Jul 2026 | 8.7142857142857 Weeks | Campus Internship
RAJ PATH INFRACON PVT.LTD | Junior Engineer  | Amar Business Zone Baner Pune411045 | Sep 2024 | May 2025 | 38.714285714286 Weeks</t>
  </si>
  <si>
    <t>P25701090</t>
  </si>
  <si>
    <t>AJU</t>
  </si>
  <si>
    <t>Aju M John</t>
  </si>
  <si>
    <t>ajumjohn1998@gmail.com</t>
  </si>
  <si>
    <t>p25701090@student.nicmar.ac.in</t>
  </si>
  <si>
    <t>21-Mar-1998</t>
  </si>
  <si>
    <t>5238 7915 5559</t>
  </si>
  <si>
    <t>JOHN M VARGHESE</t>
  </si>
  <si>
    <t>ALEYAMMA JOHN</t>
  </si>
  <si>
    <t>MADACKAL HOUSE,PRASHANT NAGAR ,KAVIYOOR P.O, TIRUVALLA</t>
  </si>
  <si>
    <t>IMMANUEL MAR THOMA CENTRAL SCHOOL, THIRUVALLA</t>
  </si>
  <si>
    <t>CENTRAL BOARD OF SECONDARY EDUCATION,  KERALA</t>
  </si>
  <si>
    <t>SACRED HEART HIGHER SECONDARY SCHOOL, CHANGANASSERY</t>
  </si>
  <si>
    <t>KERALA BOARD OF HIGHER SECONDARY EDUCATION, KERALA</t>
  </si>
  <si>
    <t>VINAYAKA MISSION'S RESEARCH FOUNDATION</t>
  </si>
  <si>
    <t>AARUPADAI VEEDU INSTITUTE OF TECHNOLOGY, KANCHEEPURAM /TAMIL NADU</t>
  </si>
  <si>
    <t>AutoCAD,MS Office,MS Project,REVIT ARCHITECTURE</t>
  </si>
  <si>
    <t>NOEL HOMES | JUNIOR  PROJECT ENGINEER | ERNAKULAM, KERALA | Apr 2023 | Jun 2025 | 2Y 2M | 2.4</t>
  </si>
  <si>
    <t>GNY GROUP | Site Engineer | Chhatrapati Sambhajinagar | May 2026 | Jul 2026 | 8.7142857142857 Weeks | Campus Internship
SOLID CAD | CAD ENGINEER | CHANGANASSERY | Jul 2022 | Dec 2022 | 24.428571428571 Weeks</t>
  </si>
  <si>
    <t>Quantity Surveying
Maintenance and Repair of concrete structures (NPTEL)</t>
  </si>
  <si>
    <t>P25701091</t>
  </si>
  <si>
    <t>SAMAPIKA</t>
  </si>
  <si>
    <t>BISWAL</t>
  </si>
  <si>
    <t>Swati Samapika Biswal</t>
  </si>
  <si>
    <t>arswatisamapikabiswal@gmail.com</t>
  </si>
  <si>
    <t>p25701091@student.nicmar.ac.in</t>
  </si>
  <si>
    <t>24-Mar-2000</t>
  </si>
  <si>
    <t>5520 9205 5802</t>
  </si>
  <si>
    <t>GOUTAM BISWAL</t>
  </si>
  <si>
    <t>BAMS</t>
  </si>
  <si>
    <t>HARABATI BISWAL</t>
  </si>
  <si>
    <t>Panesara_x000D_
At/po Loisingha</t>
  </si>
  <si>
    <t>Balangir</t>
  </si>
  <si>
    <t>SARASWATI VIDYAMANDIR, MANGAL BAZAR, JHARSUGUDA</t>
  </si>
  <si>
    <t>NEWTON COLLEGE OF +2 SCIENCE, SAMBALPUR</t>
  </si>
  <si>
    <t>AutoCAD,MS Office,MS Project,Primavera,LUMION,SKETCHUP,PHOTOSHOP,VRAY,Candy,@risk</t>
  </si>
  <si>
    <t>BRICK VILLE ARCHITECTS | ARCHITECT | SUNDARGARH, ODISHA | Jun 2023 | Jun 2025 | 2Y 0M | 2.4</t>
  </si>
  <si>
    <t>Architect Rishikesh. H. | Project management Intern  | Mumbai  | May 2026 | Jul 2026 | 9.5714285714286 Weeks | Campus Internship
A + B , INCORPORATION | INTERN | BHUBANESWAR | Aug 2022 | Dec 2022 | 17.571428571429 Weeks</t>
  </si>
  <si>
    <t>P25701092</t>
  </si>
  <si>
    <t>SAVITRI</t>
  </si>
  <si>
    <t>Savitri Singh</t>
  </si>
  <si>
    <t>singhsavitri614@gmail.com</t>
  </si>
  <si>
    <t>p25701092@student.nicmar.ac.in</t>
  </si>
  <si>
    <t>26-Sep-1997</t>
  </si>
  <si>
    <t>7537 5351 9941</t>
  </si>
  <si>
    <t>PINKI</t>
  </si>
  <si>
    <t>E-102, D/D Nagar</t>
  </si>
  <si>
    <t>CENTRAL ACADEMY SCHOOL</t>
  </si>
  <si>
    <t>GURU GOBIND SINGH INDRAPRASTHA UNIVERSITY, NEW DELHI</t>
  </si>
  <si>
    <t>MAHAVIR SWAMI INSTITUTE OF TECHNOLOGY/ SONIPAT/HARYANA</t>
  </si>
  <si>
    <t>AutoCAD,MS Office,MS Project,Primavera,Canva,WORDPRESS,SPSS</t>
  </si>
  <si>
    <t>Driffle | Marketing-Executive | Gurugram | Apr 2021 | Nov 2023 | 2Y 7M | 3.21
91 Squarefeet | Marketing  Executive | Gurugram | Dec 2023 | Oct 2024 | 0Y 10M | 3.6</t>
  </si>
  <si>
    <t>P25701093</t>
  </si>
  <si>
    <t>AQULINE</t>
  </si>
  <si>
    <t>Aquline C R</t>
  </si>
  <si>
    <t>aqulinesalim4111@gmail.com</t>
  </si>
  <si>
    <t>p25701093@student.nicmar.ac.in</t>
  </si>
  <si>
    <t>15-Sep-2000</t>
  </si>
  <si>
    <t>English,Hindi,Malayalam,Tamil</t>
  </si>
  <si>
    <t>9544 7711 0906</t>
  </si>
  <si>
    <t>SALIM C N</t>
  </si>
  <si>
    <t>REHANA SALIM</t>
  </si>
  <si>
    <t>Changethu,Elippakulam P.O Vallikunnam,Mavelikkara,Alappuzha</t>
  </si>
  <si>
    <t>BISHOP MOORE VIDYAPITH</t>
  </si>
  <si>
    <t>ANGELS ARC ENGLISH MEDIUM SCHOOL</t>
  </si>
  <si>
    <t>TKM SCHOOL OF ARCHITECTURE,KOLLAM</t>
  </si>
  <si>
    <t>AutoCAD,MS Office,MS Project,Revit,Sketchup,Enscape,Lumion,Adobe Illustrator,Adobe Photoshop,Adobe InDesign,Navisworks,BIM 360,3dsmax,Adobe Premiere Pro,Canva</t>
  </si>
  <si>
    <t>CNS Builders and Developers | Project Architect | Kayamkulam,Kerala | Jan 2024 | Jun 2025 | 1Y 5M | 0.23</t>
  </si>
  <si>
    <t>PIDILITE INDUSTRIES LTD. | BUSINESS DEVELOPMENT INTERN | Bengaluru | May 2026 | Jun 2026 | 7.5714285714286 Weeks | Campus Internship
VEDIKA | ARCHITECTURAL TRAINEE | CHENNAI,INDIA | Sep 2023 | Jan 2024 | 16.142857142857 Weeks</t>
  </si>
  <si>
    <t>BIM Certification in Architecture
Certificate of Registration as an Architect</t>
  </si>
  <si>
    <t>P25701094</t>
  </si>
  <si>
    <t>KAWARE</t>
  </si>
  <si>
    <t>Yash Anant Kaware</t>
  </si>
  <si>
    <t>yashkaware13@gmail.com</t>
  </si>
  <si>
    <t>p25701094@student.nicmar.ac.in</t>
  </si>
  <si>
    <t>6679 7639 7770</t>
  </si>
  <si>
    <t>GOVT SERVICES</t>
  </si>
  <si>
    <t>Hari Colony Kthora Naka Amt</t>
  </si>
  <si>
    <t>GOLDEN KIDS MARATHI HIGH SCHOOL</t>
  </si>
  <si>
    <t>VIDHYA BHARTI MAHAVIDHALAYA</t>
  </si>
  <si>
    <t>SANT GADGE BABA UNIVERSITY AMRAVATI</t>
  </si>
  <si>
    <t>AMRAVATI</t>
  </si>
  <si>
    <t>AutoCAD,MS Office,MS Project,Primavera,3 d max</t>
  </si>
  <si>
    <t xml:space="preserve"> J. Kumar Infra Projects Ltd. | Project Management Intern | Thane Maharashtra | May 2026 | Jul 2026 | 9.7142857142857 Weeks | Campus Internship
BALAJI STRUCTURAL CONSULTANCY | INTERN | AMRAVATI | Jan 2020 | Mar 2020 | 6.8571428571429 Weeks
BALAJI STRUCTURAL CONSULTANCY | INTERN | Amravati  | Aug 2021 | Sep 2021 | 4.4285714285714 Weeks</t>
  </si>
  <si>
    <t>Autocad 2019
STAAD. Pro V8i</t>
  </si>
  <si>
    <t>P25701095</t>
  </si>
  <si>
    <t>VIDHU</t>
  </si>
  <si>
    <t>Vidhu Krishna</t>
  </si>
  <si>
    <t>vidhuk342@gmail.com</t>
  </si>
  <si>
    <t>p25701095@student.nicmar.ac.in</t>
  </si>
  <si>
    <t>8460 9580 4401</t>
  </si>
  <si>
    <t>BABU K</t>
  </si>
  <si>
    <t>MANAGER AT PRIVATE CONSTRUCTION COMPANY</t>
  </si>
  <si>
    <t>JAYA C</t>
  </si>
  <si>
    <t>Yadukulam,Adukkath Paramba,Madikai(po),Kasaragod</t>
  </si>
  <si>
    <t>GHSS UPPILIKAI</t>
  </si>
  <si>
    <t>A.P.J. ABDUL KALAM TECHNOLOGICAL UNIVERSITY</t>
  </si>
  <si>
    <t>VIMAL JYOTHI ENGINEERING COLLEGE, CHEMPERI</t>
  </si>
  <si>
    <t>VSL INDIA PRIVATE LIMITED | Site Execution | Chennai | May 2026 | Jul 2026 | 8.7142857142857 Weeks | Campus Internship
MARY MATHA CONSTRUCTIONS | SITE ENGINEER | KALIKKADAVU,KASARAGOD | Jul 2024 | May 2025 | 47.428571428571 Weeks</t>
  </si>
  <si>
    <t>BIM Certification in Architecture</t>
  </si>
  <si>
    <t>P25701097</t>
  </si>
  <si>
    <t>DIYA</t>
  </si>
  <si>
    <t>KANKAREJ</t>
  </si>
  <si>
    <t>Diya Rajendra Kankarej</t>
  </si>
  <si>
    <t>diyakankarej2003@gmail.com</t>
  </si>
  <si>
    <t>p25701097@student.nicmar.ac.in</t>
  </si>
  <si>
    <t>10-Oct-2003</t>
  </si>
  <si>
    <t>9147 0025 2689</t>
  </si>
  <si>
    <t>RAJENDRA RAMCHANDRA KANKAREJ</t>
  </si>
  <si>
    <t>SEEMA RAJENDRA KANKAREJ</t>
  </si>
  <si>
    <t>67, Ashirwad Konark Nagar -1 , Panchavati Nashik , Maharashtra</t>
  </si>
  <si>
    <t>K.N. KELA HIGH SCHOOL NASHIK MAHARASHTRA</t>
  </si>
  <si>
    <t>MET BHUJBAL KNOWLEDGE CITY NASHIK MAHARASHTRA</t>
  </si>
  <si>
    <t>PIMPRI CHINCHWAD COLLEGE OF ENGINEERING AND RESEARCH CENTRE RAVET PUNE MAHARASHTRA</t>
  </si>
  <si>
    <t>AutoCAD,MS Office,MS Project,Primavera,SPSS,Planning &amp; Scheduling: Primavera P6,MS Project 	â€¢	Design &amp; Drafting: AutoCAD,STAAD.Pro,Fusion 360 	â€¢	Construction ERP: HIT-Office 	â€¢	Data &amp; Reporting: MS Excel,MS Office,SPSS 	â€¢	Core Knowledge: Estimatio</t>
  </si>
  <si>
    <t>Ahluwalia Contracts limited  | Project planning  | Mumbai  | May 2026 | Jun 2026 | 8.1428571428571 Weeks | Campus Internship
KNOW - HOW PRACTICAL EXPOSURE | TRAINEE  | AKURDI , PUNE  | Dec 2023 | Jan 2024 | 3.7142857142857 Weeks</t>
  </si>
  <si>
    <t>P25701098</t>
  </si>
  <si>
    <t>RIDDHI</t>
  </si>
  <si>
    <t>EKAL</t>
  </si>
  <si>
    <t>Riddhi Rajendra Ekal</t>
  </si>
  <si>
    <t>riddhiekal@gmail.com</t>
  </si>
  <si>
    <t>p25701098@student.nicmar.ac.in</t>
  </si>
  <si>
    <t>24-Mar-1998</t>
  </si>
  <si>
    <t>2869 1093 9579</t>
  </si>
  <si>
    <t>SHANTI</t>
  </si>
  <si>
    <t>401 B Wing Sai Prasad Bldg, Near Sagar Sangam Hotel, Mira Bhy Road East.</t>
  </si>
  <si>
    <t>SARDAR VALLABHBHAI PATEL VIDYALAYA</t>
  </si>
  <si>
    <t>ROYAL COLLEGE OF SCIENCE</t>
  </si>
  <si>
    <t>ADITYA COLLEGE OF ARCHITECTURE</t>
  </si>
  <si>
    <t>IBA ARCHITECTS | JUNIOR ARCHITECT | MUMBAI | Oct 2021 | Oct 2022 | 1Y 0M | 1.8
GK Buildcon (SKG Developers) | Junior Project Architect | Mumbai | Feb 2023 | May 2024 | 1Y 3M | 2.76
JP INFRA PVT LTD | Junior Project Architect | Mumbai | Jun 2024 | Jun 2025 | 1Y 0M | 4.8</t>
  </si>
  <si>
    <t>CUSHMAN &amp; WAKEFIELD |  Project Management Intern | Mumbai | May 2026 | Jul 2026 | 8.5714285714286 Weeks | Campus Internship
SUDIN PATIL ARCHITECTS | ARCHITECT | THANE | Nov 2019 | Mar 2020 | 18.714285714286 Weeks</t>
  </si>
  <si>
    <t>IIT Kharaghpur ECell 2k18-19
Kathkuni Architecture by Kaarwan
Earth Construction Training Program Certificate
Course on Autocad For Architects &amp; Civil Engineers
Agile with Atlassian Jira
Introduction to Corporate Finance, University of Pennsylvania
Six Sigma and the Organization Advanced,Kennesaw State University</t>
  </si>
  <si>
    <t>P25701099</t>
  </si>
  <si>
    <t>Sanket Nagesh Vaidya</t>
  </si>
  <si>
    <t>vaidyasanket005@gmail.com</t>
  </si>
  <si>
    <t>p25701099@student.nicmar.ac.in</t>
  </si>
  <si>
    <t>4037 4029 8460</t>
  </si>
  <si>
    <t>NAGESH VAIDYA</t>
  </si>
  <si>
    <t>SARIKA VAIDYA</t>
  </si>
  <si>
    <t>A-19, RAJYOG COLONY ROAD_x000D_
OPPOSITE RADHE GOVIND APARTMENT NIGDI</t>
  </si>
  <si>
    <t>Rajsarthi Nagar ,svm Colony_x000D_
Tulujai Niwas</t>
  </si>
  <si>
    <t>SVM HIGH SCHOOL KINWAT</t>
  </si>
  <si>
    <t>DEOGIRI COLLEGE OF ENGINEERING</t>
  </si>
  <si>
    <t>DR.D.Y.PATIL COLLEGE OF ENGINEERING AKURDI , PUNE</t>
  </si>
  <si>
    <t>AutoCAD,MS Office,MS Project,Catia,UG NX,Soildworks</t>
  </si>
  <si>
    <t>Moldetk Ltd. | Design Engineer | Pune | Apr 2023 | Apr 2025 | 2Y 0M | 25</t>
  </si>
  <si>
    <t>Introduction to Mechanical Engineering Design and Manufacturing with Fusion 360
Project Management: The Basics for Success
Initiating and Planning Projects
Introduction to Corporate Finance</t>
  </si>
  <si>
    <t>P25701100</t>
  </si>
  <si>
    <t>MAHARAJ</t>
  </si>
  <si>
    <t>Aakanksha Maharaj</t>
  </si>
  <si>
    <t>aakanksha.khushi@yahoo.in</t>
  </si>
  <si>
    <t>p25701100@student.nicmar.ac.in</t>
  </si>
  <si>
    <t>04-Jan-2001</t>
  </si>
  <si>
    <t>Painting,Playing Badminton,Listening to music,Dancing,Baking</t>
  </si>
  <si>
    <t>9095 3456 4035</t>
  </si>
  <si>
    <t>SANJAY KUMAR MAHARAJ</t>
  </si>
  <si>
    <t>MAMTA MAHARAJ</t>
  </si>
  <si>
    <t>C 403, Ispatika Apartments, Plot Number 29, Sector 4, Dwarka 110078</t>
  </si>
  <si>
    <t>DWARKA INTERNATIONAL SCHOOL</t>
  </si>
  <si>
    <t>AMITY SCHOOL OF ENGINEERING AND TECHNOLOGY, NOIDA, UTTAR PRADESH</t>
  </si>
  <si>
    <t>AutoCAD,MS Office,Familiar with BIM interface.,Familiar with Rivet interface</t>
  </si>
  <si>
    <t>Adaniconnex | Assistant Manager | Noida | Aug 2022 | Jul 2025 | 2Y 11M | 10.09</t>
  </si>
  <si>
    <t>L&amp;T | INTERN | MANESAR | May 2021 | Jun 2021 | 5.8571428571429 Weeks</t>
  </si>
  <si>
    <t>P25701101</t>
  </si>
  <si>
    <t>CHAUGULE</t>
  </si>
  <si>
    <t>Atharva Mahendra Chaugule</t>
  </si>
  <si>
    <t>atharvachaugule2501@gmail.com</t>
  </si>
  <si>
    <t>p25701101@student.nicmar.ac.in</t>
  </si>
  <si>
    <t>25-Mar-2001</t>
  </si>
  <si>
    <t>3796 2763 6900</t>
  </si>
  <si>
    <t>MAHENDRA MAHADEO CHAUGULE</t>
  </si>
  <si>
    <t>SHILPA MAHENDRA CHAUGULE</t>
  </si>
  <si>
    <t>19/a/a, Aruna Arthi CHS, Opp. Old Post Office , Near Shankar Mandir , Kalwa West , Thane - 400605</t>
  </si>
  <si>
    <t>NEW ENGLISH SCHOOL KALWA</t>
  </si>
  <si>
    <t>AGNEL POLYTECHNIC, VASHI</t>
  </si>
  <si>
    <t>ALAMURI RATNAMALA INSTITUTE OF ENGINEERING AND TECHNOLOGY , SHAHPUR</t>
  </si>
  <si>
    <t>Purva Contractor and Developers | Site Engineer | Kalwa | Feb 2023 | Jun 2025 | 2Y 4M | 4.2</t>
  </si>
  <si>
    <t>PURVA CONTRACTOR AND DEVELOPERS | INTERN ENGINEER  | NAVI MUMBAI | May 2019 | Jun 2019 | 5.8571428571429 Weeks</t>
  </si>
  <si>
    <t>Revit
AutoCAD</t>
  </si>
  <si>
    <t>P25701102</t>
  </si>
  <si>
    <t>GUJARATHI</t>
  </si>
  <si>
    <t>Himanshu Jitendra Gujarathi</t>
  </si>
  <si>
    <t>himanshugujarathi99@gmail.com</t>
  </si>
  <si>
    <t>p25701102@student.nicmar.ac.in</t>
  </si>
  <si>
    <t>08-Aug-2000</t>
  </si>
  <si>
    <t>English ,Hindi,Marathi,Gujarathi</t>
  </si>
  <si>
    <t>Reading Books,Vollyball</t>
  </si>
  <si>
    <t>7052 1180 4573</t>
  </si>
  <si>
    <t>JITENDRA VILAS GUJARATHI</t>
  </si>
  <si>
    <t>SARIKA JITENDRA GUJARATHI</t>
  </si>
  <si>
    <t>Sai Samrajya Residency Bungalow No 2 Om Sai, Ahilyadevi Chawk Khandoba Mal,Rajgurunagar,Khed Dist.Pune Maharashtra 410505</t>
  </si>
  <si>
    <t>KTES ENGLISH MEDIUM SCHOOL ,KHED</t>
  </si>
  <si>
    <t>MAHATMA GANDHI MAHAVIDYALAYA,KHED PUNE</t>
  </si>
  <si>
    <t>D.Y. PATIL SCHOOL OF ARCHITECTURE ,AMBI PUNE, MAHARASHTRA</t>
  </si>
  <si>
    <t>AutoCAD,MS Office,MS Project,Sketchup,photoshop,lumion,Nscape,Powerpoint,EXCEL,ZWCAD,word</t>
  </si>
  <si>
    <t>PRASHANT DESHMUKH AND ASSOCIATES | JR.ARCHITECT | KATRAJ PUNE | Jun 2023 | Mar 2025 | 1Y 8M | 3.36
GLOBAL GROUP | JR.ARCHITECT | YERWADA ,PUNE | Mar 2025 | Jul 2025 | 0Y 3M | 4.75</t>
  </si>
  <si>
    <t>Vidyashree Developers LLP | Trainee Project Manager And Sales Executive | Vadgaon Pune  | May 2026 | Jul 2026 | 8.7142857142857 Weeks | Campus Internship
PRASHANT DESHMUKH AND ASSOCIATES | TRAINEE ARCHITECT | KATRAJ ,PUNE | Jun 2022 | Oct 2022 | 21 Weeks</t>
  </si>
  <si>
    <t>P25701106</t>
  </si>
  <si>
    <t>S DEVI</t>
  </si>
  <si>
    <t>S Devi Nanda</t>
  </si>
  <si>
    <t>devinandasmitha@gmail.com</t>
  </si>
  <si>
    <t>p25701106@student.nicmar.ac.in</t>
  </si>
  <si>
    <t>Engish,Malayalam and Hindi</t>
  </si>
  <si>
    <t>7323 9093 3770</t>
  </si>
  <si>
    <t>S HARIKRISHNAN</t>
  </si>
  <si>
    <t>SENIOR SUPERINTENDENT, FOOD SAFETY, GOVT OF KERALA</t>
  </si>
  <si>
    <t>S SMITHA</t>
  </si>
  <si>
    <t>POST MASTER</t>
  </si>
  <si>
    <t>HARINANDANAM ANCHALUMMOODU PERINAD PO KOLLAM</t>
  </si>
  <si>
    <t>LAKE FORD SCHOOL KAVANAD KOLLAM KERALA</t>
  </si>
  <si>
    <t>SREE NARAYANA PUBLIC SCHOOL VADAKKEVILA PO KOLLAM KL</t>
  </si>
  <si>
    <t>GOVT. ENGINEERING COLEGE, BARTON HILL</t>
  </si>
  <si>
    <t>KRDCL | INTERN | THIRUVANANTHAPURAM | May 2025 | Jun 2025 | 5.5714285714286 Weeks</t>
  </si>
  <si>
    <t>P25701107</t>
  </si>
  <si>
    <t>GEETHIKA</t>
  </si>
  <si>
    <t>Geethika S S</t>
  </si>
  <si>
    <t>geethikamadothil@gmail.com</t>
  </si>
  <si>
    <t>p25701107@student.nicmar.ac.in</t>
  </si>
  <si>
    <t>29-Sep-2003</t>
  </si>
  <si>
    <t>4548 8938 9312</t>
  </si>
  <si>
    <t>SHAJU S</t>
  </si>
  <si>
    <t>SUB ENGINEER, KERALA STATE ELECTRICITY BOARD</t>
  </si>
  <si>
    <t>SINDHU V R</t>
  </si>
  <si>
    <t>BANK EMPLOYEE, KERALA STATE COOPERATIVE BANK</t>
  </si>
  <si>
    <t>Mampazhakonathu Madothil, Kachani, Karakulam,Thiruvananthapuram</t>
  </si>
  <si>
    <t>SARASWATHI VIDYALAYA</t>
  </si>
  <si>
    <t>GOVERNMENT ENGINEERING COLLEGE, BARTON HILL, THIRUVANATHAPURAM, KERALA</t>
  </si>
  <si>
    <t>AutoCAD,MS Office,MS Project,Primavera,MS Excel, Power point, MS Word</t>
  </si>
  <si>
    <t>Bangalore Metro Rail Corporation Limited (BMRCL) | Site Execution | Bangalore, Karnataka | May 2026 | Jul 2026 | 8.7142857142857 Weeks | Campus Internship
KERALA RAIL DEVELOPMENT COOPERATION | INTERN | THIRUVANANTHAPURAM, KERALA | May 2025 | Jun 2025 | 5.5714285714286 Weeks
Kerala Water Authority | Intern | Thiruvananthapuram, Kerala | May 2023 | May 2023 | 0.85714285714286 Weeks</t>
  </si>
  <si>
    <t>P25701108</t>
  </si>
  <si>
    <t>SANVITTI</t>
  </si>
  <si>
    <t>Sanvitti Shetty</t>
  </si>
  <si>
    <t>sanvittishetty@gmail.com</t>
  </si>
  <si>
    <t>p25701108@student.nicmar.ac.in</t>
  </si>
  <si>
    <t>18-Mar-2001</t>
  </si>
  <si>
    <t>ENGLISH, HINDI, TULU</t>
  </si>
  <si>
    <t>5623 7772 2993</t>
  </si>
  <si>
    <t>SATHEESH KUMAR SHETTY</t>
  </si>
  <si>
    <t>SHAYARI S SHETTY</t>
  </si>
  <si>
    <t>C3101,Indis One City_x000D_
Kukatpally, Hyderabad, Telangana</t>
  </si>
  <si>
    <t>DELHI PUBLIC SCHOOL NACHARAM</t>
  </si>
  <si>
    <t>AutoCAD,MS Office,EDGE App</t>
  </si>
  <si>
    <t>NAVEEN ASSOCIATES, LANDSCAPE ARCHITECTS | INTERN ARCHITECT  | HYDERABAD  | Aug 2024 | May 2025 | 43.285714285714 Weeks
Urban Arts: Architects and Interior Designers | Architectural Intern  | Hyderabad  | May 2023 | Nov 2023 | 26.714285714286 Weeks
India Lost and Found | Cultural Researcher  | Remote  | Apr 2021 | Sep 2021 | 24.142857142857 Weeks</t>
  </si>
  <si>
    <t>Architecture Journalism Course
Editorial Writer</t>
  </si>
  <si>
    <t>P25701109</t>
  </si>
  <si>
    <t>DHAYGUDE</t>
  </si>
  <si>
    <t>Siddhi Sunil Dhaygude</t>
  </si>
  <si>
    <t>dhaygudesiddhi14@gmail.com</t>
  </si>
  <si>
    <t>p25701109@student.nicmar.ac.in</t>
  </si>
  <si>
    <t>5748 7125 0475</t>
  </si>
  <si>
    <t>NUTAN</t>
  </si>
  <si>
    <t>Plot No. 26 City Point Society Magarpatta Hadapsar Pune 411028</t>
  </si>
  <si>
    <t>SSC   MAHARASHTRA</t>
  </si>
  <si>
    <t>PUNE UNIVERSITY</t>
  </si>
  <si>
    <t>VISHWAKARMA INSTITUTE OF INFORMATION TECHNOLOGY PUNE</t>
  </si>
  <si>
    <t>AutoCAD,MS Office,MS Project,Primavera,MS Excel,Candy</t>
  </si>
  <si>
    <t>New Consolidated Construction Co. Ltd | Project planning  | Mumbai | May 2026 | Jul 2026 | 8.7142857142857 Weeks | Campus Internship
Progenius Pavements | research intern | Sinhagad  | Jan 2023 | Apr 2024 | 65 Weeks
ZENITH CONSULTANT | SITE INTERN  | BANER | Aug 2024 | Dec 2024 | 20.571428571429 Weeks</t>
  </si>
  <si>
    <t>P25701110</t>
  </si>
  <si>
    <t>ISHWARSING</t>
  </si>
  <si>
    <t>Gayatri Ishwarsing Rathod</t>
  </si>
  <si>
    <t>gayatri.rathod1283@gmail.com</t>
  </si>
  <si>
    <t>p25701110@student.nicmar.ac.in</t>
  </si>
  <si>
    <t>9308 4455 9534</t>
  </si>
  <si>
    <t>ISHWARSING DAMODAR RATHOD</t>
  </si>
  <si>
    <t>DIPIKA ISHWARSING RATHOD</t>
  </si>
  <si>
    <t>Plot No.709 Shobha Sadan Mahda Colony Pen, Near Red Wood City Plaza, Pen Raigad</t>
  </si>
  <si>
    <t>PEN SHIKSHAN MAHILA SAMITI ENGLISH MEDIUM SCHOOL</t>
  </si>
  <si>
    <t>KHIMJI PALAN CHHEDA JUNIOR COLLEGE OF COMMERCE AND SCIENCE</t>
  </si>
  <si>
    <t>SADAR PATEL COLLEGE OF ENGINEERING, MUMBAI</t>
  </si>
  <si>
    <t>AutoCAD,MS Project,MS Excel,Report Writing</t>
  </si>
  <si>
    <t>Jio Institute  | Planning Intern | Ulwe, Navi Mumbai  | May 2026 | Jul 2026 | 8.5714285714286 Weeks | Campus Internship
JSW STEEL | CIVIL ENGINEERING INTERN | DOLVI VILLAGE, PEN TALUK, RAIGAD DISTRICT, MAHARASHTRA  402107 | Jan 2024 | Jan 2024 | 2.5714285714286 Weeks
TUV SUD SOUTH ASIA PRIVATE LIMITED | CIVIL ENGINEERING INTERN | THANE | Aug 2023 | Aug 2023 | 2.1428571428571 Weeks</t>
  </si>
  <si>
    <t>P25701111</t>
  </si>
  <si>
    <t>ANAGHA</t>
  </si>
  <si>
    <t>Anagha Deepak Patil</t>
  </si>
  <si>
    <t>anaghadeepakpatil@gmail.com</t>
  </si>
  <si>
    <t>p25701111@student.nicmar.ac.in</t>
  </si>
  <si>
    <t>4021 2300 2211</t>
  </si>
  <si>
    <t>DEEPAK PATIL</t>
  </si>
  <si>
    <t>SHUBHANGI PATIL</t>
  </si>
  <si>
    <t>703, B Wing, Jeevanshila CHS, Bandra East, Mumbai - 400051</t>
  </si>
  <si>
    <t>IES MANIK VIDYAMANDIR</t>
  </si>
  <si>
    <t>INDIAN EDUCATION SOCIETY'S JUNIOR COLLEGE</t>
  </si>
  <si>
    <t>NARSEE MONJEE INSTITUTE OF MANAGEMENT STUDIES UNIVERSITY</t>
  </si>
  <si>
    <t>BALWANT SHETH SCHOOL OF ARCHITECTURE, MUMBAI</t>
  </si>
  <si>
    <t>AutoCAD,MS Office,Rhino,Sketchup,Photoshop,Illustrator</t>
  </si>
  <si>
    <t>Shilp Associates Pvt. Ltd. | Junior Architect | Mumbai | Jun 2024 | Dec 2024 | 0Y 6M | 3.6
Somani Developers | Junior Architect | Pune/ Mumbai | Jan 2025 | Jun 2025 | 0Y 5M | 4.8</t>
  </si>
  <si>
    <t>Shilp Associates Pvt. Ltd. | Architectural Intern | Mumbai | Mar 2024 | May 2024 | 11.571428571429 Weeks</t>
  </si>
  <si>
    <t>P25701112</t>
  </si>
  <si>
    <t>Sakshi Rakesh Shah</t>
  </si>
  <si>
    <t>shahsakshi220@gmail.com</t>
  </si>
  <si>
    <t>p25701112@student.nicmar.ac.in</t>
  </si>
  <si>
    <t>Photography and video editing,Volunteering and mentoring,Reading books</t>
  </si>
  <si>
    <t>6531 7393 0779</t>
  </si>
  <si>
    <t>YAMINI</t>
  </si>
  <si>
    <t>BUSINESSWOMAN</t>
  </si>
  <si>
    <t>803, Raj Vaibhav Tower, K.T. Soni Marg, Mahavir Nagar, Kandivali-w, Mumbai-67.</t>
  </si>
  <si>
    <t>SWAMI VIVEKANAND INTERNATIONAL SCHOOL</t>
  </si>
  <si>
    <t>SHRI. T. P. BHATIA COLLEGE OF SCIENCE</t>
  </si>
  <si>
    <t>DR. BALIRAM HIRAY COLLEGE OF ARCHITECTURE, MUMBAI</t>
  </si>
  <si>
    <t xml:space="preserve">Autodesk AutoCAD | Power BI | ERP | MS Office | MS Project | Primavera | Autodesk Revit | Sketchup | Enscape | Rhinoceros 3D | Adobe Photoshop | Tally ERP 9 </t>
  </si>
  <si>
    <t>A.S.Designs | Associate Architect | Andheri | Jun 2023 | Jun 2025 | 2Y 0M | 2.52</t>
  </si>
  <si>
    <t>Agami Realty | Business Development Intern | Mumbai | May 2026 | Jul 2026 | 7.8571428571429 Weeks | Campus Internship
S.P. SHEVADE &amp; ASSOCIATES | Architectural Intern | MUMBAI-VILE PARLE | Dec 2021 | May 2022 | 24.142857142857 Weeks
Estilo Designs | Interior Design Intern | Bangalore | Jul 2021 | Aug 2021 | 4.4285714285714 Weeks
TEJAS GURAV ARCHITECTS | Architectural Intern | KOLHAPUR  | Jun 2021 | Sep 2021 | 13.857142857143 Weeks</t>
  </si>
  <si>
    <t>Indian Green Building Council Certification</t>
  </si>
  <si>
    <t>P25701113</t>
  </si>
  <si>
    <t>BABASAHEB</t>
  </si>
  <si>
    <t>MURTADAK</t>
  </si>
  <si>
    <t>Pranjal Babasaheb Murtadak</t>
  </si>
  <si>
    <t>pranjalmurtadak1221@gamil.com</t>
  </si>
  <si>
    <t>p25701113@student.nicmar.ac.in</t>
  </si>
  <si>
    <t>HINDI, ENGLISH AND MARATHI</t>
  </si>
  <si>
    <t>2856 2010 9715</t>
  </si>
  <si>
    <t>YOGIA</t>
  </si>
  <si>
    <t>Samarthroop Apt. Goldencity, Laxminagar, Sangamner-422605</t>
  </si>
  <si>
    <t>B. G. P. SAHYADRI VIDYALAYA, SANGAMNER</t>
  </si>
  <si>
    <t>MAHARASHTRA STATE BOARD, PUNE</t>
  </si>
  <si>
    <t>B. G. P. SAHYADRI JR. COLLEGE, SANGAMNER</t>
  </si>
  <si>
    <t>MAHARASHTRA STATE BORAD, PUNE</t>
  </si>
  <si>
    <t>AMRUTVAHINI COLLEGE OF ENGINEERING, SANGAMNER</t>
  </si>
  <si>
    <t>AutoCAD,MS Office,Primavera,PowerBI,SQL</t>
  </si>
  <si>
    <t>Plansquare Management Consultancy, Nashik | Planning Engineer | Nashik | Aug 2024 | May 2025 | 0Y 9M | 1.8</t>
  </si>
  <si>
    <t>CONVENIENT CONSTRUCTION CONSULTANCY Pvt.Ltd. (CCCPL) | Intern- Project Management/Construction Management | Indore | May 2026 | Jul 2026 | 9.7142857142857 Weeks | Campus Internship
SHREE CONSTRUCTION AND ASSOCIATES, SANGAMNER. | SITE ENGINEER | SANGAMNER | Jan 2023 | Feb 2023 | 4.5714285714286 Weeks</t>
  </si>
  <si>
    <t>Excel Using AI Workshop Certificate
PowerBI Workshop Certification
Primavera P6 Professional Certificate</t>
  </si>
  <si>
    <t>P25701114</t>
  </si>
  <si>
    <t>RAJARAM</t>
  </si>
  <si>
    <t>KHAIRNAR</t>
  </si>
  <si>
    <t>Rohan Rajaram Khairnar</t>
  </si>
  <si>
    <t>rohankhairnar9096@gmail.com</t>
  </si>
  <si>
    <t>p25701114@student.nicmar.ac.in</t>
  </si>
  <si>
    <t>17-Oct-2002</t>
  </si>
  <si>
    <t>6717 0859 7949</t>
  </si>
  <si>
    <t>RAJARAM KHAIRNAR</t>
  </si>
  <si>
    <t>PALLAVI KHAIRNAR</t>
  </si>
  <si>
    <t>50/2 Keshrinandan Housing Society, Bajrang Chowk, N-6 Cidco, Aurangabad</t>
  </si>
  <si>
    <t>S.B.O.A PUBLIC SCHOOL</t>
  </si>
  <si>
    <t>STATE BOARD-AURANGABAD,MAHARASHTRA</t>
  </si>
  <si>
    <t>ST.LAWRENCE SUPER THIRTY JR. COLLEGE</t>
  </si>
  <si>
    <t>MGM UNIVERSITY</t>
  </si>
  <si>
    <t>JAWAHARLAL NEHRU ENGINEERING COLLEGE, AURANGABAD, MAHARASHTRA</t>
  </si>
  <si>
    <t>AutoCAD,MS Office,Resource allocation &amp; planning,Construction materials testing,AutoCAD,MS Project,Reading &amp; interpreting construction drawings,PowerBI,Python,SQL</t>
  </si>
  <si>
    <t>Manik Infra Projects | Site Engineer | Ambad,Jalna Maharashtra | Jul 2024 | Jun 2025 | 0Y 11M | 1.8</t>
  </si>
  <si>
    <t>M/S.Godavari Construction  | Site Administration and Control - Intern | Chhatrapati Sambhajinagar(Aurangabad) | May 2026 | Jul 2026 | 7.7142857142857 Weeks | Campus Internship
Intellipaat Software Solutions Pvt.Ltd. | Data Scientist - Intern | Work From Home | Dec 2023 | May 2024 | 21.714285714286 Weeks</t>
  </si>
  <si>
    <t>Power BI Course
PGP in Data Science And Machine Learning
SQL Course</t>
  </si>
  <si>
    <t>P25701115</t>
  </si>
  <si>
    <t>Anjaly Manoj</t>
  </si>
  <si>
    <t>anjalymanoj.ker@gmail.com</t>
  </si>
  <si>
    <t>p25701115@student.nicmar.ac.in</t>
  </si>
  <si>
    <t>11-Jun-1998</t>
  </si>
  <si>
    <t>English, Hindi, Malayalam, Tamil, Marathi</t>
  </si>
  <si>
    <t>7914 4956 3042</t>
  </si>
  <si>
    <t>MANOJ K.P.</t>
  </si>
  <si>
    <t>SHEEJA P. GEORGE</t>
  </si>
  <si>
    <t>Niketha, TC 69/286, Kamaleswaram, Manacaud P. O.</t>
  </si>
  <si>
    <t>ST. THOMAS RESIDENTIAL SCHOOL, THIRUVANANTHAPURAM</t>
  </si>
  <si>
    <t>COLLEGE OF ENGINEERING TRIVANDRUM, THIRUVANANTHAPURAM, KERALA</t>
  </si>
  <si>
    <t>AutoCAD,MS Office,MS Project,Primavera,Revit,Navisworks,Adobe Photoshop,Power BI,Sketchup Pro,Lumion,Procreate,Autodesk Construction Cloud</t>
  </si>
  <si>
    <t>Inscript Interiors | Junior Architect | Thiruvananthapuram, Kerala | Aug 2021 | Jul 2022 | 0Y 11M | 1.2
Dar-al-Handassah | Interior Architect | Pune, Maharashtra | Nov 2022 | May 2025 | 2Y 5M | 8.41</t>
  </si>
  <si>
    <t>Vishwannath Associates | Student Trainee Architect | Bangalore, Karnataka | Jul 2019 | Dec 2019 | 23.714285714286 Weeks</t>
  </si>
  <si>
    <t>P25701116</t>
  </si>
  <si>
    <t>GOKAK</t>
  </si>
  <si>
    <t>DHANASHREE</t>
  </si>
  <si>
    <t>SHIVANAND</t>
  </si>
  <si>
    <t>Gokak Dhanashree Shivanand</t>
  </si>
  <si>
    <t>dhanashreegokak74665@gmail.com</t>
  </si>
  <si>
    <t>p25701116@student.nicmar.ac.in</t>
  </si>
  <si>
    <t>Marathi, English, Hindi ,Kannad</t>
  </si>
  <si>
    <t>3851 4715 2706</t>
  </si>
  <si>
    <t>SHIVANAND SONBA GOKAK</t>
  </si>
  <si>
    <t>DAKSHAYANI SHIVANAND GOKAK</t>
  </si>
  <si>
    <t>Fl.no.58,Anand Park Soc, Ekta Nagari, Anand Nagar, Sinhagad Road</t>
  </si>
  <si>
    <t>DNYANGANGA ENGLISH MEDIUM SCHOOL</t>
  </si>
  <si>
    <t>PUNE CITY</t>
  </si>
  <si>
    <t>ABASAHEB GARWARE COLLEGE</t>
  </si>
  <si>
    <t>SMT. KASHIBAI NAVALE COLLEGE OF ARCHITECTURE</t>
  </si>
  <si>
    <t>AutoCAD,MS Office,MS Project,Sketchup,lumion,enscape,D5,twin motion</t>
  </si>
  <si>
    <t>Samakalin Design and Infrastructure pvt Ltd | Architectural Intern | Pune  | Jun 2024 | Oct 2024 | 19.428571428571 Weeks</t>
  </si>
  <si>
    <t>P25701117</t>
  </si>
  <si>
    <t>DATTATRAY</t>
  </si>
  <si>
    <t>DAREKAR</t>
  </si>
  <si>
    <t>Sahil Dattatray Darekar</t>
  </si>
  <si>
    <t>sahildarekar7@gmail.com</t>
  </si>
  <si>
    <t>p25701117@student.nicmar.ac.in</t>
  </si>
  <si>
    <t>01-Feb-2002</t>
  </si>
  <si>
    <t>8201 6022 3345</t>
  </si>
  <si>
    <t>JAYASHRI</t>
  </si>
  <si>
    <t>SAMARTH PURAM SOCITY, NARHE_x000D_
NEAR SWAMINARAYAN TEMPLE</t>
  </si>
  <si>
    <t>Sakewadi, Kolgoan</t>
  </si>
  <si>
    <t>RESIDENTIAL HIGHSCHOOL , AHMEDNAGAR</t>
  </si>
  <si>
    <t>DR. N. J. PAULBUDHE INSTITUTE OF TECHNOLOGY , AHMEDNAGAR, MAHARASHTRA</t>
  </si>
  <si>
    <t>TSSM'S BHIVRABAI SAWANT COLLEGE OF ENGINEERING AND RESEARCH , PUNE</t>
  </si>
  <si>
    <t>AutoCAD,REVIT,CSI ETABS,TEKLA STRUCTURE</t>
  </si>
  <si>
    <t>P25701118</t>
  </si>
  <si>
    <t>SUDEEP</t>
  </si>
  <si>
    <t>Sudeep Roy</t>
  </si>
  <si>
    <t>roysudeep8@gmail.com</t>
  </si>
  <si>
    <t>p25701118@student.nicmar.ac.in</t>
  </si>
  <si>
    <t>ENGLISH, BENGALI &amp; HINDI</t>
  </si>
  <si>
    <t>7129 5962 1442</t>
  </si>
  <si>
    <t>SUBRATA KUMAR ROY</t>
  </si>
  <si>
    <t>EX BSF</t>
  </si>
  <si>
    <t>MALABIKA ROY</t>
  </si>
  <si>
    <t>Shyamnagar More, Shyamnagar, Tehatta, Nadia, West Bengal, 741155</t>
  </si>
  <si>
    <t>VIVEKANANDA ACADEMY</t>
  </si>
  <si>
    <t>JNV GOPALPUR BIRBHUM</t>
  </si>
  <si>
    <t>OM DAYAL GROUP OF INSTITUTIONS</t>
  </si>
  <si>
    <t>AutoCAD,MS Office,MS Project,Lumion,Photoshop,Revit,BIM,3d Modeling</t>
  </si>
  <si>
    <t>RADIANT | ARCHITECT | KOLKATA | Jul 2022 | Jul 2024 | 2Y 0M | 4.6
ARCH-HUE Consultants | PROJECT ARCHITECT | KOLKATA | Aug 2024 | Jun 2025 | 0Y 10M | 5.06</t>
  </si>
  <si>
    <t>Kayne Bio Sciences Ltd | Project Execution Intern | HYDERABAD | May 2026 | Jul 2026 | 8.7142857142857 Weeks | Campus Internship
RADIANT | INTERN ARCHITECT | KOLKATA | Jul 2021 | Jan 2022 | 26.285714285714 Weeks</t>
  </si>
  <si>
    <t>Empaneled Architect , New Town Kolkata Development Authority ( NKDA )
Registered Architect, COUNCIL OF ARCHITECTURE
Urban Service Planning , NPTEL ONLINE CERTIFICATION</t>
  </si>
  <si>
    <t>P25701119</t>
  </si>
  <si>
    <t>ABHIJAY</t>
  </si>
  <si>
    <t>GADEKAR</t>
  </si>
  <si>
    <t>Abhijay Ajay Gadekar</t>
  </si>
  <si>
    <t>abhijayagadekar1980@gmail.com</t>
  </si>
  <si>
    <t>p25701119@student.nicmar.ac.in</t>
  </si>
  <si>
    <t>8295 5297 9840</t>
  </si>
  <si>
    <t>AJAY GADEKAR</t>
  </si>
  <si>
    <t>SHUBHANGI GADEKAR</t>
  </si>
  <si>
    <t>Jasmini Bungalow Plot No.12, Civil Lines, NMV Society, Near RTO.</t>
  </si>
  <si>
    <t>CENTRE POINT SCHOOL</t>
  </si>
  <si>
    <t>GURUNANAK PUBLIC SCHOOL</t>
  </si>
  <si>
    <t>RASHTRASANT TUKODOJI MAHARAJ UNIVERSITY, NAGPUR</t>
  </si>
  <si>
    <t>PRIYADARSHANI COLLEGE OF ENGINEERING</t>
  </si>
  <si>
    <t>AutoCAD,MS Office,MS Project,Primavera,SPSS,CANDY,@RISK</t>
  </si>
  <si>
    <t>Sky Construction | Intern | Nagpur | May 2024 | Jun 2024 | 5 Weeks
Raghukaul Constructions Private Limited | Intern | Nagpur | Jul 2023 | Jul 2023 | 3 Weeks</t>
  </si>
  <si>
    <t>Course in Universal Health</t>
  </si>
  <si>
    <t>P25701120</t>
  </si>
  <si>
    <t>Praveen . K</t>
  </si>
  <si>
    <t>kp966999@gmail.com</t>
  </si>
  <si>
    <t>p25701120@student.nicmar.ac.in</t>
  </si>
  <si>
    <t>18-Jul-2002</t>
  </si>
  <si>
    <t>TAMIL,ENGLISH,HINDI</t>
  </si>
  <si>
    <t>8729 3896 8010</t>
  </si>
  <si>
    <t>KANNAN.S</t>
  </si>
  <si>
    <t>NIRUBAMA.K</t>
  </si>
  <si>
    <t>175/2 V.O.C Road, NNL Bus Shed Opposite, Karaikudi</t>
  </si>
  <si>
    <t>ALAGAPPA MATRIC HR SEC SCHOOL KARAIKUDI</t>
  </si>
  <si>
    <t>KARAIKUDI MAGARISHI VIDHAYA MANDIR MATRIC HR SEC SCHOOL</t>
  </si>
  <si>
    <t>C.A.R.E SCHOOL OF ARCHITECTURE</t>
  </si>
  <si>
    <t>AutoCAD,MS Office,MS Project,Primavera,Revit (BIM),CANDY,SketchUp</t>
  </si>
  <si>
    <t>EDSOM FINTECT PVT. LTD | Project Management &amp; Business Analytics | Pune | May 2026 | Jun 2026 | 7.7142857142857 Weeks | Campus Internship
Narshimham Associates | Architecture  | Hyderabad | Jun 2023 | Nov 2023 | 20.571428571429 Weeks</t>
  </si>
  <si>
    <t>Project Management the Basics for Success Course Certificate
Introduction to Corporate Finance Course Certificate
BIM Course</t>
  </si>
  <si>
    <t>P25701121</t>
  </si>
  <si>
    <t>KAKADE</t>
  </si>
  <si>
    <t>Sourav Suresh Kakade</t>
  </si>
  <si>
    <t>kakade.sourav@gmail.com</t>
  </si>
  <si>
    <t>p25701121@student.nicmar.ac.in</t>
  </si>
  <si>
    <t>15-Mar-1999</t>
  </si>
  <si>
    <t>7148 7721 9866</t>
  </si>
  <si>
    <t>SURESH KAKADE</t>
  </si>
  <si>
    <t>MRIDULA KAKADE</t>
  </si>
  <si>
    <t>E-001/2, Shireen Complex, Manpada Road, Near Sanghavi Garden, Sagaon, Dombivli East</t>
  </si>
  <si>
    <t>ABHINAV VIDYALAY</t>
  </si>
  <si>
    <t>COUNCIL FOR THE INDIAN SCHOOL CERTIFICATE EXAMINATIONS, DOMBIVLI, INDIA</t>
  </si>
  <si>
    <t>RAMNARAIN RUIA COLLEGE</t>
  </si>
  <si>
    <t>SHRI SHIVAJI MARATHA SOCIETY'S COLLEGE OF ARCHITECTURE, PUNE, MAHARASHTRA</t>
  </si>
  <si>
    <t>AutoCAD,MS Office,MS Project,Revit,Photoshop,Sketchup</t>
  </si>
  <si>
    <t>P. G. Patki Architects | Junior Architect-BIM | 1st Floor, Calcot House, 8, Tamarind Ln, Kala Ghoda, Fort, Mumbai, Maharashtra 400001 | May 2023 | Jul 2025 | 2Y 1M | 3.48</t>
  </si>
  <si>
    <t>ASBL | Design Research &amp; Coordination Intern | Hyderabad | May 2026 | Jul 2026 | 8.7142857142857 Weeks | Campus Internship
Ar. Ninad Vaidya | Intern | Ninad Vaidya Architects, Ground Floor, Rachna Divine, Dombivli, Unit No 1, Tilak Road, Dombivli, Thane, Maharashtra, 421201 | Jul 2021 | Nov 2021 | 18.714285714286 Weeks
Studio Symetree | Jr Architect | Aundh, Pune | Jun 2022 | Oct 2022 | 21.571428571429 Weeks</t>
  </si>
  <si>
    <t>P25701122</t>
  </si>
  <si>
    <t>Tejas N</t>
  </si>
  <si>
    <t>tejas.narayanaswamy33@gmail.com</t>
  </si>
  <si>
    <t>p25701122@student.nicmar.ac.in</t>
  </si>
  <si>
    <t>3915 7864 1990</t>
  </si>
  <si>
    <t>NARAYANASWAMY V</t>
  </si>
  <si>
    <t>LATHA K</t>
  </si>
  <si>
    <t>No. 280, Geetha Bharath Nilaya, 1st Main , 1st Cross ,Vidyaranayapura</t>
  </si>
  <si>
    <t>SRI VIDYA MANDIRA HIGH SCHOOL</t>
  </si>
  <si>
    <t>KARNATAKA SECONDARY EDUCATION EXAMINATION BOARD , BENGALURU , KARNATAKA</t>
  </si>
  <si>
    <t>MES KISHORA KENDRA PU COLLEGE</t>
  </si>
  <si>
    <t>KARNATAKA SECONDARY EDUCATION (PRE-UNIVERSITY) EXAMINATION BOARD , BENGALURU , KARNATAKA</t>
  </si>
  <si>
    <t>BANGALORE INSTITUTE OF TECHNOLOGY , BENGALURU , KARNATAKA</t>
  </si>
  <si>
    <t>Foxconn Hon Hai Technology India Mega Development Private Limited | Supplier Quality Engineer Trainee | Bengaluru | Oct 2024 | May 2025 | 0Y 7M | 2.97</t>
  </si>
  <si>
    <t>Bangalore Metro Rail Corporation Limited | Project Management Trainee | Bengaluru | May 2026 | Jul 2026 | 8.7142857142857 Weeks | Campus Internship
Concord United Products Private Limited | Graduate Apprentice Trainee - Blade Manufacturing | Bengaluru | Jun 2024 | Sep 2024 | 16.714285714286 Weeks
Bharat Electronics Limited | Project Trainee - Strategic Communication &amp; Unmanned Systems | Bengaluru | Aug 2023 | Sep 2023 | 4.8571428571429 Weeks</t>
  </si>
  <si>
    <t>P25701123</t>
  </si>
  <si>
    <t>WAIRAGADE</t>
  </si>
  <si>
    <t>Aditya Ramesh Wairagade</t>
  </si>
  <si>
    <t>vairagadeaditya34@gmail.com</t>
  </si>
  <si>
    <t>p25701123@student.nicmar.ac.in</t>
  </si>
  <si>
    <t>4701 2974 6941</t>
  </si>
  <si>
    <t>RAMESH WAIRAGADE</t>
  </si>
  <si>
    <t>ASHA WAIRAGADE</t>
  </si>
  <si>
    <t>Dashrath Wada, Near Medplus, Jatpura Ward No. 1, Ramnagar Road, Chandrapur.</t>
  </si>
  <si>
    <t>VIDYA NIKETAN HIGH SCHOOL, CHANDRAPUR</t>
  </si>
  <si>
    <t>VIDYA NIKETAN JUNIOR COLLEGE, CHANDRAPUR</t>
  </si>
  <si>
    <t>ST. VINCENT COLLEGE OF ENGINEERING &amp; TECHNOLOGY, NAGPUR</t>
  </si>
  <si>
    <t>MS Office,MS Project,Primavera,Solidworks</t>
  </si>
  <si>
    <t>AK Associates  | Project Coordination  | Chandrapur, Maharashtra  | May 2026 | Jul 2026 | 8.7142857142857 Weeks | Campus Internship
KP Industries | Engineering Trainee | Hingna MIDC, Nagpur | Sep 2021 | Oct 2021 | 2 Weeks
Tristar Cars Private Limited ( Maruti Suzuki) | Engineering Trainee | Chandrapur | Jan 2022 | Jan 2022 | 2 Weeks
CHANDRAPUR FERRO ALLOY PLANT (STEEL AUTHORITY OF INDIA LIMITED) | Engineering Trainee  | CHANDRAPUR | Feb 2022 | Feb 2022 | 3.8571428571429 Weeks</t>
  </si>
  <si>
    <t>Lean Six Sigma Green Belt</t>
  </si>
  <si>
    <t>P25701124</t>
  </si>
  <si>
    <t>SHIBU</t>
  </si>
  <si>
    <t>Aravind Shibu</t>
  </si>
  <si>
    <t>aravindshibu2406@gmail.com</t>
  </si>
  <si>
    <t>p25701124@student.nicmar.ac.in</t>
  </si>
  <si>
    <t>06-Feb-2001</t>
  </si>
  <si>
    <t>5746 2689 3039</t>
  </si>
  <si>
    <t>SHIBU A</t>
  </si>
  <si>
    <t>SUJATHA G</t>
  </si>
  <si>
    <t>LIC EMPLOYEE</t>
  </si>
  <si>
    <t>Souparnika House, Court Junction_x000D_
Ponkunnam P.O Kottayam Kerala</t>
  </si>
  <si>
    <t>ST ANTONY'S PUBLIC SCHOOL KANJIRAPALLY KOTTAYAM</t>
  </si>
  <si>
    <t>AMAL JYOTHI COLLEGE OF  ENGINEERING KANJIRAPALLY, KERALA</t>
  </si>
  <si>
    <t>AutoCAD,MS Office,MS Project,Primavera,CANVA</t>
  </si>
  <si>
    <t>GlobalFair Inc | Project Management Intern  | Bengalore  | May 2026 | Jun 2026 | 8.1428571428571 Weeks | Campus Internship
K-DISC | YIP INTERNSHIP | KOTTAYAM | Jan 2024 | Mar 2024 | 8.5714285714286 Weeks
LIVIT  INTERIORS | MANAGEMENT AND CLIENT COORDINATOR | ERNAKULAM | Jul 2024 | Dec 2024 | 21.857142857143 Weeks
Kerala Public Works Department | Intern | Kottayam  | May 2023 | May 2023 | 0.71428571428571 Weeks</t>
  </si>
  <si>
    <t>Volunteer for NASA SPACE APPS CHALLENGE 2024
Course Completion on  STAAD.Pro
Course Completion on  Primavera Project Management
Certificate of Participation in Srishti, 10th National Level Project Exhibition and Competition
Certificate for being Career Ambassador in implementing the connect career to campus.
Course Completion on  AI Applications  for Civil Engineer
Energy Cell Regional Coordinator
Volunteer for NASA SPACE APPS CHALLENGE 2023</t>
  </si>
  <si>
    <t>P25701125</t>
  </si>
  <si>
    <t>AMIN</t>
  </si>
  <si>
    <t>Pooja Pravin Amin</t>
  </si>
  <si>
    <t>poojjaamin@gmail.com</t>
  </si>
  <si>
    <t>p25701125@student.nicmar.ac.in</t>
  </si>
  <si>
    <t>3291 5634 1858</t>
  </si>
  <si>
    <t>PRAVIN S AMIN</t>
  </si>
  <si>
    <t>JAYA PRAVIN AMIN</t>
  </si>
  <si>
    <t>401/B9, Brahmand Complex PHASE 3, Azad Nagar, Opp Orchid International School, Thane (W)</t>
  </si>
  <si>
    <t>SRI MA VIDYALAYA</t>
  </si>
  <si>
    <t>VIDYA NIKETAN JR COLLEGE OF COMMERCE AND SICENCE</t>
  </si>
  <si>
    <t>DR. DY PATIL COLLEGE OF ARCHITECTURE, NAVI MUMBAI</t>
  </si>
  <si>
    <t>AutoCAD,MS Office,MS Project,Primavera,Archicad,Lumion,Revit,Photoshop</t>
  </si>
  <si>
    <t>GA Design | Junior Architect | Lower Parel, Mumbai | Jan 2024 | Jun 2025 | 1Y 4M | 2.52</t>
  </si>
  <si>
    <t>SAAKAAR ARCHITECTS | Junior Architect | THANE, MAHARASHTRA  | Dec 2021 | Apr 2022 | 16.428571428571 Weeks</t>
  </si>
  <si>
    <t>Business Communication Essential by IIM Bangalore
ISO Certified Software Training Course(S) for Revit, Rhino, Grasshopper, Lumion
Career in Set Design
Architecture Illustration</t>
  </si>
  <si>
    <t>P25701126</t>
  </si>
  <si>
    <t>Priya Krishna Jaiswal</t>
  </si>
  <si>
    <t>jaiswalpriya2903@gmail.com</t>
  </si>
  <si>
    <t>p25701126@student.nicmar.ac.in</t>
  </si>
  <si>
    <t>4645 6127 3961</t>
  </si>
  <si>
    <t>14, 2nd Floor, Krishna Niwas, R. A. Kidwai Road, Wadala (West), Mumbai - 400031</t>
  </si>
  <si>
    <t>SOUTH INDIAN WELFARE SOCIETY SCHOOL</t>
  </si>
  <si>
    <t>SIES COLLEGE OF ARTS, SCIENCE &amp; COMMERCE</t>
  </si>
  <si>
    <t>AutoCAD,MS Office,MS Project,Primavera,Adobe Photoshop,Lumion,SketchUp</t>
  </si>
  <si>
    <t>Ascendas Firstspace  | Project Intern  | BKC, Mumbai | May 2026 | Jun 2026 | 8.1428571428571 Weeks | Campus Internship
S. P. Shevade &amp; Associates | Intern Architect | Vile Parle | Dec 2022 | Apr 2023 | 20.142857142857 Weeks
Talati and Partners LLP | Architect | Worli, Mumbai  | Jul 2024 | Jun 2025 | 49.571428571429 Weeks</t>
  </si>
  <si>
    <t>P25701127</t>
  </si>
  <si>
    <t>PONNAM</t>
  </si>
  <si>
    <t>Ponnam Sai Kiran</t>
  </si>
  <si>
    <t>p.saikiran006@gmail.com</t>
  </si>
  <si>
    <t>p25701127@student.nicmar.ac.in</t>
  </si>
  <si>
    <t>06-May-2003</t>
  </si>
  <si>
    <t>English,Hindi,Telugu,Odia</t>
  </si>
  <si>
    <t>8057 8973 1192</t>
  </si>
  <si>
    <t>P.ARUN CHOWDARY</t>
  </si>
  <si>
    <t>P.LAKSHMI SUREKHA</t>
  </si>
  <si>
    <t>Arun Buildings,Oppposite Paramount Automobiles,Devodola,Rayagada,Odisha</t>
  </si>
  <si>
    <t>Rayagada</t>
  </si>
  <si>
    <t>CBSE VISHAKAPATNAM,ANDHRA PRADESH</t>
  </si>
  <si>
    <t>SOA UNIVERSITY</t>
  </si>
  <si>
    <t>INSTITUTE OF TECHNICAL EDUCATION AND RESEARCH,BHUBANESHWAR,ODISHA</t>
  </si>
  <si>
    <t>MS Office,MS Project,Primavera,Python,Java,Adobe Photoshop,Adobe PreimrePro,Data Science,AI ML,Full Stack,Algorithm Design,@RISK,Candy(Basic),Canva,Digital Logic Design,Computer Networking,DBMS</t>
  </si>
  <si>
    <t>P25701128</t>
  </si>
  <si>
    <t>NANDHINI</t>
  </si>
  <si>
    <t>Nandhini N</t>
  </si>
  <si>
    <t>nandhiniar2503@gmail.com</t>
  </si>
  <si>
    <t>p25701128@student.nicmar.ac.in</t>
  </si>
  <si>
    <t>6673 2496 2348</t>
  </si>
  <si>
    <t>NAGARAJAN K</t>
  </si>
  <si>
    <t>LAKSHMI N</t>
  </si>
  <si>
    <t>3/843-A, AMIRTHA NAGAR, ARASANATTI VILLAGE, MOOKANDAPALLI, HOSUR</t>
  </si>
  <si>
    <t>MAHARISHI VIDYA MANDIR</t>
  </si>
  <si>
    <t>CBSE, HOSUR</t>
  </si>
  <si>
    <t>SCHOOL OF ARCHITECTURE &amp; PLANNING,CHENNAI</t>
  </si>
  <si>
    <t>AutoCAD,MS Office,MS Project,Primavera,SKETCHUP,REVIT,LUMION,D5,ENSCAPE</t>
  </si>
  <si>
    <t>A SKETCH ARCHITECTURE + DESIGN | JUNIOR ARCHITECT | bengaluru | Nov 2024 | May 2025 | 0Y 6M | 3.24</t>
  </si>
  <si>
    <t>UNKNOWN ARCHITECTS | INTERN ARCHITECT | CHENNAI | Mar 2022 | Jun 2022 | 13.714285714286 Weeks
UNKNOWN ARCHITECTS | JUNIOR ARCHITECT | CHENNAI | Jul 2023 | Jul 2024 | 56.285714285714 Weeks</t>
  </si>
  <si>
    <t>P25701129</t>
  </si>
  <si>
    <t>Aditi Jitendra Patil</t>
  </si>
  <si>
    <t>aditi.jpatil28@gmail.com</t>
  </si>
  <si>
    <t>p25701129@student.nicmar.ac.in</t>
  </si>
  <si>
    <t>6390 3912 5999</t>
  </si>
  <si>
    <t>JITENDRA PATIL</t>
  </si>
  <si>
    <t>SHARADA PATIL</t>
  </si>
  <si>
    <t>401,Uttara CHS, Plot No. 11 &amp;12, Sector 50(old), Seawoods, Navi Mumbai- 400706</t>
  </si>
  <si>
    <t>RYAN INTERNATIONAL SCHOOL, GOREGAON(E), MUMBAI</t>
  </si>
  <si>
    <t>ICSE, MUMBAI</t>
  </si>
  <si>
    <t>DNYAN PUSHPA VIDYANIKETAN &amp; JR. COLLEGE , CBD BELAPUR, NAVI MUMBAI</t>
  </si>
  <si>
    <t>HSC,MAHARASHTRA</t>
  </si>
  <si>
    <t>AutoCAD,MS Office,MS Project,Primavera,Adobe Photoshop,Revit,Lumion,Enscape,Sketcheup</t>
  </si>
  <si>
    <t>Praveen Awate Architects Pvt.Ltd | Jr. Architect | Dadar(West), Mumbai | Sep 2023 | Apr 2024 | 0Y 7M | 2.4
Urbann Analysis and Solutions Pvt.Ltd | Jr. Architect | CBD Belapur, Navi Mumbai | May 2024 | Jun 2025 | 1Y 1M | 3</t>
  </si>
  <si>
    <t>Larsen &amp; Toubro Construction | Project Planning Intern | Kharghar, Navi Mumbai | May 2026 | Jul 2026 | 8.5714285714286 Weeks | Campus Internship
Mobius Architects | Intern Architect | Juhinagar, Navi Mumbai | Nov 2021 | May 2022 | 22.571428571429 Weeks</t>
  </si>
  <si>
    <t>P25701130</t>
  </si>
  <si>
    <t>SANDU</t>
  </si>
  <si>
    <t>Sandu Rakesh</t>
  </si>
  <si>
    <t>rakeshsandu2003@gmail.com</t>
  </si>
  <si>
    <t>p25701130@student.nicmar.ac.in</t>
  </si>
  <si>
    <t>25-Sep-2003</t>
  </si>
  <si>
    <t>Sports,Travelling</t>
  </si>
  <si>
    <t>5738 8308 6956</t>
  </si>
  <si>
    <t>SANDU PANDU RANGA RAO</t>
  </si>
  <si>
    <t>COCONUT VENDOR</t>
  </si>
  <si>
    <t>SANDU VENKATARATNAM</t>
  </si>
  <si>
    <t>D/No:65-5-10/2, Darsi Peta-1,Patamata,Vijayawada</t>
  </si>
  <si>
    <t>ACHARYA NAGARJUNA UNIVERSITY, GUNTUR, ANDHRA PRADESH</t>
  </si>
  <si>
    <t>Bangalore Metro Rail Corporation Ltd.  | Project Management Intern | Bengaluru | May 2026 | Jul 2026 | 8.7142857142857 Weeks | Campus Internship
STARC INDIA | SITE ENGINEER INTERN | HYDERABAD | Mar 2025 | Jun 2025 | 13.142857142857 Weeks</t>
  </si>
  <si>
    <t>P25701131</t>
  </si>
  <si>
    <t>RISHIDHAR</t>
  </si>
  <si>
    <t>Rishidhar M S</t>
  </si>
  <si>
    <t>rishizeth5@gmail.com</t>
  </si>
  <si>
    <t>p25701131@student.nicmar.ac.in</t>
  </si>
  <si>
    <t>Gym,Books,F1,Trading</t>
  </si>
  <si>
    <t>4814 5110 3757</t>
  </si>
  <si>
    <t>MEGAN C</t>
  </si>
  <si>
    <t>SUKUMARI C</t>
  </si>
  <si>
    <t>MATH PROFESSOR</t>
  </si>
  <si>
    <t>17,b Kannagi Street,Muthamil Nagar,M.C.Road,Thanjavur.</t>
  </si>
  <si>
    <t>YAGAPPA MATRICULATION HIGHER SECONDARY SCHOOL</t>
  </si>
  <si>
    <t>THANJAVUR</t>
  </si>
  <si>
    <t>SASTRA DEEMED UNIVERSITY</t>
  </si>
  <si>
    <t>MS Office,MS Project,Primavera,MS Excel,Site Execution,Quantity Estimation,Quality Control</t>
  </si>
  <si>
    <t>Sakkthi Construction | Site Engineer | Trichy | Jul 2024 | Jun 2025 | 0Y 11M | 2.4</t>
  </si>
  <si>
    <t>VME Pre-cast | Production Supervisor | Kanchipuram | Jul 2023 | Jul 2023 | 2 Weeks</t>
  </si>
  <si>
    <t>P25701132</t>
  </si>
  <si>
    <t>PRASANNA</t>
  </si>
  <si>
    <t>THAWARE</t>
  </si>
  <si>
    <t>Prasanna Dhananjay Thaware</t>
  </si>
  <si>
    <t>p.thaware@yahoo.com</t>
  </si>
  <si>
    <t>p25701132@student.nicmar.ac.in</t>
  </si>
  <si>
    <t>09-Jul-2000</t>
  </si>
  <si>
    <t>Travelling,Motorcycling,Swimming</t>
  </si>
  <si>
    <t>3991 9190 1714</t>
  </si>
  <si>
    <t>YOGITA</t>
  </si>
  <si>
    <t>Second Floor, Vedant Apartment, Kohale Layout, Khadgaon Road, Wadi</t>
  </si>
  <si>
    <t>ST. XAVIERS HIGH SCHOOL NAGPUR</t>
  </si>
  <si>
    <t>CENTRAL BOARD OF SECONDARY EDUCATION (CBSE)  NAGPUR MH</t>
  </si>
  <si>
    <t>GOVERNMENT COLLEGE OF ENGINEERING AURANGABAD, CHHATRAPATI SAMBHAJINAGAR, MAHARASHTRA</t>
  </si>
  <si>
    <t>AutoCAD,MS Office,MS Project,Primavera,Solidworks,Ansys,Catia</t>
  </si>
  <si>
    <t>Adani Solar Adani Infra (India) Ltd | Assistant Manager Project Management | Mundra, Gujarat | Aug 2022 | Feb 2024 | 1Y 6M | 8</t>
  </si>
  <si>
    <t>Saint-Gobain India Pvt. Ltd. | Sales &amp; Marketing Intern | Bengaluru | May 2026 | Jul 2026 | 8.5714285714286 Weeks | Campus Internship</t>
  </si>
  <si>
    <t>P25701133</t>
  </si>
  <si>
    <t>Om Rajesh Patil</t>
  </si>
  <si>
    <t>ompatil16122002@gmail.com</t>
  </si>
  <si>
    <t>p25701133@student.nicmar.ac.in</t>
  </si>
  <si>
    <t>16-Dec-2002</t>
  </si>
  <si>
    <t>ENGLISH, HINDI, MARATHI, KANNADA</t>
  </si>
  <si>
    <t>7769 0136 0503</t>
  </si>
  <si>
    <t>RAJESH PATIL</t>
  </si>
  <si>
    <t>GOVERNMENT CONTRACTOR &amp; BUSINESSMAN</t>
  </si>
  <si>
    <t>Rajsheela Building, Ashok Nagar, Nipani, District Belgaum, Karnataka, 591237</t>
  </si>
  <si>
    <t>SANJAY GHODAWAT INTERNATIONAL SCHOOL</t>
  </si>
  <si>
    <t>CAMBRIDGE ASSESSMENT INTERNATIONAL EDUCATION INTERNATIONAL GENERAL CERTIFICATE OF SECONDARY EDUCATION (CAIE IGCSE), KOLHAPUR, MAHARASHTRA</t>
  </si>
  <si>
    <t>INTERNATIONAL BACCALAUREATE DIPLOMA PROGRAM (IBDP), KOLHAPUR, MAHARASHTRA</t>
  </si>
  <si>
    <t>SVKM'S NARSEE MONJEE INSTITUTE OF MANAGEMENT STUDIES (NMIMS UNIVERSITY)</t>
  </si>
  <si>
    <t>PRAVIN DALAL SCHOOL OF ENTREPRENEURSHIP &amp; FAMILY BUSINESS MANAGEMENT</t>
  </si>
  <si>
    <t>MS Office,MS Project,Primavera,Tableau</t>
  </si>
  <si>
    <t>M/s B.R.Patil Engineers &amp; Contractors | Assistant Manager  | Belgaum, karnataka  | Mar 2024 | Jun 2025 | 1Y 3M | 2.09</t>
  </si>
  <si>
    <t>Asian Paints Project Sales | Sales Engineer  | Mangaluru  | May 2026 | Jun 2026 | 4.4285714285714 Weeks | Campus Internship
GEOLIFE AGRITECH PVT LTD | SALES &amp; DISTRIBUTION INTERN  | MUMBAI | Apr 2023 | Jun 2023 | 10.428571428571 Weeks
PIOMA CHEMICALS (MAYPHARM LIFE SCIENCES) | PROCUREMENT &amp; PURCHASING INTERN | MUMBAI | May 2022 | Jun 2022 | 6.7142857142857 Weeks
LEAPUS TECHNOLOGIES PVT LTD (PIXIS AI) | CUSTOMER SUCCESS AND PERFORMANCE MARKETER | BENGALURU  | May 2021 | Jul 2021 | 12.714285714286 Weeks</t>
  </si>
  <si>
    <t>P25701134</t>
  </si>
  <si>
    <t>ASHWINKUMAR</t>
  </si>
  <si>
    <t>VHARAMBALE</t>
  </si>
  <si>
    <t>Priyanka Ashwinkumar Vharambale</t>
  </si>
  <si>
    <t>priyankavharambale91@gmail.com</t>
  </si>
  <si>
    <t>p25701134@student.nicmar.ac.in</t>
  </si>
  <si>
    <t>2427 9649 0093</t>
  </si>
  <si>
    <t>SENIOR PROFESSOR</t>
  </si>
  <si>
    <t>SUCHITRA</t>
  </si>
  <si>
    <t>Plot No. 31,Padma Housing Society,near S.S.C. Board, _x000D_
Rajendra Nagar Ring Road</t>
  </si>
  <si>
    <t>RADHABAI SHINDE ENGLISH MEDIUM SCHOOL</t>
  </si>
  <si>
    <t>MAHARASHTRA STATE BOARD OF SECONDARY AND  HIGHER SECONDARY EDUCATION, PUNE</t>
  </si>
  <si>
    <t>NEW INSTITUTE OF TECHNOLOGY, KOLHAPUR, MAHARASHTRA</t>
  </si>
  <si>
    <t>RAJARAMBAPU INSTITUTE OF TECHNOLOGY, ISLAMPUR, MAHARASHTRA</t>
  </si>
  <si>
    <t>AutoCAD,civil 3d,storm sewer extension and analysis</t>
  </si>
  <si>
    <t>Indovance Pvt. Ltd. | Civil Design Engineer | Pune | Mar 2024 | Jul 2025 | 1Y 3M | 4</t>
  </si>
  <si>
    <t>Indovance Pvt. Ltd. | Trainee Design Engineer | Pune | Jan 2024 | Mar 2024 | 9.8571428571429 Weeks
Pooja Associates | Intern | Islampur | Sep 2022 | Sep 2022 | 2.8571428571429 Weeks
Fidesto Projects Private Limited | Project Planning &amp; Scheduling Intern | Pune | May 2026 | Jul 2026 | 8.7142857142857 Weeks</t>
  </si>
  <si>
    <t>P25701135</t>
  </si>
  <si>
    <t>PASAD</t>
  </si>
  <si>
    <t>Jay Anil Pasad</t>
  </si>
  <si>
    <t>jay36pasad@gmail.com</t>
  </si>
  <si>
    <t>p25701135@student.nicmar.ac.in</t>
  </si>
  <si>
    <t>28-Dec-2000</t>
  </si>
  <si>
    <t>Hindi,English,Marathi,Gujarati,Kutchi</t>
  </si>
  <si>
    <t>9703 4998 8081</t>
  </si>
  <si>
    <t>ANIL PASAD</t>
  </si>
  <si>
    <t>LEENA PASAD</t>
  </si>
  <si>
    <t>B/203, Malhar Palace No. 2,_x000D_
Manpada Road, Opp Kasturi Plaza</t>
  </si>
  <si>
    <t>2004-Jul</t>
  </si>
  <si>
    <t>K J SOMAIYA COLLEGE OF SCIENCE &amp; COMMERCE</t>
  </si>
  <si>
    <t>DR. D Y PATIL COLLEGE OF ARCHITECTURE</t>
  </si>
  <si>
    <t>AutoCAD,MS Office,MS Project,Primavera,SketchUp,Enscape,Photoshop,Excel</t>
  </si>
  <si>
    <t>Shree Designs | Jr. Architect | Mumbai | Jul 2023 | Jun 2025 | 1Y 11M | 3.6</t>
  </si>
  <si>
    <t>Keystone Realtors (Rustomjee) | Project Management Intern | Mumbai | May 2026 | Jul 2026 | 8.7142857142857 Weeks | Campus Internship
Dilip Deshmukh &amp; Associates | Intern | Dombivali | Dec 2021 | Apr 2022 | 18.428571428571 Weeks</t>
  </si>
  <si>
    <t>P25701136</t>
  </si>
  <si>
    <t>URJA</t>
  </si>
  <si>
    <t>Urja Nitin Chauhan</t>
  </si>
  <si>
    <t>chauhanurja05@gmail.com</t>
  </si>
  <si>
    <t>p25701136@student.nicmar.ac.in</t>
  </si>
  <si>
    <t>English, Marathi, Hindi, Gujarati</t>
  </si>
  <si>
    <t>8746 0737 4195</t>
  </si>
  <si>
    <t>NITIN CHAUHAN</t>
  </si>
  <si>
    <t>SHEETAL CHAUHAN</t>
  </si>
  <si>
    <t>101, Amidhara CHS, Mamlatdarwadi Rd No.4, Near Nandu Medical, Malad West</t>
  </si>
  <si>
    <t>AutoCAD,MS Office,MS Project,Primavera,Photoshop,Sketchup</t>
  </si>
  <si>
    <t>MANISH MEHTA ARCHITECT | ASSISTANT ARCHITECT | MUMBAI | Jun 2023 | Apr 2025 | 1Y 10M | 3.6</t>
  </si>
  <si>
    <t>Jones Lang LaSalle Property Consultants (India) Pvt Ltd | Intern | Mumbai | May 2026 | Jul 2026 | 8.7142857142857 Weeks | Campus Internship
MANISH MEHTA ARCHITECT | ARCHITECTURAL INTERN | SANTACRUZ, MUMBAI | Dec 2021 | Apr 2022 | 18.428571428571 Weeks</t>
  </si>
  <si>
    <t>UN Volunteers
Autocad</t>
  </si>
  <si>
    <t>P25701137</t>
  </si>
  <si>
    <t>SALODKAR</t>
  </si>
  <si>
    <t>Dhanashree Arvind Salodkar</t>
  </si>
  <si>
    <t>dsalodkar7875@gmail.com</t>
  </si>
  <si>
    <t>p25701137@student.nicmar.ac.in</t>
  </si>
  <si>
    <t>Performing Arts (Dance),Creative &amp; Experience Design,Visual Arts (Painting &amp; Sketching),Outdoor Exploration &amp; Riding</t>
  </si>
  <si>
    <t>7568 5206 2037</t>
  </si>
  <si>
    <t>MRUNAL</t>
  </si>
  <si>
    <t>Gandhi Nagar, Dhamangaon Road</t>
  </si>
  <si>
    <t>ST. ALOYSIUS ENGLISH MEDIUM HIGH SCHOOL</t>
  </si>
  <si>
    <t>ADARSH SANSKAR JUNIOR COLLEGE , NAGPUR</t>
  </si>
  <si>
    <t>MAHARASHTRA STATE BOARD OF SECONDARY &amp; HIGHER SECONDARY EDUCATION , PUNE</t>
  </si>
  <si>
    <t>PADMASHREE DR. D Y PATIL COLLEGE OF ARCHITECTURE, AKURDI , PUNE</t>
  </si>
  <si>
    <t>AutoCAD,MS Office,MS Project,Sketchup,Lumion</t>
  </si>
  <si>
    <t>Figments Experience Lab | Junior Architect | Pune  | Jul 2024 | Jun 2025 | 0Y 11M | 2.16</t>
  </si>
  <si>
    <t>Akruti Concept Studio | Intern  | Pune  | Jun 2023 | Oct 2023 | 19.428571428571 Weeks</t>
  </si>
  <si>
    <t>P25701138</t>
  </si>
  <si>
    <t>SANJALI</t>
  </si>
  <si>
    <t>GANORE</t>
  </si>
  <si>
    <t>Sanjali Sachin Ganore</t>
  </si>
  <si>
    <t>sanjaliganore19@gmail.com</t>
  </si>
  <si>
    <t>p25701138@student.nicmar.ac.in</t>
  </si>
  <si>
    <t>9322 3024 5758</t>
  </si>
  <si>
    <t>SUNAYANA</t>
  </si>
  <si>
    <t>493, Nivrutti Cloth Stores, Telikhunt Chowk, Sangamner, Ahmednagar</t>
  </si>
  <si>
    <t>DHRUV ACADEMY</t>
  </si>
  <si>
    <t>SIR JJ COLLEGE OF ARCHITECTURE</t>
  </si>
  <si>
    <t>AutoCAD,MS Office,MS Project,Primavera,Sketchup,Photoshop,Vectorworks</t>
  </si>
  <si>
    <t>ANT Associates | Junior Architect | Nashik | Sep 2024 | Jun 2025 | 0Y 9M | 1.8</t>
  </si>
  <si>
    <t>Kayne Bio Sciences | Project Operations Intern | Hyderabad | May 2026 | Jul 2026 | 8.7142857142857 Weeks | Campus Internship
ABHIKALPAN ARCHITECTS AND PLANNERS | Architectural Intern | MUMBAI | Dec 2022 | Apr 2023 | 20.714285714286 Weeks</t>
  </si>
  <si>
    <t>P25701139</t>
  </si>
  <si>
    <t>AARTHI MAHALAKSHMI</t>
  </si>
  <si>
    <t>SUBRAMANIAN</t>
  </si>
  <si>
    <t>Aarthi Mahalakshmi . Subramanian</t>
  </si>
  <si>
    <t>aarthimahalakshmi8@gmail.com</t>
  </si>
  <si>
    <t>p25701139@student.nicmar.ac.in</t>
  </si>
  <si>
    <t>27-Oct-2000</t>
  </si>
  <si>
    <t>English, Tamil, Hindi, Marathi</t>
  </si>
  <si>
    <t>3994 7981 0560</t>
  </si>
  <si>
    <t>OFFICE EMPLOYEE</t>
  </si>
  <si>
    <t>THANGAM</t>
  </si>
  <si>
    <t>104, B WING, TIRUPATI ICON, SECTOR 20, KAMOTHE, PANVEL, 410209</t>
  </si>
  <si>
    <t>48, Hem Bhuvan, Vatchraj Lane, Matunga Central, 400019</t>
  </si>
  <si>
    <t>SIES HIGH SCHOOL</t>
  </si>
  <si>
    <t>PRAVIN PATIL POLYTECHNIC, THANE</t>
  </si>
  <si>
    <t>UNIVERSAL COLLEGE OF ENGINEERING,VASAI</t>
  </si>
  <si>
    <t>2027-May</t>
  </si>
  <si>
    <t>MS Office,MS Project,Primavera,Power BI,Data Analysis,SQL,@risk,Advanced MS Excel</t>
  </si>
  <si>
    <t>HDB Financial Services | Junior Officer | Kanjurmarg Mumbai | Jan 2023 | Apr 2024 | 1Y 3M | 2.33</t>
  </si>
  <si>
    <t>GUBBI CIVIL ENGINEERS LTD | Project Management Intern | Thane | May 2026 | Jul 2026 | 8.7142857142857 Weeks | Campus Internship</t>
  </si>
  <si>
    <t>Google Business Intelligence
Project Management: The Basics for Success</t>
  </si>
  <si>
    <t>P25701140</t>
  </si>
  <si>
    <t>Rutuja Prashant Patil</t>
  </si>
  <si>
    <t>rutujappatil.05@gmail.com</t>
  </si>
  <si>
    <t>p25701140@student.nicmar.ac.in</t>
  </si>
  <si>
    <t>05-Mar-2002</t>
  </si>
  <si>
    <t>4411 3754 6099</t>
  </si>
  <si>
    <t>RUPALI</t>
  </si>
  <si>
    <t>10, Zunjar Colony Godoli Housing Society, Satara</t>
  </si>
  <si>
    <t>GURUKUL SECONDARY SCHOOL</t>
  </si>
  <si>
    <t>PARENTS ASSOCIATION ENGLISH SCHOOL &amp; JUNIOR COLLEGE SATARA</t>
  </si>
  <si>
    <t>S B PATIL COLLEGE OF ARCHITECTURE AND DESIGN, MAHARASHTRA, PUNE</t>
  </si>
  <si>
    <t>AutoCAD,MS Office,MS Project,sketchup,photoshop,enscape,Draft sight,Ms Excel</t>
  </si>
  <si>
    <t>Shilpkar Construction private limited  | Project management intern | Delhi | May 2026 | Jun 2026 | 8.1428571428571 Weeks | Campus Internship
RHA &amp; Associates | Intern (architect) | Goa | Jun 2024 | Oct 2024 | 16.571428571429 Weeks</t>
  </si>
  <si>
    <t>Business Communication Essentials
Project Management: The Basics for Success
Introduction to Corporate Finance</t>
  </si>
  <si>
    <t>P25701141</t>
  </si>
  <si>
    <t>MAYURESH</t>
  </si>
  <si>
    <t>UKALE</t>
  </si>
  <si>
    <t>Mayuresh Manoj Ukale</t>
  </si>
  <si>
    <t>mayurukale8539@gmail.com</t>
  </si>
  <si>
    <t>p25701141@student.nicmar.ac.in</t>
  </si>
  <si>
    <t>18-Feb-2002</t>
  </si>
  <si>
    <t>2605 5903 9624</t>
  </si>
  <si>
    <t>MANOJ GANPAT UKALE</t>
  </si>
  <si>
    <t>ANJALI MANOJ UKALE</t>
  </si>
  <si>
    <t>Near Old DCC Bank And Market Yard Pandhpur Road Sangola</t>
  </si>
  <si>
    <t>SANGOLA VIDYAMANDIR PRASHALA, SANGOLA</t>
  </si>
  <si>
    <t>SANGMESHWAR COLLEGE, SOLAPUR</t>
  </si>
  <si>
    <t>PIMPARI CHINCHWAD COLLEGE OF ENGINEERING, NIGADI, PUNE</t>
  </si>
  <si>
    <t>AutoCAD,MS Office,MS Project,Solidworks,Inventor,Ansys,Fusion360</t>
  </si>
  <si>
    <t>Helical Auto Technology India Pvt Ltd | Senior Engineer | Pune  | Aug 2023 | Jun 2025 | 1Y 10M | 4.64</t>
  </si>
  <si>
    <t>Asian Paints Limited | Project Sales (Construction Chemicals ) | Pune | May 2026 | Jul 2026 | 8.7142857142857 Weeks | Campus Internship
ENPRO INDUSTRIES PVT LTD | INTERN- R&amp;D | PUNE | Jul 2022 | Jan 2023 | 26.142857142857 Weeks
PIMPARI CHINCHWAD COLLEGE OF ENGINEERIN (AMBUSH AGROTECH) | DIVISION HEAD- HARVESTING MECHANISM | PUNE | Jan 2022 | Mar 2022 | 12.714285714286 Weeks</t>
  </si>
  <si>
    <t>P25701142</t>
  </si>
  <si>
    <t>BALIRAM</t>
  </si>
  <si>
    <t>Pranav Baliram Borate</t>
  </si>
  <si>
    <t>pranavborate100@gmail.com</t>
  </si>
  <si>
    <t>p25701142@student.nicmar.ac.in</t>
  </si>
  <si>
    <t>8051 6340 4257</t>
  </si>
  <si>
    <t>USHA</t>
  </si>
  <si>
    <t>At Post Bidal, Tal-Man, Dist- Satara</t>
  </si>
  <si>
    <t>SHALOM INTERNATIONAL SCHOOL, PACHGANI</t>
  </si>
  <si>
    <t>GALAXY ENGLISH MEDIUM SCHOOL &amp; JUNIOR COLLEGE</t>
  </si>
  <si>
    <t>MAHATMA PHULE KRUSHI VIDYAPEETH</t>
  </si>
  <si>
    <t>MS Office,MS Project,SPSS,MS EXCEL</t>
  </si>
  <si>
    <t>Raj Process Equipment and systems Pvt.Ltd. | Project Management Intern | Pune | May 2026 | Jul 2026 | 8.8571428571429 Weeks | Campus Internship</t>
  </si>
  <si>
    <t>P25701143</t>
  </si>
  <si>
    <t>PAMANNAVAR</t>
  </si>
  <si>
    <t>Sahil Ravindra Pamannavar</t>
  </si>
  <si>
    <t>sahilpamannvar@gmail.com</t>
  </si>
  <si>
    <t>p25701143@student.nicmar.ac.in</t>
  </si>
  <si>
    <t>31-Dec-1999</t>
  </si>
  <si>
    <t>5689 1970 3221</t>
  </si>
  <si>
    <t>Near Panchratna Medical Sugar Factory Road, Kabnur, Ichalkaranji 416116</t>
  </si>
  <si>
    <t>MANERE HIGH SCHOOL AND JUNIOR COLLEGE, ICHALKARANJI</t>
  </si>
  <si>
    <t>DR. J. J. MAGDUM POLYTECHNIC, JAYSINGPUR</t>
  </si>
  <si>
    <t>DR. A. D. SHINDE COLLEGE OF ENGINEERING, BHADGAON, MAHARASHTRA</t>
  </si>
  <si>
    <t>Gurudatta Construction | Site Engineer  | Kagal,Kolhapur | Jul 2023 | Jun 2024 | 0Y 11M | 1.56
Prashant Deshmukh Projects Pvt. Ltd. | Site Engineer  | Chakan,Pune | Jul 2024 | Jul 2025 | 0Y 11M | 3</t>
  </si>
  <si>
    <t>Prashant Deshmukh &amp; Associates | Trainee Engineer | Pune | May 2026 | Jul 2026 | 8.5714285714286 Weeks | Campus Internship</t>
  </si>
  <si>
    <t>P25701144</t>
  </si>
  <si>
    <t>PANKAJ</t>
  </si>
  <si>
    <t>NANAVATI</t>
  </si>
  <si>
    <t>Siddharth Pankaj Nanavati</t>
  </si>
  <si>
    <t>nanavatisiddharth21@gmail.com</t>
  </si>
  <si>
    <t>p25701144@student.nicmar.ac.in</t>
  </si>
  <si>
    <t>2061 3275 1809</t>
  </si>
  <si>
    <t>PANKAJ VIJAY NANAVATI</t>
  </si>
  <si>
    <t>PRITI PANKAJ NANAVATI</t>
  </si>
  <si>
    <t>A-602,Yashodhan Society, Kapil Nagar, Kondhwa Budruk, Near VIIT College, Pune-48</t>
  </si>
  <si>
    <t>DR. KALMADI SHAMARAO HIGH SCHOOL, PUNE</t>
  </si>
  <si>
    <t>NEW ENGLISH SCHOOL RAMANBAUG,PUNE</t>
  </si>
  <si>
    <t>AAYOJAN SCHOOL OF ARCHITECTURE AND DESIGN, PUNE</t>
  </si>
  <si>
    <t>Microsoft Project, Primavera P6, AutoCAD, Microsoft Office, SketchUp</t>
  </si>
  <si>
    <t>Adani Realty | Intern- Projects Team | Pune | May 2026 | Jul 2026 | 9.5714285714286 Weeks | Campus Internship
SAMYAK C2 INFRA PVT. LTD | Architectural &amp; Project Coordination Intern | KOTHRUD, PUNE | Jun 2024 | Dec 2024 | 25 Weeks</t>
  </si>
  <si>
    <t>Lean Six Sigma Green Belt- KPMG
EDGE Green Building Certification: Excellence in Design for Greater Efficiencies
Foundations of Project Management: Google
Landslide Facility Planning by L&amp;T EduTech
Airside Facility Planning By L&amp;T EduTech
Airport Infrastructure Development- L&amp;T EduTech</t>
  </si>
  <si>
    <t>P25701145</t>
  </si>
  <si>
    <t>RITWIK</t>
  </si>
  <si>
    <t>MUKHERJEE</t>
  </si>
  <si>
    <t>Ritwik Mukherjee</t>
  </si>
  <si>
    <t>swayam9865@gmail.com</t>
  </si>
  <si>
    <t>p25701145@student.nicmar.ac.in</t>
  </si>
  <si>
    <t>05-Dec-1997</t>
  </si>
  <si>
    <t>ENGLISH,HINDI,BENGALI</t>
  </si>
  <si>
    <t>9732 2418 0560</t>
  </si>
  <si>
    <t>RAM MOHAN MUKHERJEE</t>
  </si>
  <si>
    <t>KANIKA MUKHERJEE</t>
  </si>
  <si>
    <t>A1 Kamal Apartment Durga Mandir Road Hirapur</t>
  </si>
  <si>
    <t>DELHI PUBLIC SCHOOL DHANBAD</t>
  </si>
  <si>
    <t>CBSE JHARKHAND</t>
  </si>
  <si>
    <t>NIOS ISL JHARIA</t>
  </si>
  <si>
    <t>NATIONAL INSTITUTE OF OPEN SCHOOLING JHARKHAND</t>
  </si>
  <si>
    <t>TECHNO INTERNATIONAL NEWTOWN, WEST BENGAL</t>
  </si>
  <si>
    <t>AutoCAD,MS Office,Computer Application certification Course,Advanced excel certification Course</t>
  </si>
  <si>
    <t>Central Public Works Department | Project Intern | IIT ISM DHANBAD, JHARKHAND | May 2026 | Jul 2026 | 9.7142857142857 Weeks | Campus Internship</t>
  </si>
  <si>
    <t>Advanced Diploma in Computer Applications
Advanced Excel</t>
  </si>
  <si>
    <t>P25701147</t>
  </si>
  <si>
    <t>Raut Aniket Santosh</t>
  </si>
  <si>
    <t>aniketsraut@yahoo.com</t>
  </si>
  <si>
    <t>p25701147@student.nicmar.ac.in</t>
  </si>
  <si>
    <t>8624 2307 8375</t>
  </si>
  <si>
    <t>Juhunagar CHS, A/8, Sector-15, Near P.K.C. Hospital, Vashi</t>
  </si>
  <si>
    <t>FR. AGNEL MULTIPURPOSE SCHOOL, VASHI, MAHARASHTRA</t>
  </si>
  <si>
    <t>FR. AGNEL MULTIPURPOSE SCHOOL AND JUNIOR COLLEGE, VASHI, MAHARASHTRA</t>
  </si>
  <si>
    <t>DATTA MEGHE COLLEGE OF ENGINEERING, AIROLI, MAHARASHTRA</t>
  </si>
  <si>
    <t>AutoCAD,MS Office,MS Project,Primavera,Revit,SketchUp</t>
  </si>
  <si>
    <t>RELIANCE INDUSTRIES LIMITED | GRADUATE ENGINEER TRAINEE - CIVIL | PATALGANGA | Aug 2024 | Jun 2025 | 0Y 10M | 5.5</t>
  </si>
  <si>
    <t>M.S. ENTERPRISES ENGINEERS AND CONTRACTORS | CIVIL ENGINEER TRAINEE | MUMBAI | Jun 2023 | Jul 2023 | 6.2857142857143 Weeks</t>
  </si>
  <si>
    <t>IGBC Accredited Professional (IGBC AP) awarded by the CII - Indian Green Building Council
Project Management: The Basics for Success
Introduction to Corporate Finance
Excel Statistics Essential Training 2
Excel Statistics Essential Training 1
Project Management with ZOHO
Project Management with JIRA</t>
  </si>
  <si>
    <t>P25701148</t>
  </si>
  <si>
    <t>Abhishek Anand</t>
  </si>
  <si>
    <t>meabhi1908@gmail.com</t>
  </si>
  <si>
    <t>p25701148@student.nicmar.ac.in</t>
  </si>
  <si>
    <t>28-Feb-1999</t>
  </si>
  <si>
    <t>Reading Book,Listening Music,Traveling,Cooking,Planting</t>
  </si>
  <si>
    <t>7743 2996 3610</t>
  </si>
  <si>
    <t>TARKESHWAR PANDIT</t>
  </si>
  <si>
    <t>NICMAR UNIVERSITY HOSTEL SJB</t>
  </si>
  <si>
    <t>New Bishunpur Near Hanuman Mandir Road</t>
  </si>
  <si>
    <t>MAULANA ABUL KALAM AZAD UNIVERSITY OF TECHNOLOGY,WESTBENGAL</t>
  </si>
  <si>
    <t>BENGAL COLLEGE OF ENGINEERING&amp;TECHNOLOGY</t>
  </si>
  <si>
    <t>Tata Motor Commercial Vechile Dealer | Auto Electrical And Mechanical Componets | DHANBAD | Sep 2022 | Oct 2022 | 4.2857142857143 Weeks
BHARAT COOKING COAL LIMITED | ENGINE AND TRANSMISION MECHANICAL  | DHANBAD | Mar 2021 | Mar 2021 | 3.7142857142857 Weeks</t>
  </si>
  <si>
    <t>C PROGRAMMING
ADVANCE EXCEL
Advance Diploma in Computer Application</t>
  </si>
  <si>
    <t>P25701149</t>
  </si>
  <si>
    <t>MADDHURI</t>
  </si>
  <si>
    <t>USHA SRI</t>
  </si>
  <si>
    <t>Maddhuri Usha Sri</t>
  </si>
  <si>
    <t>sriusha2424@gmail.com</t>
  </si>
  <si>
    <t>p25701149@student.nicmar.ac.in</t>
  </si>
  <si>
    <t>24-Oct-2002</t>
  </si>
  <si>
    <t>TELUGU, ENGLISH, HINDI - Basic</t>
  </si>
  <si>
    <t>Sketching,Learning</t>
  </si>
  <si>
    <t>8671 8957 3420</t>
  </si>
  <si>
    <t>MADDHURI SURYA PRAKASH</t>
  </si>
  <si>
    <t>MADDHURI KALYANI</t>
  </si>
  <si>
    <t>1-188, Annaipeta, Draksharamam, Ramachandrapuram Mandala</t>
  </si>
  <si>
    <t>NALLAM RESIDENDIAL CONCEPT HIGH SCHOOL</t>
  </si>
  <si>
    <t>STATE BOARD,ANDHRA PRADESH</t>
  </si>
  <si>
    <t>RAGHU ENGINEERING COLLEGE</t>
  </si>
  <si>
    <t>POWER MECH PROJECTS LIMITED | PROJECT MANAGEMENT INTERN | Hyderabad | May 2026 | Jul 2026 | 8.7142857142857 Weeks | Campus Internship
SDVVL SURVEY AND CONSTRUCTION PRIVATE LIMITED | DESIGN &amp; SURVEY INTERN | KAKINADA | May 2023 | Jul 2023 | 6.4285714285714 Weeks</t>
  </si>
  <si>
    <t>Project Management : The Basics of Success
Master Diploma in Civil CAD</t>
  </si>
  <si>
    <t>P25701151</t>
  </si>
  <si>
    <t>VINDHYAVALLI DEVI</t>
  </si>
  <si>
    <t>V S V S</t>
  </si>
  <si>
    <t>Vindhyavalli Devi V S V S</t>
  </si>
  <si>
    <t>vindhya.vurakaranam@gmail.com</t>
  </si>
  <si>
    <t>p25701151@student.nicmar.ac.in</t>
  </si>
  <si>
    <t>TELUGU, HINDI, ENGLISH, MARATHI</t>
  </si>
  <si>
    <t>5034 3671 9255</t>
  </si>
  <si>
    <t>V S S PRASAD</t>
  </si>
  <si>
    <t>V V SRIDEVI</t>
  </si>
  <si>
    <t>A-304, Saisthaan CHS, Plot-4, Sector-29,  Opposite Cidco Office, Nerul East,</t>
  </si>
  <si>
    <t>DAYANAND ANGLO VEDIC PUBLIC SCHOOL, NERUL</t>
  </si>
  <si>
    <t>PILLAI COLLEGE OF ARCHITECTURE, PANVEL</t>
  </si>
  <si>
    <t>AutoCAD,MS Office,MS Project,Primavera,Photoshop,Sketchup,Lumion,Endscape,Revit,Candy,@Risk</t>
  </si>
  <si>
    <t>Design Works | Junior Architect | Sanpada, Navi Mumbai | Jan 2025 | Jun 2025 | 0Y 5M | 3</t>
  </si>
  <si>
    <t>Econstruct Design &amp; Build Pvt Ltd | Project Management Intern | Banglore | May 2026 | Jun 2026 | 8.1428571428571 Weeks | Campus Internship
DESIGN WORKS | Intern | SANPADA, NAVI MUMBAI | Nov 2022 | May 2023 | 27.857142857143 Weeks</t>
  </si>
  <si>
    <t>Best All Rounder in UG College
Anubhuti Head in PiCA Student Council
International Standard of Abacus Mental Arthamatic
Revit for Architectural Design
Introduction to Corporate Finance
Project Management Basics</t>
  </si>
  <si>
    <t>P25701152</t>
  </si>
  <si>
    <t>Siddharth Patel</t>
  </si>
  <si>
    <t>siddharth.okk@gmail.com</t>
  </si>
  <si>
    <t>p25701152@student.nicmar.ac.in</t>
  </si>
  <si>
    <t>8426 6363 2491</t>
  </si>
  <si>
    <t>CHHAGAN PATEL</t>
  </si>
  <si>
    <t>PUNJI PATEL</t>
  </si>
  <si>
    <t>492, Adarsh Colony, Titradi</t>
  </si>
  <si>
    <t>ALOK SEN. SEC. SCHOOL, SEC 11</t>
  </si>
  <si>
    <t>UDAIPUR/ RAJASTHAN</t>
  </si>
  <si>
    <t>VISHWAKARMA INSTITUTE OF INFORMATION AND TECHNOLOGY, PUNE/MAHARASHTRA</t>
  </si>
  <si>
    <t>AutoCAD,MS Office,MS Project,Primavera,@Risk</t>
  </si>
  <si>
    <t>BCC &amp; Co. | Jr. engineer | Udaipur, Rajasthan  | Jul 2024 | Jun 2025 | 0Y 11M | 1.7</t>
  </si>
  <si>
    <t>introduction to generative AI in human resource
Project management: the basics of success
Introduction to Corporate Finance</t>
  </si>
  <si>
    <t>P25701103</t>
  </si>
  <si>
    <t>VINIT</t>
  </si>
  <si>
    <t>RANJEET</t>
  </si>
  <si>
    <t>Vinit Ranjeet Kamble</t>
  </si>
  <si>
    <t>vinitk1902@gmail.com</t>
  </si>
  <si>
    <t>p25701103@student.nicmar.ac.in</t>
  </si>
  <si>
    <t>19-Dec-2002</t>
  </si>
  <si>
    <t>Football,Cricket</t>
  </si>
  <si>
    <t>5230 5078 4808</t>
  </si>
  <si>
    <t>RANJEET KAMBLE</t>
  </si>
  <si>
    <t>VAISHALI KAMBLE</t>
  </si>
  <si>
    <t>401, Laxmideep Complex, Veershaiv Nagar</t>
  </si>
  <si>
    <t>LATE V. M. MEHTA HIGH SCHOOL</t>
  </si>
  <si>
    <t>A. D. JOSHI JUNIOR COLLEGE</t>
  </si>
  <si>
    <t>SOLAPUR/MAHARASHTRA</t>
  </si>
  <si>
    <t>MS Office,MS Project,Catia,Solidworks</t>
  </si>
  <si>
    <t>ANAROCK Property Consultants  | Project Management &amp; Engineering  | Goa | May 2026 | Jul 2026 | 8.7142857142857 Weeks | Campus Internship
N. K. ORCHID COLLEGE OF ENGINEERING AND TECHNOLOGY | MARKET RESEARCH &amp; PRODUCT IMPROVEMENT ANALYST | SOLAPUR  | Jul 2021 | Jan 2022 | 26.857142857143 Weeks
K-TECH CENTRE OF EXCELLENCE IN AEROSPACE AND DEFENCE | TRAINEE ENGINEER | BANGALORE | Feb 2022 | Mar 2022 | 4.2857142857143 Weeks
N. K. Orchid College of Engineering and technology | Project Leader | Solapur  | Aug 2023 | Jan 2024 | 21.857142857143 Weeks</t>
  </si>
  <si>
    <t>Participation in MechaTHON 2024
Runner up in SAE convention 2021
Ready Engineer by TATA Technologies 2022-23
Participation in Aerocon 2022</t>
  </si>
  <si>
    <t>P25701104</t>
  </si>
  <si>
    <t>Ayush Patel</t>
  </si>
  <si>
    <t>ayush9090patel@gmail.com</t>
  </si>
  <si>
    <t>p25701104@student.nicmar.ac.in</t>
  </si>
  <si>
    <t>Reading business books &amp; current affairs,Football &amp; Cricket,Public speaking &amp; debate,Arts &amp; Craft,Traveling &amp; cultural exploration</t>
  </si>
  <si>
    <t>6314 7790 9018</t>
  </si>
  <si>
    <t>RAJESH KUMAR SINGH</t>
  </si>
  <si>
    <t>SURYABALA SINGH</t>
  </si>
  <si>
    <t>SWAPNIL VILLA, ADARSH VIHAR COLONY, AWALESHPUR, VARANASI</t>
  </si>
  <si>
    <t>House.no. 332, Kolana Paschimi, Beside Shri Ram Mandir, Kolana Darbar, Chunar, Mirzapur</t>
  </si>
  <si>
    <t>Mirzapur</t>
  </si>
  <si>
    <t>SUMBEAM SUNCITY BACHHAON RD KARSANA VARANASI UP</t>
  </si>
  <si>
    <t>CBSE, UTTAR PRADESH</t>
  </si>
  <si>
    <t>M M I C BACHCHHAON VARANASI</t>
  </si>
  <si>
    <t>UP BOARD, UTTAR PRADESH</t>
  </si>
  <si>
    <t>ACHARYA NARENDRA DEVA UNIVERSITY OF AGRICULTURE &amp; TECHNOLOGY, AYODHYA, UTTAR PRADESH</t>
  </si>
  <si>
    <t>COLLEGE OF AGRICULTURE, AYODHYA</t>
  </si>
  <si>
    <t>MS Office,MS Project,Primavera,IBM SPSS,Microsoft Power BI,Candy,@RISK</t>
  </si>
  <si>
    <t>Sri Vaarahi Real Assets | Marketing Analytics and Digital Strategies  | Hyderabad | May 2026 | Jul 2026 | 8.7142857142857 Weeks | Campus Internship
K. K. INDUSTRIES | MANAGEMENT TRAINEE INTERN (PROJECT &amp; SALES OPERATIONS) | INDUSTRIAL AREA, RAMNAGER, PHASE-1, CHANDUALI, UTTAR PRADESH | Mar 2025 | Apr 2025 | 6.8571428571429 Weeks</t>
  </si>
  <si>
    <t>Agriculture 4.0: The Future of Farming Technology &amp; Agripreneurship Development (2022)
The Intersection of Finance, Strategy, and Sustainability - SaÃ¯d Business School &amp; University of Oxford (via Coursera)
Data Analysis and Visualization with Power BI â€“ Microsoft (via Coursera)
Six Sigma Green Belt Specialization â€“ Kennesaw State University (via Coursera)</t>
  </si>
  <si>
    <t>P25704001</t>
  </si>
  <si>
    <t>RAMNATH</t>
  </si>
  <si>
    <t>Ramnath Mahesh Nayak</t>
  </si>
  <si>
    <t>rahilnyk.99@gmail.com</t>
  </si>
  <si>
    <t>p25704001@student.nicmar.ac.in</t>
  </si>
  <si>
    <t>10-Dec-1999</t>
  </si>
  <si>
    <t>5854 5441 9964</t>
  </si>
  <si>
    <t>GOVT. SERVICE</t>
  </si>
  <si>
    <t>A-6 Neelkamal Co-op Hsg Scty, Shantinagar, Ponda-Goa</t>
  </si>
  <si>
    <t>A.J.DE ALMEIDA HIGH SCHOOL</t>
  </si>
  <si>
    <t>S.S.SAMITI'S HSS OF SCIENCE</t>
  </si>
  <si>
    <t>AutoCAD,MS Office,Sketchup,Lumion</t>
  </si>
  <si>
    <t>PWD (DIV-XVIII) (Roads) | SURVEYOR 6 (Apprentice) | PWD, Ponda-Goa | Oct 2023 | Oct 2024 | 0Y 11M | 1.56
AXIODYN CONSULTANTS | JUNIOR ENGINEER/ DESIGNER | Comba, Margao-Goa | May 2023 | Oct 2023 | 0Y 4M | 1.5</t>
  </si>
  <si>
    <t>Town and Country Planning Department | Urban Planning Intern | Panaji-Goa | May 2026 | Jun 2026 | 7.5714285714286 Weeks | Campus Internship
R.B.S CANDIAPARCAR | Site Engineer | Farmagudi, Ponda-Goa | Mar 2023 | May 2023 | 8.7142857142857 Weeks</t>
  </si>
  <si>
    <t>Introduction to Urban Planning</t>
  </si>
  <si>
    <t>P25704004</t>
  </si>
  <si>
    <t>MALLIKARJUN</t>
  </si>
  <si>
    <t>BILGUNDI</t>
  </si>
  <si>
    <t>Ashish Mallikarjun Bilgundi</t>
  </si>
  <si>
    <t>aahishbilgundi@gmail.com</t>
  </si>
  <si>
    <t>p25704004@student.nicmar.ac.in</t>
  </si>
  <si>
    <t>English,Kannada,hindi</t>
  </si>
  <si>
    <t>8742 2404 1273</t>
  </si>
  <si>
    <t>RETIRED BANK OFFICER</t>
  </si>
  <si>
    <t>JAYAMALA</t>
  </si>
  <si>
    <t>PLOT NO 30 KOHINOOR BUILDING JEWARGI COLONY BIDDAPUR ROAD_x000D_
Biaadpur Road</t>
  </si>
  <si>
    <t>SHARANABASAVESWAR RES. HIGH SCHOOL</t>
  </si>
  <si>
    <t>KARNATAKA SECONDARY EDUCATION EXAMINATION BOARD , KALABURAGI</t>
  </si>
  <si>
    <t>S BASAVESWAR RESI PU COLLEGE</t>
  </si>
  <si>
    <t>GOVERNMENT OF KARNATAKA DEPARTMENT OF PRE-UNIVERSITY EDUCATION , KALABURAGI</t>
  </si>
  <si>
    <t>2018-Jan</t>
  </si>
  <si>
    <t>POOJYA DODDAPPA APPA COLLEGE OF ENGINEERING , KALABURAGI</t>
  </si>
  <si>
    <t>NATIONAL INSTITUTE OF URBAN AFFAIRS | intern under the UrbanShift Country Project | Delhi | May 2026 | Jul 2026 | 8.5714285714286 Weeks | Campus Internship
KMV PROJECTS LTD. | INTERN | KALABURAGI | Aug 2022 | Oct 2022 | 8.7142857142857 Weeks</t>
  </si>
  <si>
    <t>P25704005</t>
  </si>
  <si>
    <t>MADHAV</t>
  </si>
  <si>
    <t>SURYAWANSHI</t>
  </si>
  <si>
    <t>Nitin Madhav Suryawanshi</t>
  </si>
  <si>
    <t>nitinms1802@gmail.com</t>
  </si>
  <si>
    <t>p25704005@student.nicmar.ac.in</t>
  </si>
  <si>
    <t>18-Feb-2000</t>
  </si>
  <si>
    <t>7793 9379 7935</t>
  </si>
  <si>
    <t>AAU</t>
  </si>
  <si>
    <t>Plot No 37, P/5 N-8, Cidco, Sambhajinagar</t>
  </si>
  <si>
    <t>SHIVCHHATRAPATI COLLEGE AURANGABAD</t>
  </si>
  <si>
    <t>DR.BABASAHEB AMBEDKAR TECHNOLOGICAL UNIVERSITY</t>
  </si>
  <si>
    <t>Pune municipal corporation  | Intern | Pune | May 2026 | Jul 2026 | 9 Weeks | Campus Internship
CHHATRAPATI SAMBHAJINAGAR MUNICIPAL CORPORATION | TRAINEE | CHH. SAMBHAJINAGAR | Oct 2024 | Jun 2025 | 37.428571428571 Weeks
K P &amp; Associates | Trainee | Chh. Sambhajinagar | Sep 2023 | Sep 2024 | 52.285714285714 Weeks
Sara builders | Intern | Chh. Sambhajinagar | Mar 2022 | Jun 2022 | 15.571428571429 Weeks</t>
  </si>
  <si>
    <t>P25704006</t>
  </si>
  <si>
    <t>GARJE</t>
  </si>
  <si>
    <t>BHAGAWAN</t>
  </si>
  <si>
    <t>Garje Snehal Bhagawan</t>
  </si>
  <si>
    <t>snehalgarje322@gmail.com</t>
  </si>
  <si>
    <t>p25704006@student.nicmar.ac.in</t>
  </si>
  <si>
    <t>9159 5789 5794</t>
  </si>
  <si>
    <t>Sai Niwas, At.post Mohoj Devadhe, Tal.Pathardi, Dist. Ahilyanagar.</t>
  </si>
  <si>
    <t>R.K.M. SECONDARY AND HIGHER SECONDARY SCHOOL, KALWAN, NASHIK.</t>
  </si>
  <si>
    <t>SAVITRIBAI PHULE PUNE UNIVERSITY MAHARASHTRA</t>
  </si>
  <si>
    <t>SHRI PRAMOD PATIL SPPAC JUNIOR COLLEGE</t>
  </si>
  <si>
    <t>SAVITRIBAI PHULE PUNE UNIVERSITY, MAHARASHTRA</t>
  </si>
  <si>
    <t>SINHGAD COLLEGE OF ARCHITECTURE PUNE, MAHARASHTRA</t>
  </si>
  <si>
    <t>AutoCAD,MS Office,Sketchup,Lumion,Photoshop,Powerpoint,ArcGIS</t>
  </si>
  <si>
    <t>Town planning and valuation department  | Intern  | Pune | May 2026 | Jun 2026 | 7.8571428571429 Weeks | Campus Internship
DESIGN CONSORTIUM | INTERN | THANE,MUMBAI. | Jun 2024 | Dec 2024 | 23.714285714286 Weeks</t>
  </si>
  <si>
    <t>P25704007</t>
  </si>
  <si>
    <t>TIWASKAR</t>
  </si>
  <si>
    <t>Siddhi Sham Tiwaskar</t>
  </si>
  <si>
    <t>siddhitiwaskar6128@gmail.com</t>
  </si>
  <si>
    <t>p25704007@student.nicmar.ac.in</t>
  </si>
  <si>
    <t>5810 6710 8431</t>
  </si>
  <si>
    <t>SHAM HARIBHAU TIWASKAR</t>
  </si>
  <si>
    <t>ANAGHA SHAM TIWASKAR</t>
  </si>
  <si>
    <t>129, Shubhamkaroti Apartment, Behind Siddha Ganesh Mandir Buty Plots Laxmi Nagar Nagpur</t>
  </si>
  <si>
    <t>SOMALWAR HIGH SCHOOL-NIKALAS BRANCH, NAGPUR</t>
  </si>
  <si>
    <t>SOMALWAR HIGH SCHOOL &amp; JUNIOR COLLEGE, NIKALAS BRANCH.</t>
  </si>
  <si>
    <t>AutoCAD,MS Office,SKETCHUP,PHOTOSHOP,REVIT,PROCREATE,ENSCAPE,LUMION,CANVA,ArcGIS</t>
  </si>
  <si>
    <t>National institute of urban affairs, New Delhi  | Intern  | New Delhi  | May 2026 | Jul 2026 | 0Y 2M</t>
  </si>
  <si>
    <t>Beyond Green - Landscape Architecture and Architecture, Pune | Intern  | Pune  | Jun 2024 | Oct 2024 | 17.428571428571 Weeks</t>
  </si>
  <si>
    <t>NPTL ONLINE CERTIFICATION-URBAN SERVICES PLANNING</t>
  </si>
  <si>
    <t>P25704008</t>
  </si>
  <si>
    <t>Suyash Singh Chauhan</t>
  </si>
  <si>
    <t>suryashchauhan@gmail.com</t>
  </si>
  <si>
    <t>p25704008@student.nicmar.ac.in</t>
  </si>
  <si>
    <t>10-Feb-2002</t>
  </si>
  <si>
    <t>english,hindi&amp;gujrati</t>
  </si>
  <si>
    <t>6612 4677 8241</t>
  </si>
  <si>
    <t>SANJAY SINGH CHAUHAN</t>
  </si>
  <si>
    <t>DR SHIKHA SINGH</t>
  </si>
  <si>
    <t>MIG-27 HOUSING BOARD COLONY BODA BAGH</t>
  </si>
  <si>
    <t>Rewa</t>
  </si>
  <si>
    <t>JYOTI SENIOR SECONDARY SCHOOL</t>
  </si>
  <si>
    <t>CENTRAL BOARD OF SECONDARY EDUCATION MADHYA PRADESH</t>
  </si>
  <si>
    <t>MARUTI HIGHER SECONDARY SCHOOL</t>
  </si>
  <si>
    <t>MADHYA PRADESH BOARD OF SECONDARY EDUCATION MADHYA PRADESH</t>
  </si>
  <si>
    <t>PARUL INSTITUTE OF ENGINEERING AND TECHNOLOGY</t>
  </si>
  <si>
    <t>Tanya Construction  | Planning And Site Execution | Bhopal | May 2026 | Jul 2026 | 9.5714285714286 Weeks | Campus Internship</t>
  </si>
  <si>
    <t>P25704010</t>
  </si>
  <si>
    <t>Rutuja Rajaram Patil</t>
  </si>
  <si>
    <t>patilrutuja348@gmail.com</t>
  </si>
  <si>
    <t>p25704010@student.nicmar.ac.in</t>
  </si>
  <si>
    <t>21-Feb-2001</t>
  </si>
  <si>
    <t>Sketching,Photography,Traveling</t>
  </si>
  <si>
    <t>8387 9183 9381</t>
  </si>
  <si>
    <t>RAJARAM ATMARAM PATIL</t>
  </si>
  <si>
    <t>RAJMATI RAJARAM PATIL</t>
  </si>
  <si>
    <t>16 ,RUTURAJ SHAHID BHAGAT SINGH COLONY , SHASTRINAGAR , MALKAPUR ROAD ,KARD</t>
  </si>
  <si>
    <t>AT P. BAHE TAL.WALWA DIS. SANGLI</t>
  </si>
  <si>
    <t>VITHAMATA VIDYALAYA , KARAD</t>
  </si>
  <si>
    <t>LIGADE PATIL JR COLLEGE OF SCIENCE , KARAD</t>
  </si>
  <si>
    <t>BHARATI VIDYAPEETH COLLEGE OF ARCHITECTURE , PUNE</t>
  </si>
  <si>
    <t>AutoCAD,MS Office,SKETCHUP,LUMION,EDGE,ARCH GIS,PHOTOSHOP,CANVA</t>
  </si>
  <si>
    <t>Designshal Collabarative  | Intern | Pune | May 2026 | Jul 2026 | 7.7142857142857 Weeks | Campus Internship
Anup Oswal Architects | Intern | Pune | Jan 2024 | May 2024 | 20 Weeks</t>
  </si>
  <si>
    <t>P25704011</t>
  </si>
  <si>
    <t>Yash Avinash More</t>
  </si>
  <si>
    <t>p25704011@student.nicmar.ac.in</t>
  </si>
  <si>
    <t>CHESS,CRICKET</t>
  </si>
  <si>
    <t>3390 7048 3549</t>
  </si>
  <si>
    <t>AVINASH MORE</t>
  </si>
  <si>
    <t>AKSHATA MORE</t>
  </si>
  <si>
    <t>AT POST SHIRGAON, NEAR UMRAJ MEDICAL STORE, PALGHAR</t>
  </si>
  <si>
    <t>MAHARASHTRA STATE BOARD OF EDUCATION AND HIGHER SECONDARY EDUCATION, PUNE</t>
  </si>
  <si>
    <t>ST JOHN COLLEGE OF ENGINEERING AND MANAGEMENT,PALGHAR</t>
  </si>
  <si>
    <t>ST JOHN COLLEGE OF ENGINEERING AND MANAGEMENT, PALGHAR</t>
  </si>
  <si>
    <t>NEST INFRA | Supervising &amp; Designing | PALGHAR | Jan 2022 | Mar 2022 | 8.7142857142857 Weeks</t>
  </si>
  <si>
    <t>STATE LEVEL TECHNICAL PAPER PRESENTATION
INDIA CHAPTER OF AMERICAN INSTITUTE</t>
  </si>
  <si>
    <t>P25704012</t>
  </si>
  <si>
    <t>NAMITA</t>
  </si>
  <si>
    <t>Namita Kiran Pawar</t>
  </si>
  <si>
    <t>namitapawar1206@gmail.com</t>
  </si>
  <si>
    <t>p25704012@student.nicmar.ac.in</t>
  </si>
  <si>
    <t>English, Hindi, Marathi, French</t>
  </si>
  <si>
    <t>6212 9457 3359</t>
  </si>
  <si>
    <t>Arwana Tower, Flat No. 202, Opposite To Golden Petals, Warje Jakat Naka, Bhalekar Wasti, Karve Nagar</t>
  </si>
  <si>
    <t>MAHARASHTRA EDUCATION SOCIETY HIGHSCHOOL</t>
  </si>
  <si>
    <t>MAHARASHTRA EDUCATION SOCIETY HIGHSCHOOL BARAMATI</t>
  </si>
  <si>
    <t>TULJARAM CHATURCHAND COLLEGE</t>
  </si>
  <si>
    <t>BHANUBEN NANAVATI COLLEGE OF ARCHITECTURE PUNE</t>
  </si>
  <si>
    <t>AutoCAD,MS Office,MS Project,Primavera,Photoshop,Revit,Enscape,Lumion</t>
  </si>
  <si>
    <t>National Institute of Urban Affairs | Intern | Pune | May 2026 | Jul 2026 | 9 Weeks | Campus Internship
BEYOND GREEN | INTERN | PUNE | Jun 2024 | Oct 2024 | 18.142857142857 Weeks</t>
  </si>
  <si>
    <t>P25704014</t>
  </si>
  <si>
    <t>Mayuri Sandeep Yeole</t>
  </si>
  <si>
    <t>mayuriyeole24@gmail.com</t>
  </si>
  <si>
    <t>p25704014@student.nicmar.ac.in</t>
  </si>
  <si>
    <t>9488 3958 0592</t>
  </si>
  <si>
    <t>BHUMICA</t>
  </si>
  <si>
    <t>Yashodeep Plot No. 1103, N-6 Sai Nagar Cidco Chh. Sambhajinagar</t>
  </si>
  <si>
    <t>VIDYADHAM HIGHER SECONDARY SCHOOL</t>
  </si>
  <si>
    <t>JAWAHARLAL NEHRU ENGINEERING COLLEGE, CHH. SAMBHAJINAGAR</t>
  </si>
  <si>
    <t>AutoCAD,MS Office,Photoshop,Sketchup,Enscape,ArcGIS</t>
  </si>
  <si>
    <t>Kushaagra Innovations Foundation | Field internship in Urban Sustainability &amp; Waste Management | Pune | May 2026 | Jul 2026 | 8.7142857142857 Weeks | Campus Internship
IDEAS ARCHITECT | INTERN | JAIPUR | Jun 2024 | Oct 2024 | 18.857142857143 Weeks</t>
  </si>
  <si>
    <t>P25704015</t>
  </si>
  <si>
    <t>GHANSHAM</t>
  </si>
  <si>
    <t>JONDHALE</t>
  </si>
  <si>
    <t>Pavan Ghansham Jondhale</t>
  </si>
  <si>
    <t>pavanjondhale16@gmail.com</t>
  </si>
  <si>
    <t>p25704015@student.nicmar.ac.in</t>
  </si>
  <si>
    <t>3481 5850 5161</t>
  </si>
  <si>
    <t>Jondhale Bunglow, Shikshak Colony, College Road, Saikheda, Nashik, Maharashtra,422210</t>
  </si>
  <si>
    <t>HORIZON ACADEMY</t>
  </si>
  <si>
    <t>NASHIK PRESIDENCY SCHOOL &amp; JUNIOR COLLEGE</t>
  </si>
  <si>
    <t>K.K. WAGH INSTITUTE OF ENGINEERING EDUCATION &amp; RESEARCH, NASHIK</t>
  </si>
  <si>
    <t>AutoCAD,MS Office,ArcGIS,Revit</t>
  </si>
  <si>
    <t>Mauli builders &amp; developers | Intern  | College Road, Saikheda | Dec 2023 | Jan 2024 | 4.5714285714286 Weeks</t>
  </si>
  <si>
    <t>P25704016</t>
  </si>
  <si>
    <t>MANKAR</t>
  </si>
  <si>
    <t>Rutuja Suresh Mankar</t>
  </si>
  <si>
    <t>rutujamankar0908@gmail.com</t>
  </si>
  <si>
    <t>p25704016@student.nicmar.ac.in</t>
  </si>
  <si>
    <t>09-Aug-2000</t>
  </si>
  <si>
    <t>8254 8960 6677</t>
  </si>
  <si>
    <t>SURESH VITTHALRAO MANKAR</t>
  </si>
  <si>
    <t>SUREKHA SURESH MANKAR</t>
  </si>
  <si>
    <t>SUNRISE PG, LAXMAN NAGAR, BANER, PUNE</t>
  </si>
  <si>
    <t>Sharda Nagar, S.T Colony Near Yashodip Convent, Wardha</t>
  </si>
  <si>
    <t>BHARAT DNYAN MANDIRAM</t>
  </si>
  <si>
    <t>WARDHA, MAHARASHTRA</t>
  </si>
  <si>
    <t>NEW ENGLISH JUNIOR COLLEGE</t>
  </si>
  <si>
    <t>SINHGAD COLLEGE OF ARCHITECTURE, PUNE, MAHARASHTRA</t>
  </si>
  <si>
    <t>AutoCAD,MS Office,Sketchup,Twinmotion,Lumion,Photoshop,ArcGIS</t>
  </si>
  <si>
    <t>MKDM Studio Private Limited | Junior Architect | Pune | Aug 2023 | Aug 2024 | 1Y 0M | 1.92</t>
  </si>
  <si>
    <t>KUSHAAGRA INNOVATIONS FOUNDATION | URBAN PLANNING INTERN | Pune | May 2026 | Jul 2026 | 8.7142857142857 Weeks | Campus Internship
AMRTA TURNKEY PROFESSIONALS | ARCHITECTURAL TRAINEE | NAGPUR | May 2022 | Nov 2022 | 26.285714285714 Weeks</t>
  </si>
  <si>
    <t>The LAP Initiative - PERSONA FEST 2026 
Sustainable Regional Principles, Planning and Transportation
AI &amp; Disaster Management</t>
  </si>
  <si>
    <t>P25704017</t>
  </si>
  <si>
    <t>VENKATA VARUN</t>
  </si>
  <si>
    <t>MULUMUDI</t>
  </si>
  <si>
    <t>Vinayaka Venkata Varun Mulumudi</t>
  </si>
  <si>
    <t>venkatavarun131@gmail.com</t>
  </si>
  <si>
    <t>p25704017@student.nicmar.ac.in</t>
  </si>
  <si>
    <t>Telugu,Hindi,English,</t>
  </si>
  <si>
    <t>5719 4647 4575</t>
  </si>
  <si>
    <t>MULUMUDI NAGARAJU</t>
  </si>
  <si>
    <t>MULUMUDI LALITHAMMA</t>
  </si>
  <si>
    <t>HOUSW WIFE</t>
  </si>
  <si>
    <t>1/44 KOTHUR, NELLORE RURAL A.K NAGAR POST SPSR NELLORE DISTRICT ANDHRA PRADESH 524004</t>
  </si>
  <si>
    <t>KENDRIYA VIDYALAYA NELLORE</t>
  </si>
  <si>
    <t>SRI CHANDRASEKHARENDRA SARASWATHI VISWA MAHAVIDYALAYA (SCSVMV)</t>
  </si>
  <si>
    <t>SRI CHANDRASEKHARENDRA SARASWATHI VISWA MAHAVIDYALAYA (SCSVMV) KANCHIPURAM/TAMIL NADU</t>
  </si>
  <si>
    <t>AutoCAD,3d printing,arcgis,revit</t>
  </si>
  <si>
    <t>NATIONAL INSTITUTE OF URBAN AFFAIRS | PLANNING INTERN | PUNE | May 2026 | Jul 2026 | 8.7142857142857 Weeks | Campus Internship
OFFICE OF EXECUTIVE ENGINEER SSLC&amp; SB | GOVERNMENT | NELLORE | Jun 2024 | Jul 2024 | 4.2857142857143 Weeks</t>
  </si>
  <si>
    <t>workshop on ISRO Earth observation data hub- Bhoonidhi
Remote sensing and gis for rural development
3d printing certification course</t>
  </si>
  <si>
    <t>P25704018</t>
  </si>
  <si>
    <t>NIRANJANA</t>
  </si>
  <si>
    <t>SETHUKUMAR</t>
  </si>
  <si>
    <t>Niranjana Sethukumar Nair</t>
  </si>
  <si>
    <t>niranjanasangeeta@gmail.com</t>
  </si>
  <si>
    <t>p25704018@student.nicmar.ac.in</t>
  </si>
  <si>
    <t>6619 2406 0860</t>
  </si>
  <si>
    <t>STATE GOVERNMENTÂ EMPLOYEE</t>
  </si>
  <si>
    <t>HNo. 37, Neelima, Sivamangalam Lane, Pattom, ThiruvananthapuramÂ -Â 695004.</t>
  </si>
  <si>
    <t>ICSE, KERALA</t>
  </si>
  <si>
    <t>CHRIST NAGAR HIGHER SECONDARYÂ SCHOOL</t>
  </si>
  <si>
    <t>ICSE/ ISC KERALA</t>
  </si>
  <si>
    <t>GOVERNMENT ENGINEERING COLLEGE BARTON HILL</t>
  </si>
  <si>
    <t>ArcGIS Pro, MS Office, AutoCAD</t>
  </si>
  <si>
    <t>Regional Town and Country Planning Office, Kozhikode | Summer Intern | Kozhikode, Kerala | May 2026 | Jul 2026 | 9.5714285714286 Weeks | Campus Internship
JCJR PARTNERSHIP | CIVIL ENGINEERING INTERN | THIRUVANANTHAPURAM | May 2025 | Jun 2025 | 6.2857142857143 Weeks
SI PROPERTY (KERALA) PRIVATE LIMITED | INTERN | THIRUVANANTHAPURAM | Jun 2024 | Aug 2024 | 7.8571428571429 Weeks
KERALA WATER AUTHOURITY (KWA) | INTERN | THIRUVANANTHAPURAM | May 2023 | May 2023 | 0.85714285714286 Weeks</t>
  </si>
  <si>
    <t>P25704019</t>
  </si>
  <si>
    <t>DERE</t>
  </si>
  <si>
    <t>Parth Vijay Dere</t>
  </si>
  <si>
    <t>parthvdere@gmail.com</t>
  </si>
  <si>
    <t>p25704019@student.nicmar.ac.in</t>
  </si>
  <si>
    <t>8949 6450 7380</t>
  </si>
  <si>
    <t>DEEPA</t>
  </si>
  <si>
    <t>Atkare Cr., LMD Chowk, Bavdhan Kh., Pune</t>
  </si>
  <si>
    <t>BHARTIYA VIDYA BHAVAN PARANJAPE VIDYA MANDIR, PUNE</t>
  </si>
  <si>
    <t>MAHARASHTRA BOARD OF SECONDARY AND HIGHER SECONDARY EDUCATION, PUNE</t>
  </si>
  <si>
    <t>MAEER'S MIT JR. COLLEGE, PUNE</t>
  </si>
  <si>
    <t>STES SINHGAD COLLEGE OF ARCHITECTURE, PUNE, MAHARASHTRA</t>
  </si>
  <si>
    <t>AutoCAD,MS Office,MS Project,Sketchup,Lumion,Enscape,Arcgis</t>
  </si>
  <si>
    <t>Town planning and valuation department  | Intern | Pune | May 2026 | Jun 2026 | 7.8571428571429 Weeks | Campus Internship
MG ARCHITECTS | INTERN | ERANDWANE, PUNE | Jul 2024 | Dec 2024 | 24.571428571429 Weeks</t>
  </si>
  <si>
    <t>P25704020</t>
  </si>
  <si>
    <t>VIJAYKUMAR</t>
  </si>
  <si>
    <t>Shreyas Vijaykumar Gaikwad</t>
  </si>
  <si>
    <t>gshreyas3351@gmail.com</t>
  </si>
  <si>
    <t>p25704020@student.nicmar.ac.in</t>
  </si>
  <si>
    <t>5217 3060 6622</t>
  </si>
  <si>
    <t>VIJAYKUMAR GAURIHAR GAIKWAD</t>
  </si>
  <si>
    <t>PADMA VIJAYKUMAR GAIKWAD</t>
  </si>
  <si>
    <t>177, Suyrawanshi Lane Guruwar Peth Tasgaon, Dist. Sangli 416312</t>
  </si>
  <si>
    <t>SWAMI RAMANAND BHARTI VIDYAMANDIR AND JUNIOR COLLEGE TASGAON</t>
  </si>
  <si>
    <t>AutoCAD,MS Office,ArcGIS,Google earth engine, ArcGIS Urban</t>
  </si>
  <si>
    <t>Kushaagra innovations foundation | Intern | Pune, Maharashtra | May 2026 | Jul 2026 | 8.7142857142857 Weeks | Campus Internship</t>
  </si>
  <si>
    <t>Civil Engineering Job Simulation â€“ John Holland (Forage)
NPTL Online Certification - Introduction to Urban Planning</t>
  </si>
  <si>
    <t>P25704021</t>
  </si>
  <si>
    <t>BAPARDEKAR</t>
  </si>
  <si>
    <t>Chirag Prakash Bapardekar</t>
  </si>
  <si>
    <t>chiragbapardekar@gmail.com</t>
  </si>
  <si>
    <t>p25704021@student.nicmar.ac.in</t>
  </si>
  <si>
    <t>17-Jan-2003</t>
  </si>
  <si>
    <t>6583 5683 4190</t>
  </si>
  <si>
    <t>PRAKASH KESHAV BAPARDEKAR</t>
  </si>
  <si>
    <t>JYOTI PRAKASH BAPARDEKAR</t>
  </si>
  <si>
    <t>Shivsankalp Hsg. Soc. RH-134, Flat No.: 05, G Block , Near D.Y. Patil School, Shahunagar Chinchwad, Pune-411019.</t>
  </si>
  <si>
    <t>VIDYA NIKETAN ENG. MED. SCHOOL, PIMPRI, PUNE-411018</t>
  </si>
  <si>
    <t>ABHISHEK VIDYALAYAM'S SCIENCE JUNIOR COLLEGE, PUNE-411019</t>
  </si>
  <si>
    <t>SAVITRIBAI PHULE PUNE UNIVERSITY, GANESHKHIND, PUNE-411007</t>
  </si>
  <si>
    <t>MARATHWADA MITRA MANDAL'S COLLEGE OF ARCHITECTURE, PUNE-411004</t>
  </si>
  <si>
    <t>AutoCAD, ArcGIS Pro, Sketchup, Revit, Arhicad, Lumion, Photoshop, MS Office</t>
  </si>
  <si>
    <t>Pune Municipal Corporation (Transportation Department) | Intern | Pune | May 2026 | Jul 2026 | 9 Weeks | Campus Internship
L.J. Purani &amp; Associates | Architectural design, structural engineering, project management, interior design, urban planning | Navrangapura, Ahmedabad - 380009, Gujarat. | Jun 2024 | Oct 2024 | 17.428571428571 Weeks</t>
  </si>
  <si>
    <t>Certificate in Vastu Shastra
Autodesk Revit &amp; Lumion</t>
  </si>
  <si>
    <t>P25704022</t>
  </si>
  <si>
    <t>SUBHAM</t>
  </si>
  <si>
    <t>NATH</t>
  </si>
  <si>
    <t>Subham Nath</t>
  </si>
  <si>
    <t>subhamnath890@gmail.com</t>
  </si>
  <si>
    <t>p25704022@student.nicmar.ac.in</t>
  </si>
  <si>
    <t>20-Jun-1997</t>
  </si>
  <si>
    <t>3198 0463 4116</t>
  </si>
  <si>
    <t>NARAYAN NATH</t>
  </si>
  <si>
    <t>MANJU LATA NATH</t>
  </si>
  <si>
    <t>QR NO: RD D2, HATISALPADA</t>
  </si>
  <si>
    <t>House No: 90, Gobardhanpur</t>
  </si>
  <si>
    <t>Balasore</t>
  </si>
  <si>
    <t>SARASWATI VIDYA MANDIR, SECTOR-6</t>
  </si>
  <si>
    <t>CHAITANYA COLLEGE OF EDUCATION</t>
  </si>
  <si>
    <t>COUNSIL OF HIGHER SECONDARY EDUCATION, ODISHA</t>
  </si>
  <si>
    <t>BIJU PATTANAYAK UNIVERSITY</t>
  </si>
  <si>
    <t>ORISSA ENGINEERING COLLEGE, BHUBANESWAR</t>
  </si>
  <si>
    <t>Gayatri Projects Limited | Junior Engineer Executive | Sambalpur, Odisha | Oct 2018 | Jun 2019 | 0Y 8M | 2.4
B.K CONSTRUCTION CO. | SITE ENGINEER | Balangir, Odisha | Jul 2019 | Feb 2025 | 5Y 7M | 4.8</t>
  </si>
  <si>
    <t>6 Years 3 Months</t>
  </si>
  <si>
    <t>Pune Municipal Corporation | Intern | pune | May 2026 | Jul 2026 | 9 Weeks | Campus Internship</t>
  </si>
  <si>
    <t>P25704023</t>
  </si>
  <si>
    <t>SONAL</t>
  </si>
  <si>
    <t>SARSANDE</t>
  </si>
  <si>
    <t>Sonal Ajay Sarsande</t>
  </si>
  <si>
    <t>sonalsarsande1184@gmail.com</t>
  </si>
  <si>
    <t>p25704023@student.nicmar.ac.in</t>
  </si>
  <si>
    <t>8525 1428 3768</t>
  </si>
  <si>
    <t>AJAY MAGAN SARSANDE</t>
  </si>
  <si>
    <t>PHOTOGRAPHER</t>
  </si>
  <si>
    <t>MANDA AJAY SARSANDE</t>
  </si>
  <si>
    <t>FLAT NO. 201, PAN CARD CLUB RD, BANER HILLS, BANER, PUNE, MAHARASHTRA</t>
  </si>
  <si>
    <t>Garkheda Parisar Road_x000D_
Plot No 5</t>
  </si>
  <si>
    <t>ST FRANCES DE SALES HIGH SCHOOL</t>
  </si>
  <si>
    <t>JIJAMATA ARTS &amp; SCIENCE JR.COLLEGE</t>
  </si>
  <si>
    <t>AURANGABAD</t>
  </si>
  <si>
    <t>D. BATU UNIVERSITY</t>
  </si>
  <si>
    <t>JAWAHARLAL NEHRU ENGINEERING COLLEGE</t>
  </si>
  <si>
    <t>AutoCAD,MS Office,MS Project,Sketch Up,Lumion,ArcGIS,Photoshop,Rivet,3DS Max,Vray</t>
  </si>
  <si>
    <t>Reflex Architects | Jr. Architect | Baner, Pune | Jan 2025 | Jul 2025 | 0Y 6M | 1.5</t>
  </si>
  <si>
    <t>Tanishqa architects and planning | Architect | Baner, Pune | Jan 2023 | May 2023 | 19.285714285714 Weeks</t>
  </si>
  <si>
    <t>3DS Max
Holi Polloi Workshop</t>
  </si>
  <si>
    <t>P25704024</t>
  </si>
  <si>
    <t>Riya Mukesh Jain</t>
  </si>
  <si>
    <t>riiyajain000@gmail.com</t>
  </si>
  <si>
    <t>p25704024@student.nicmar.ac.in</t>
  </si>
  <si>
    <t>HINDI</t>
  </si>
  <si>
    <t>6558 2567 0073</t>
  </si>
  <si>
    <t>H.n. 833, Mahsurkar Marg, Behind Anup Steel And Beside Kumar Transport, Queta Colony, Nagpur - 440008</t>
  </si>
  <si>
    <t>CENTRAL INDIA PUBLIC SCHOOL, NAGPUR</t>
  </si>
  <si>
    <t>LATE. NIRDHAN PATIL WAGHAYE ART'S &amp; SCIENCE JR. COLLEGE, LAKHNI</t>
  </si>
  <si>
    <t>INSTITUTE OF DESIGN EDUCTAION AND ARCHITECTURAL STUDIES, NAGPUR, MAHARASHTRA</t>
  </si>
  <si>
    <t>AutoCAD,sketchup,power point,photoshop,enscape,ArcGIS,Lumion,Excel,Canva,D5,Revit,AutoCAD,Procreate</t>
  </si>
  <si>
    <t>Nagpur Metropolitan Region Development Authority | Urban Planning Intern | Nagpur | May 2026 | Jun 2026 | 8 Weeks | Campus Internship
Akruti Concept Studio | Architectural Intern | Pune | Jan 2024 | May 2024 | 19.571428571429 Weeks</t>
  </si>
  <si>
    <t>AI &amp; Disaster Management
Introduction to Urban Planning</t>
  </si>
  <si>
    <t>P25704025</t>
  </si>
  <si>
    <t>MEHARE</t>
  </si>
  <si>
    <t>Shivani Deepak Mehare</t>
  </si>
  <si>
    <t>shivanimehare102@gmail.com</t>
  </si>
  <si>
    <t>p25704025@student.nicmar.ac.in</t>
  </si>
  <si>
    <t>24-Jan-2002</t>
  </si>
  <si>
    <t>5295 6022 0180</t>
  </si>
  <si>
    <t>DEEPAK MEHARE</t>
  </si>
  <si>
    <t>USHA DEEPAK MEHARE</t>
  </si>
  <si>
    <t>RAVI NAGAR, RING ROAD, KAULKHED, AKOLA.</t>
  </si>
  <si>
    <t>THE NOEL ENGLISH SCHOOL, AKOLA</t>
  </si>
  <si>
    <t>AMRAVATI DIVISIONAL BOARD</t>
  </si>
  <si>
    <t>SUDHARKARRAO NAIK ARTS, SCIENCE &amp; UMASHANKAR KHETAN COMMERCE JR. COLLEGE AKOLA</t>
  </si>
  <si>
    <t>AutoCAD,MS Office,Sketchup,photoshop,Revit</t>
  </si>
  <si>
    <t>DESIGNSHALA COLLBORATIVE | URBAN PLANNING INTERN | Pune | May 2026 | Jul 2026 | 8.7142857142857 Weeks | Campus Internship
ANDSPACES CONSULTANTS PVT. LTD. | ARCHITECTURAL INTERN | PUNE | Jun 2024 | Nov 2024 | 24 Weeks</t>
  </si>
  <si>
    <t>P25704026</t>
  </si>
  <si>
    <t>VASUDHA</t>
  </si>
  <si>
    <t>Vasudha Gajanan Thakur</t>
  </si>
  <si>
    <t>vasudhathakur03@gmail.com</t>
  </si>
  <si>
    <t>p25704026@student.nicmar.ac.in</t>
  </si>
  <si>
    <t>30-Nov-2001</t>
  </si>
  <si>
    <t>6744 6536 7254</t>
  </si>
  <si>
    <t>GAJANAN JANARDAN THAKUR</t>
  </si>
  <si>
    <t>SUNITA GAJANAN THAKUR</t>
  </si>
  <si>
    <t>H.No.936, Kegaon - Aweda, PO.- Uran, Dist.-Raigad, Maharashtra, 400702</t>
  </si>
  <si>
    <t>URAN EDUCATION SOCIETY'S ENGLISH MEDIUM SCHOOL</t>
  </si>
  <si>
    <t>URAN EDUCATION SOCIETY'S ENGLISH MEDIUM SCHOOL AND JR. COLLEGE</t>
  </si>
  <si>
    <t>AutoCAD,MS Office,GIS,SketchUp,VRay,Photoshop,Enscape,Lumion</t>
  </si>
  <si>
    <t>CIDCO | Intern | Navi Mumbai | May 2026 | Jul 2026 | 8.5714285714286 Weeks | Campus Internship
ASC ARCHITECTS AND INTERIOR DESIGNERS | INTERN | NAVI MUMBAI | Nov 2022 | Mar 2023 | 18.571428571429 Weeks</t>
  </si>
  <si>
    <t>P25704027</t>
  </si>
  <si>
    <t>KUMAWAT</t>
  </si>
  <si>
    <t>Pranjal Vishnu Kumawat</t>
  </si>
  <si>
    <t>pranjalvkumawat2003@gmail.com</t>
  </si>
  <si>
    <t>p25704027@student.nicmar.ac.in</t>
  </si>
  <si>
    <t>9404 1240 3958</t>
  </si>
  <si>
    <t>VISHNU SHANTARAM KUMAWAT</t>
  </si>
  <si>
    <t>NIRMALA VISHNU KUMAWAT</t>
  </si>
  <si>
    <t>Plot No 47 , Agarkar Mala , Arban Bank Colony , Station Road , Ahmednagar , Maharashtra</t>
  </si>
  <si>
    <t>BHAUSAHEB FIRODIYA HIGH SCHOOL AHMEDNAGAR</t>
  </si>
  <si>
    <t>BHAUSAHEB FIRODIYA JUNIOR COLLEGE , AHMEDNAGAR</t>
  </si>
  <si>
    <t>SAVITRIBAI PHULE UNIVERSITY , PUNE</t>
  </si>
  <si>
    <t>DR. BHANUBEN NANAVATI COLLEGE OF ARCHITECTURE FOR WOMEN , PUNE</t>
  </si>
  <si>
    <t>PTV Visum,PTV Vissim,ArcGIS Pro,AutoCAD,MS Office,Revit,Sketchup,Photoshop</t>
  </si>
  <si>
    <t>Pune Municipal Corporation | Intern | Pune | May 2026 | Jul 2026 | 9 Weeks | Campus Internship
AR AND ASSOCIATES | ARCHITECTURAL INTERN | PANJIM,GOA | Jun 2024 | Nov 2024 | 24 Weeks</t>
  </si>
  <si>
    <t>P25704028</t>
  </si>
  <si>
    <t>DIVESH</t>
  </si>
  <si>
    <t>BHONDAVE</t>
  </si>
  <si>
    <t>Divesh Prakash Bhondave</t>
  </si>
  <si>
    <t>diveshbhondave06@gmail.com</t>
  </si>
  <si>
    <t>p25704028@student.nicmar.ac.in</t>
  </si>
  <si>
    <t>9023 7029 9223</t>
  </si>
  <si>
    <t>PRADNYA BHONDAVE</t>
  </si>
  <si>
    <t>At Post- Abitghar,Tal-Wada,Dist-Palghar</t>
  </si>
  <si>
    <t>A. L. C. JUNIOR COLLEGE</t>
  </si>
  <si>
    <t>SECONDARY AND HIGHER SECONDARY EDUCATION,PUNE,MAHARASHTRA</t>
  </si>
  <si>
    <t>DATTA MEGHE COLLEGE OF ENGINEERING, MUMBAI, MAHARASHTRA</t>
  </si>
  <si>
    <t>Richa Building Material Supplier &amp; Developer | Intern | WADA | Jun 2024 | Jul 2024 | 4.2857142857143 Weeks</t>
  </si>
  <si>
    <t>P25704029</t>
  </si>
  <si>
    <t>Sahil Vilas Ingale</t>
  </si>
  <si>
    <t>ingalesahi007@gmail.com</t>
  </si>
  <si>
    <t>p25704029@student.nicmar.ac.in</t>
  </si>
  <si>
    <t>6147 4616 9132</t>
  </si>
  <si>
    <t>FLAT NO 404,G-BUILDING,WHISPERING WINDS PHASE 2,BANER PASHAN LINK ROAD,PASHAN 411021</t>
  </si>
  <si>
    <t>A/P RAJURI, KRUSHNKUNJ HOUSE NEAR RAJLAKSHMI BAZAR,KURAVALIPATI CHOWK RAJURI ,PUNE-PANDHARPUR ROAD,TAL-PHALTAN DIS-SATARA</t>
  </si>
  <si>
    <t>SHANTINIKETAN SEC. AND HIGH SEC. VIDYMANDIR SANGLI</t>
  </si>
  <si>
    <t>DR.CHANDRABHANU SONAVANE JUNIOR COLLEGE,UKKADGOAN,SOLAPUR</t>
  </si>
  <si>
    <t>SINHGAD COLLEGE OF ARCHITECTURE,VADGOAN</t>
  </si>
  <si>
    <t>AutoCAD,MS Office,MS Project,REVIT,SKETCHUP,LUMION,ENSCAPE,ArcGIS,CANVA</t>
  </si>
  <si>
    <t>BHANSALI &amp; ASSOCIATES | JUNIOR ARCHITECT | PUNE | Aug 2024 | Aug 2025 | 1Y 0M | 2.16</t>
  </si>
  <si>
    <t>All India Institute of Local Self-Government  | INTERN  | Pune | May 2026 | Jul 2026 | 9.7142857142857 Weeks | Campus Internship
UNITECTURE DESIGN SOLUTIONS | INTERN ARCHITECT | Pune | Jun 2023 | Nov 2023 | 24 Weeks</t>
  </si>
  <si>
    <t>P25704030</t>
  </si>
  <si>
    <t>DETHE</t>
  </si>
  <si>
    <t>Nupur Rahul Dethe</t>
  </si>
  <si>
    <t>nupurdethe@gmail.com</t>
  </si>
  <si>
    <t>p25704030@student.nicmar.ac.in</t>
  </si>
  <si>
    <t>7447 7000 2048</t>
  </si>
  <si>
    <t>RAHUL ATMARAM DETHE</t>
  </si>
  <si>
    <t>EMPLOYEEAT WESTERN COAL MINES</t>
  </si>
  <si>
    <t>VAISHALI RAHUL DETHE</t>
  </si>
  <si>
    <t>Choriya Layout Behind Kalpana Marbles_x000D_
Rahul Dethe House</t>
  </si>
  <si>
    <t>MACAROON STUDENTS ACADEMY WADAGAON YAVATMAL</t>
  </si>
  <si>
    <t>SINHGAD COLLEGE OF ARCHITECTURE VADGAON PUNE</t>
  </si>
  <si>
    <t>National Institute of Urban Affairs  | Urban Planning Intern | Delhi | May 2026 | Jul 2026 | 8.7142857142857 Weeks | Campus Internship
Group Consultants | Intern Architect | Pune | Jul 2024 | Oct 2024 | 17.428571428571 Weeks</t>
  </si>
  <si>
    <t>P25704032</t>
  </si>
  <si>
    <t>APURV</t>
  </si>
  <si>
    <t>Apurv Rajesh Thakur</t>
  </si>
  <si>
    <t>apurv1603@gmail.com</t>
  </si>
  <si>
    <t>p25704032@student.nicmar.ac.in</t>
  </si>
  <si>
    <t>6599 0336 1008</t>
  </si>
  <si>
    <t>HOUSE NO.358, NEAR GANRAJ APPT, MAHATAVLI,NAGAON RD URAN, NEAR ONGC MAIN GATE, URAN, NAVI MUMBAI, 400702</t>
  </si>
  <si>
    <t>Near Vitthal Mandir, Bhendkhal At Post JNPT Uran Navi Mumbai</t>
  </si>
  <si>
    <t>URAN EDUCATION SOCIETY ENGLISH MEDIUM SCHOOL,URAN</t>
  </si>
  <si>
    <t>MAHARASHTRA STATE BOARD OF SECONDARY AND HIGHER SECONDARY EDUCATION MAHARASHTRA</t>
  </si>
  <si>
    <t>URAN EDUCATION SOCIETY ENGLISH MEDIUM SCHOOL &amp; JR. COLLEGE URAN</t>
  </si>
  <si>
    <t>ANJUMAN-I-ISLAM KALSEKAR TECHNICAL CAMPUS PANVEL, MAHARASHTRA</t>
  </si>
  <si>
    <t>AutoCAD,MS Office,GIS,Sktech up,Enscape,Photoshop</t>
  </si>
  <si>
    <t>Maharashtra State Road Development Corporation Limited  (MSRDC) | INTERN | Belapur,Navi Mumbai | May 2026 | Jul 2026 | 8.2857142857143 Weeks | Campus Internship
CITY AND INDUSTRIAL DEVELOPMENT CORPORATION (CIDCO) | ARCHITECTURAL INTERN | BELAPUR- NAVI MUMBAI | Dec 2022 | Apr 2023 | 18.571428571429 Weeks</t>
  </si>
  <si>
    <t>P25704033</t>
  </si>
  <si>
    <t>WANKHADE</t>
  </si>
  <si>
    <t>Disha Atul Wankhade</t>
  </si>
  <si>
    <t>dishaawankhade3@gmail.com</t>
  </si>
  <si>
    <t>p25704033@student.nicmar.ac.in</t>
  </si>
  <si>
    <t>4347 1724 0559</t>
  </si>
  <si>
    <t>Niwara Construction, Vardhaman Nagar, Drawha- 445202, Dist.- Yavatmal</t>
  </si>
  <si>
    <t>JIJAMATA GIRLS HIGHSCHOOL, DARWHA- 445202, DIST.- YAVATMAL</t>
  </si>
  <si>
    <t>AMRAVATI BOARD, MAHARASHTRA</t>
  </si>
  <si>
    <t>SHRI. SHIVAJI JUNIOR COLLEGE, DARWHA- 445202, DIST.- YAVATMAL</t>
  </si>
  <si>
    <t>SINHGAD COLLEGE OF ARCHITECTURE, PUNE</t>
  </si>
  <si>
    <t>AutoCAD,MS Office,ArcGIS,Photoshop,Indesign</t>
  </si>
  <si>
    <t>Designshala Collaborative | Urban Planning Intern | Pune | May 2026 | Jun 2026 | 7.7142857142857 Weeks | Campus Internship
Ignitus Architectural Studio | Architectural Intern | Ahmedabad | Jul 2024 | Nov 2024 | 21.714285714286 Weeks</t>
  </si>
  <si>
    <t>P25704034</t>
  </si>
  <si>
    <t>AAYUSHI</t>
  </si>
  <si>
    <t>ANANTA</t>
  </si>
  <si>
    <t>NANDANWAR</t>
  </si>
  <si>
    <t>Aayushi Ananta Nandanwar</t>
  </si>
  <si>
    <t>aayu262001@gmail.com</t>
  </si>
  <si>
    <t>p25704034@student.nicmar.ac.in</t>
  </si>
  <si>
    <t>26-Oct-2001</t>
  </si>
  <si>
    <t>4898 2527 3992</t>
  </si>
  <si>
    <t>ANANTA NANDANWAR</t>
  </si>
  <si>
    <t>RETIRED CLERK</t>
  </si>
  <si>
    <t>ANITA NANDANWAR</t>
  </si>
  <si>
    <t>Plot No.01, Mahavir Colony, Tirora Road, Kudwa, Gondia-441614</t>
  </si>
  <si>
    <t>GUJARATI NATIONAL HIGH SCHOOL, GONDIA</t>
  </si>
  <si>
    <t>S.M. PATEL JUNIOR COLLEGE, GONDIA</t>
  </si>
  <si>
    <t>DR. D.Y. PATIL COLLEGE OF ARCHITECTURE, AKURDI, PUNE</t>
  </si>
  <si>
    <t>AutoCAD,MS Office,MS Project,SketchUp,Lumion,Procreate,Photoshop,Enscape,Revit,ArcGIS</t>
  </si>
  <si>
    <t>TOWN PLANNING AND VALUATION DEPARTMENT, PUNE | Urban Planning Intern | Pune | May 2026 | Jun 2026 | 8 Weeks | Campus Internship
ORIGIN ASSOCIATES | Architecture Firm | BALEWADI, PUNE | Jun 2024 | Nov 2024 | 21.857142857143 Weeks</t>
  </si>
  <si>
    <t>Software Courses
UX/UI Design Course</t>
  </si>
  <si>
    <t>P25704035</t>
  </si>
  <si>
    <t>BURUNGALE</t>
  </si>
  <si>
    <t>Rushikesh Vinod Burungale</t>
  </si>
  <si>
    <t>rushikeshburungale9913@gmail.com</t>
  </si>
  <si>
    <t>p25704035@student.nicmar.ac.in</t>
  </si>
  <si>
    <t>2028 6131 7665</t>
  </si>
  <si>
    <t>VINOD BURUNGALE</t>
  </si>
  <si>
    <t>RATNAPRABHA BURUNGALE</t>
  </si>
  <si>
    <t>Shivnagar, Malegaon Bk, Baramati, Pune</t>
  </si>
  <si>
    <t>SHARDABAI PAWAR VIDYALAYA, SHIV NAGAR, MALEGAON BK, BARAMATI, PUNE</t>
  </si>
  <si>
    <t>MAHARASHTRA STATE BOARD FOR SECONDARY AND HIGHER SECONDARY EDUCATION, PUNE</t>
  </si>
  <si>
    <t>VIDYA PRATISHTHAN'S ART, SCIENCE, COMMERCE COLLEGE, BARAMATI</t>
  </si>
  <si>
    <t>AutoCAD,MS Office,MS Project,Sketchup,Lumion,Photoshop,Revit,VRay,Enscape,ArcGIS</t>
  </si>
  <si>
    <t>Mahesh Jarad Associates | Junior Draftsman | Baramati | Jul 2018 | Jun 2019 | 0Y 11M | 1.2
Awishkar Architects | Assistant Architect | Baramati | Jun 2024 | Jun 2025 | 1Y 0M | 3</t>
  </si>
  <si>
    <t>TOWN PLANNING AND VALUATION DEPARTMENT, PUNE | Urban Planning Intern | Pune | May 2026 | Jun 2026 | 8 Weeks | Campus Internship
AJ Architects and Interior Designers Private Limited | Architectural Firm | Erandawane, Pune | Jun 2023 | Oct 2023 | 19 Weeks</t>
  </si>
  <si>
    <t>NPTEL- Introduction to Urban Planning
Software Courses
Computer-aided Design Course</t>
  </si>
  <si>
    <t>P25704036</t>
  </si>
  <si>
    <t>MAHENDRAKUMAR</t>
  </si>
  <si>
    <t>AYYER</t>
  </si>
  <si>
    <t>Divya Mahendrakumar Ayyer</t>
  </si>
  <si>
    <t>ayyerdivi15@gmail.com</t>
  </si>
  <si>
    <t>p25704036@student.nicmar.ac.in</t>
  </si>
  <si>
    <t>28-May-2002</t>
  </si>
  <si>
    <t>2093 5777 8103</t>
  </si>
  <si>
    <t>MAHENDRA KUMAR AYYER</t>
  </si>
  <si>
    <t>JYOTI M. AYYER</t>
  </si>
  <si>
    <t>C/o Grishma Yadav, Hingna Road ,opp. Balode Layout, Akola</t>
  </si>
  <si>
    <t>CENTRAL BOARD OF SECONDARY EDUCATION , AKOLA, MAHARASTRA</t>
  </si>
  <si>
    <t>MOUNT CARMEL HIGHER SECONDARY SCHOOL</t>
  </si>
  <si>
    <t>BHANUBEN NANAVATI COLLEGE COLLEGE OF ARCHITECTURE</t>
  </si>
  <si>
    <t>AutoCAD,MS Office,Sketchup,photoshop,revit</t>
  </si>
  <si>
    <t>Designshala Collaborative | Urban Planning Intern  | Pune | May 2026 | Jul 2026 | 8.7142857142857 Weeks | Campus Internship
N H ARCHITECTS | ARCHITECTURAL INTERN | AHMEDABAD | Jun 2024 | Dec 2024 | 28 Weeks</t>
  </si>
  <si>
    <t>P25704038</t>
  </si>
  <si>
    <t>Abhishek Arun Patil</t>
  </si>
  <si>
    <t>patilabhishekarun@gmail.com</t>
  </si>
  <si>
    <t>p25704038@student.nicmar.ac.in</t>
  </si>
  <si>
    <t>5228 7523 2164</t>
  </si>
  <si>
    <t>ARUN SHANKAR PATIL</t>
  </si>
  <si>
    <t>MEGHA ARUN PATIL</t>
  </si>
  <si>
    <t>Kegaon Bazarpur Uran 400702</t>
  </si>
  <si>
    <t>URAN EDUCATION SOCIETY ENGLISH MEDIUM SCHOOL</t>
  </si>
  <si>
    <t>URAN EDUCATION SOCIETY ENGLISH MEDIUM SCHOOL &amp; JUNIOR COLLEGE</t>
  </si>
  <si>
    <t>VISHWANIKETAN COLLEGE OF ARCHITECTURE</t>
  </si>
  <si>
    <t>AutoCAD,MS Office,SKETCHUP,REVIT,GIS,ENSCAPE,VRAY,LUMION</t>
  </si>
  <si>
    <t>CITY AND INDUSTRIAL DEVELOPMENT CORPORATION OF MAHARASHTRA LIMITED  | Intern | Belapur, Navi Mumbai | May 2026 | Jul 2026 | 8.5714285714286 Weeks | Campus Internship
CITY  AND INSUSTRIAL DEVELOPMENT CORPORATION (CIDCO) | ARCHITECTURAL INTERN  | BELAPUR  | Nov 2023 | Feb 2024 | 15.714285714286 Weeks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</si>
</sst>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2"/>
      <color rgb="FF000000"/>
      <name val="Calibri"/>
    </font>
  </fonts>
  <fills count="3">
    <fill>
      <patternFill patternType="none"/>
    </fill>
    <fill>
      <patternFill patternType="gray125"/>
    </fill>
    <fill>
      <patternFill patternType="solid">
        <fgColor rgb="FFD9D9D9"/>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xfId="0" fontId="0" numFmtId="0" fillId="0" borderId="0" applyFont="0" applyNumberFormat="0" applyFill="0" applyBorder="0" applyAlignment="0"/>
    <xf xfId="0" fontId="0" numFmtId="0" fillId="0" borderId="1" applyFont="0" applyNumberFormat="0" applyFill="0" applyBorder="1" applyAlignment="1">
      <alignment vertical="top" textRotation="0" wrapText="false" shrinkToFit="false"/>
    </xf>
    <xf xfId="0" fontId="1" numFmtId="0" fillId="2" borderId="1" applyFont="1" applyNumberFormat="0" applyFill="1" applyBorder="1" applyAlignment="1">
      <alignment horizontal="center" vertical="center" textRotation="0" wrapText="false" shrinkToFit="false"/>
    </xf>
    <xf xfId="0" fontId="0" numFmtId="0" fillId="0" borderId="1" applyFont="0" applyNumberFormat="0" applyFill="0"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nconnect.nicmar.ac.in/storage/profile/6a186e8559d6d.png" TargetMode="External"/><Relationship Id="rId_hyperlink_2" Type="http://schemas.openxmlformats.org/officeDocument/2006/relationships/hyperlink" Target="https://nconnect.nicmar.ac.in/storage/profile/6a196fd27d491.png" TargetMode="External"/><Relationship Id="rId_hyperlink_3" Type="http://schemas.openxmlformats.org/officeDocument/2006/relationships/hyperlink" Target="https://nconnect.nicmar.ac.in/storage/profile/6a1ad19432c21.png" TargetMode="External"/><Relationship Id="rId_hyperlink_4" Type="http://schemas.openxmlformats.org/officeDocument/2006/relationships/hyperlink" Target="https://nconnect.nicmar.ac.in/storage/profile/6a1d16cec8cd8.png" TargetMode="External"/><Relationship Id="rId_hyperlink_5" Type="http://schemas.openxmlformats.org/officeDocument/2006/relationships/hyperlink" Target="https://nconnect.nicmar.ac.in/storage/profile/6a1d1c679672f.png" TargetMode="External"/><Relationship Id="rId_hyperlink_6" Type="http://schemas.openxmlformats.org/officeDocument/2006/relationships/hyperlink" Target="https://nconnect.nicmar.ac.in/storage/profile/6a1b1b9e21425.png" TargetMode="External"/><Relationship Id="rId_hyperlink_7" Type="http://schemas.openxmlformats.org/officeDocument/2006/relationships/hyperlink" Target="https://nconnect.nicmar.ac.in/storage/profile/6a1bc2191055c.png" TargetMode="External"/><Relationship Id="rId_hyperlink_8" Type="http://schemas.openxmlformats.org/officeDocument/2006/relationships/hyperlink" Target="https://nconnect.nicmar.ac.in/storage/profile/6a1bc683727f9.png" TargetMode="External"/><Relationship Id="rId_hyperlink_9" Type="http://schemas.openxmlformats.org/officeDocument/2006/relationships/hyperlink" Target="https://nconnect.nicmar.ac.in/storage/profile/6a1c1d386b69b.png" TargetMode="External"/><Relationship Id="rId_hyperlink_10" Type="http://schemas.openxmlformats.org/officeDocument/2006/relationships/hyperlink" Target="https://nconnect.nicmar.ac.in/storage/profile/6a1c40dde72e1.png" TargetMode="External"/><Relationship Id="rId_hyperlink_11" Type="http://schemas.openxmlformats.org/officeDocument/2006/relationships/hyperlink" Target="https://nconnect.nicmar.ac.in/storage/profile/6a1c46dc90bab.png" TargetMode="External"/><Relationship Id="rId_hyperlink_12" Type="http://schemas.openxmlformats.org/officeDocument/2006/relationships/hyperlink" Target="https://nconnect.nicmar.ac.in/storage/profile/6a1c4c4fce923.png" TargetMode="External"/><Relationship Id="rId_hyperlink_13" Type="http://schemas.openxmlformats.org/officeDocument/2006/relationships/hyperlink" Target="https://nconnect.nicmar.ac.in/storage/profile/6a1c4ef70c260.png" TargetMode="External"/><Relationship Id="rId_hyperlink_14" Type="http://schemas.openxmlformats.org/officeDocument/2006/relationships/hyperlink" Target="https://nconnect.nicmar.ac.in/storage/profile/6a1eab79188f8.png" TargetMode="External"/><Relationship Id="rId_hyperlink_15" Type="http://schemas.openxmlformats.org/officeDocument/2006/relationships/hyperlink" Target="https://nconnect.nicmar.ac.in/storage/profile/6a1eba10eb6f1.png" TargetMode="External"/><Relationship Id="rId_hyperlink_16" Type="http://schemas.openxmlformats.org/officeDocument/2006/relationships/hyperlink" Target="https://nconnect.nicmar.ac.in/storage/profile/6a1fa4f8604ae.png" TargetMode="External"/><Relationship Id="rId_hyperlink_17" Type="http://schemas.openxmlformats.org/officeDocument/2006/relationships/hyperlink" Target="https://nconnect.nicmar.ac.in/storage/profile/6a1fadfe61e9d.png" TargetMode="External"/><Relationship Id="rId_hyperlink_18" Type="http://schemas.openxmlformats.org/officeDocument/2006/relationships/hyperlink" Target="https://nconnect.nicmar.ac.in/storage/profile/6a1fc411369af.png" TargetMode="External"/><Relationship Id="rId_hyperlink_19" Type="http://schemas.openxmlformats.org/officeDocument/2006/relationships/hyperlink" Target="https://nconnect.nicmar.ac.in/storage/profile/6a1ff84bd9c64.png" TargetMode="External"/><Relationship Id="rId_hyperlink_20" Type="http://schemas.openxmlformats.org/officeDocument/2006/relationships/hyperlink" Target="https://nconnect.nicmar.ac.in/storage/profile/6a20f9c0b49b0.png" TargetMode="External"/><Relationship Id="rId_hyperlink_21" Type="http://schemas.openxmlformats.org/officeDocument/2006/relationships/hyperlink" Target="https://nconnect.nicmar.ac.in/storage/profile/6a2103f0b6786.png" TargetMode="External"/><Relationship Id="rId_hyperlink_22" Type="http://schemas.openxmlformats.org/officeDocument/2006/relationships/hyperlink" Target="https://nconnect.nicmar.ac.in/storage/profile/6a210ba0cac18.png" TargetMode="External"/><Relationship Id="rId_hyperlink_23" Type="http://schemas.openxmlformats.org/officeDocument/2006/relationships/hyperlink" Target="https://nconnect.nicmar.ac.in/storage/profile/6a21173ac4788.png" TargetMode="External"/><Relationship Id="rId_hyperlink_24" Type="http://schemas.openxmlformats.org/officeDocument/2006/relationships/hyperlink" Target="https://nconnect.nicmar.ac.in/storage/profile/6a211eb83dc01.png" TargetMode="External"/><Relationship Id="rId_hyperlink_25" Type="http://schemas.openxmlformats.org/officeDocument/2006/relationships/hyperlink" Target="https://nconnect.nicmar.ac.in/storage/profile/6a21248d96303.png" TargetMode="External"/><Relationship Id="rId_hyperlink_26" Type="http://schemas.openxmlformats.org/officeDocument/2006/relationships/hyperlink" Target="https://nconnect.nicmar.ac.in/storage/profile/6a213e6b214b4.png" TargetMode="External"/><Relationship Id="rId_hyperlink_27" Type="http://schemas.openxmlformats.org/officeDocument/2006/relationships/hyperlink" Target="https://nconnect.nicmar.ac.in/storage/profile/6a2144da8acc0.png" TargetMode="External"/><Relationship Id="rId_hyperlink_28" Type="http://schemas.openxmlformats.org/officeDocument/2006/relationships/hyperlink" Target="https://nconnect.nicmar.ac.in/storage/profile/6a215333ef911.png" TargetMode="External"/><Relationship Id="rId_hyperlink_29" Type="http://schemas.openxmlformats.org/officeDocument/2006/relationships/hyperlink" Target="https://nconnect.nicmar.ac.in/storage/profile/6a215af3bfa89.png" TargetMode="External"/><Relationship Id="rId_hyperlink_30" Type="http://schemas.openxmlformats.org/officeDocument/2006/relationships/hyperlink" Target="https://nconnect.nicmar.ac.in/storage/profile/6a2151e4b96fb.png" TargetMode="External"/><Relationship Id="rId_hyperlink_31" Type="http://schemas.openxmlformats.org/officeDocument/2006/relationships/hyperlink" Target="https://nconnect.nicmar.ac.in/storage/profile/6a213db498d95.png" TargetMode="External"/><Relationship Id="rId_hyperlink_32" Type="http://schemas.openxmlformats.org/officeDocument/2006/relationships/hyperlink" Target="https://nconnect.nicmar.ac.in/storage/profile/6a2122372a8fe.png" TargetMode="External"/><Relationship Id="rId_hyperlink_33" Type="http://schemas.openxmlformats.org/officeDocument/2006/relationships/hyperlink" Target="https://nconnect.nicmar.ac.in/storage/profile/6a2117038be45.png" TargetMode="External"/><Relationship Id="rId_hyperlink_34" Type="http://schemas.openxmlformats.org/officeDocument/2006/relationships/hyperlink" Target="https://nconnect.nicmar.ac.in/storage/profile/6a210dbd65393.png" TargetMode="External"/><Relationship Id="rId_hyperlink_35" Type="http://schemas.openxmlformats.org/officeDocument/2006/relationships/hyperlink" Target="https://nconnect.nicmar.ac.in/storage/profile/6a20fb7964b78.png" TargetMode="External"/><Relationship Id="rId_hyperlink_36" Type="http://schemas.openxmlformats.org/officeDocument/2006/relationships/hyperlink" Target="https://nconnect.nicmar.ac.in/storage/profile/6a2011a6456bc.png" TargetMode="External"/><Relationship Id="rId_hyperlink_37" Type="http://schemas.openxmlformats.org/officeDocument/2006/relationships/hyperlink" Target="https://nconnect.nicmar.ac.in/storage/profile/6a20041f0beae.png" TargetMode="External"/><Relationship Id="rId_hyperlink_38" Type="http://schemas.openxmlformats.org/officeDocument/2006/relationships/hyperlink" Target="https://nconnect.nicmar.ac.in/storage/profile/6a26636e35111.png" TargetMode="External"/><Relationship Id="rId_hyperlink_39" Type="http://schemas.openxmlformats.org/officeDocument/2006/relationships/hyperlink" Target="https://nconnect.nicmar.ac.in/storage/profile/6a266895a2273.png" TargetMode="External"/><Relationship Id="rId_hyperlink_40" Type="http://schemas.openxmlformats.org/officeDocument/2006/relationships/hyperlink" Target="https://nconnect.nicmar.ac.in/storage/profile/6a2678a2bf61d.png" TargetMode="External"/><Relationship Id="rId_hyperlink_41" Type="http://schemas.openxmlformats.org/officeDocument/2006/relationships/hyperlink" Target="https://nconnect.nicmar.ac.in/storage/profile/6a2685caa33b5.png" TargetMode="External"/><Relationship Id="rId_hyperlink_42" Type="http://schemas.openxmlformats.org/officeDocument/2006/relationships/hyperlink" Target="https://nconnect.nicmar.ac.in/storage/profile/6a267e16ddcdb.png" TargetMode="External"/><Relationship Id="rId_hyperlink_43" Type="http://schemas.openxmlformats.org/officeDocument/2006/relationships/hyperlink" Target="https://nconnect.nicmar.ac.in/storage/profile/6a265cafc1c98.png" TargetMode="External"/><Relationship Id="rId_hyperlink_44" Type="http://schemas.openxmlformats.org/officeDocument/2006/relationships/hyperlink" Target="https://nconnect.nicmar.ac.in/storage/profile/6a26521b8c899.png" TargetMode="External"/><Relationship Id="rId_hyperlink_45" Type="http://schemas.openxmlformats.org/officeDocument/2006/relationships/hyperlink" Target="https://nconnect.nicmar.ac.in/storage/profile/6a228f22b5594.png" TargetMode="External"/><Relationship Id="rId_hyperlink_46" Type="http://schemas.openxmlformats.org/officeDocument/2006/relationships/hyperlink" Target="https://nconnect.nicmar.ac.in/storage/profile/6a229f37c4f6e.png" TargetMode="External"/><Relationship Id="rId_hyperlink_47" Type="http://schemas.openxmlformats.org/officeDocument/2006/relationships/hyperlink" Target="https://nconnect.nicmar.ac.in/storage/profile/6a22a37637792.png" TargetMode="External"/><Relationship Id="rId_hyperlink_48" Type="http://schemas.openxmlformats.org/officeDocument/2006/relationships/hyperlink" Target="https://nconnect.nicmar.ac.in/storage/profile/6a22aa8c81c79.png" TargetMode="External"/><Relationship Id="rId_hyperlink_49" Type="http://schemas.openxmlformats.org/officeDocument/2006/relationships/hyperlink" Target="https://nconnect.nicmar.ac.in/storage/profile/6a22b01e23288.png" TargetMode="External"/><Relationship Id="rId_hyperlink_50" Type="http://schemas.openxmlformats.org/officeDocument/2006/relationships/hyperlink" Target="https://nconnect.nicmar.ac.in/storage/profile/6a263d01e588c.png" TargetMode="External"/><Relationship Id="rId_hyperlink_51" Type="http://schemas.openxmlformats.org/officeDocument/2006/relationships/hyperlink" Target="https://nconnect.nicmar.ac.in/storage/profile/6a2643dfcb805.png" TargetMode="External"/><Relationship Id="rId_hyperlink_52" Type="http://schemas.openxmlformats.org/officeDocument/2006/relationships/hyperlink" Target="https://nconnect.nicmar.ac.in/storage/profile/ProfilePhoto_P25700031_379814.jpg" TargetMode="External"/><Relationship Id="rId_hyperlink_53" Type="http://schemas.openxmlformats.org/officeDocument/2006/relationships/hyperlink" Target="https://nconnect.nicmar.ac.in/storage/profile/ProfilePhoto_P25700556_563978.jpg" TargetMode="External"/><Relationship Id="rId_hyperlink_54" Type="http://schemas.openxmlformats.org/officeDocument/2006/relationships/hyperlink" Target="https://nconnect.nicmar.ac.in/storage/profile/ProfilePhoto_P25700173_738295.jpg" TargetMode="External"/><Relationship Id="rId_hyperlink_55" Type="http://schemas.openxmlformats.org/officeDocument/2006/relationships/hyperlink" Target="https://nconnect.nicmar.ac.in/storage/profile/ProfilePhoto_P25700279_169785.jpg" TargetMode="External"/><Relationship Id="rId_hyperlink_56" Type="http://schemas.openxmlformats.org/officeDocument/2006/relationships/hyperlink" Target="https://nconnect.nicmar.ac.in/storage/profile/ProfilePhoto_P25700226_217845.jpg" TargetMode="External"/><Relationship Id="rId_hyperlink_57" Type="http://schemas.openxmlformats.org/officeDocument/2006/relationships/hyperlink" Target="https://nconnect.nicmar.ac.in/storage/profile/ProfilePhoto_P25700221_715863.jpg" TargetMode="External"/><Relationship Id="rId_hyperlink_58" Type="http://schemas.openxmlformats.org/officeDocument/2006/relationships/hyperlink" Target="https://nconnect.nicmar.ac.in/storage/profile/ProfilePhoto_P25700199_537268.jpg" TargetMode="External"/><Relationship Id="rId_hyperlink_59" Type="http://schemas.openxmlformats.org/officeDocument/2006/relationships/hyperlink" Target="https://nconnect.nicmar.ac.in/storage/profile/ProfilePhoto_P25700377_893524.jpg" TargetMode="External"/><Relationship Id="rId_hyperlink_60" Type="http://schemas.openxmlformats.org/officeDocument/2006/relationships/hyperlink" Target="https://nconnect.nicmar.ac.in/storage/profile/6a65d4fbd315c.png" TargetMode="External"/><Relationship Id="rId_hyperlink_61" Type="http://schemas.openxmlformats.org/officeDocument/2006/relationships/hyperlink" Target="https://nconnect.nicmar.ac.in/storage/profile/ProfilePhoto_P25700003_859234.jpg" TargetMode="External"/><Relationship Id="rId_hyperlink_62" Type="http://schemas.openxmlformats.org/officeDocument/2006/relationships/hyperlink" Target="https://nconnect.nicmar.ac.in/storage/profile/ProfilePhoto_P25700112_517384.jpg" TargetMode="External"/><Relationship Id="rId_hyperlink_63" Type="http://schemas.openxmlformats.org/officeDocument/2006/relationships/hyperlink" Target="https://nconnect.nicmar.ac.in/storage/profile/ProfilePhoto_P25700315_842651.jpg" TargetMode="External"/><Relationship Id="rId_hyperlink_64" Type="http://schemas.openxmlformats.org/officeDocument/2006/relationships/hyperlink" Target="https://nconnect.nicmar.ac.in/storage/profile/ProfilePhoto_P25700584_287936.jpg" TargetMode="External"/><Relationship Id="rId_hyperlink_65" Type="http://schemas.openxmlformats.org/officeDocument/2006/relationships/hyperlink" Target="https://nconnect.nicmar.ac.in/storage/profile/ProfilePhoto_P25701019_941678.jpg" TargetMode="External"/><Relationship Id="rId_hyperlink_66" Type="http://schemas.openxmlformats.org/officeDocument/2006/relationships/hyperlink" Target="https://nconnect.nicmar.ac.in/storage/profile/ProfilePhoto_P25701079_578231.jpg" TargetMode="External"/><Relationship Id="rId_hyperlink_67" Type="http://schemas.openxmlformats.org/officeDocument/2006/relationships/hyperlink" Target="https://nconnect.nicmar.ac.in/storage/profile/ProfilePhoto_P25701096_463592.jpg" TargetMode="External"/><Relationship Id="rId_hyperlink_68" Type="http://schemas.openxmlformats.org/officeDocument/2006/relationships/hyperlink" Target="https://nconnect.nicmar.ac.in/storage/profile/ProfilePhoto_P25701146_485671.jpg" TargetMode="External"/><Relationship Id="rId_hyperlink_69" Type="http://schemas.openxmlformats.org/officeDocument/2006/relationships/hyperlink" Target="https://nconnect.nicmar.ac.in/storage/profile/6a658926a6983.png" TargetMode="External"/><Relationship Id="rId_hyperlink_70" Type="http://schemas.openxmlformats.org/officeDocument/2006/relationships/hyperlink" Target="https://nconnect.nicmar.ac.in/storage/profile/ProfilePhoto_P25700001_756293.jpg" TargetMode="External"/><Relationship Id="rId_hyperlink_71" Type="http://schemas.openxmlformats.org/officeDocument/2006/relationships/hyperlink" Target="https://nconnect.nicmar.ac.in/storage/profile/ProfilePhoto_P25700002_549178.jpg" TargetMode="External"/><Relationship Id="rId_hyperlink_72" Type="http://schemas.openxmlformats.org/officeDocument/2006/relationships/hyperlink" Target="https://nconnect.nicmar.ac.in/storage/profile/ProfilePhoto_P25700004_129356.jpg" TargetMode="External"/><Relationship Id="rId_hyperlink_73" Type="http://schemas.openxmlformats.org/officeDocument/2006/relationships/hyperlink" Target="https://nconnect.nicmar.ac.in/storage/profile/ProfilePhoto_P25700005_154637.jpg" TargetMode="External"/><Relationship Id="rId_hyperlink_74" Type="http://schemas.openxmlformats.org/officeDocument/2006/relationships/hyperlink" Target="https://nconnect.nicmar.ac.in/storage/profile/ProfilePhoto_P25700006_264513.jpg" TargetMode="External"/><Relationship Id="rId_hyperlink_75" Type="http://schemas.openxmlformats.org/officeDocument/2006/relationships/hyperlink" Target="https://nconnect.nicmar.ac.in/storage/profile/ProfilePhoto_P25700007_897142.jpg" TargetMode="External"/><Relationship Id="rId_hyperlink_76" Type="http://schemas.openxmlformats.org/officeDocument/2006/relationships/hyperlink" Target="https://nconnect.nicmar.ac.in/storage/profile/ProfilePhoto_P25700008_976184.jpg" TargetMode="External"/><Relationship Id="rId_hyperlink_77" Type="http://schemas.openxmlformats.org/officeDocument/2006/relationships/hyperlink" Target="https://nconnect.nicmar.ac.in/storage/profile/ProfilePhoto_P25700009_213976.jpg" TargetMode="External"/><Relationship Id="rId_hyperlink_78" Type="http://schemas.openxmlformats.org/officeDocument/2006/relationships/hyperlink" Target="https://nconnect.nicmar.ac.in/storage/profile/ProfilePhoto_P25700010_176259.jpg" TargetMode="External"/><Relationship Id="rId_hyperlink_79" Type="http://schemas.openxmlformats.org/officeDocument/2006/relationships/hyperlink" Target="https://nconnect.nicmar.ac.in/storage/profile/ProfilePhoto_P25700011_739251.jpg" TargetMode="External"/><Relationship Id="rId_hyperlink_80" Type="http://schemas.openxmlformats.org/officeDocument/2006/relationships/hyperlink" Target="https://nconnect.nicmar.ac.in/storage/profile/ProfilePhoto_P25700012_849315.jpg" TargetMode="External"/><Relationship Id="rId_hyperlink_81" Type="http://schemas.openxmlformats.org/officeDocument/2006/relationships/hyperlink" Target="https://nconnect.nicmar.ac.in/storage/profile/ProfilePhoto_P25700013_135872.jpg" TargetMode="External"/><Relationship Id="rId_hyperlink_82" Type="http://schemas.openxmlformats.org/officeDocument/2006/relationships/hyperlink" Target="https://nconnect.nicmar.ac.in/storage/profile/ProfilePhoto_P25700014_935186.jpg" TargetMode="External"/><Relationship Id="rId_hyperlink_83" Type="http://schemas.openxmlformats.org/officeDocument/2006/relationships/hyperlink" Target="https://nconnect.nicmar.ac.in/storage/profile/ProfilePhoto_P25700015_562978.jpg" TargetMode="External"/><Relationship Id="rId_hyperlink_84" Type="http://schemas.openxmlformats.org/officeDocument/2006/relationships/hyperlink" Target="https://nconnect.nicmar.ac.in/storage/profile/ProfilePhoto_P25700016_175486.jpg" TargetMode="External"/><Relationship Id="rId_hyperlink_85" Type="http://schemas.openxmlformats.org/officeDocument/2006/relationships/hyperlink" Target="https://nconnect.nicmar.ac.in/storage/profile/ProfilePhoto_P25700017_325687.jpg" TargetMode="External"/><Relationship Id="rId_hyperlink_86" Type="http://schemas.openxmlformats.org/officeDocument/2006/relationships/hyperlink" Target="https://nconnect.nicmar.ac.in/storage/profile/ProfilePhoto_P25700018_349268.jpg" TargetMode="External"/><Relationship Id="rId_hyperlink_87" Type="http://schemas.openxmlformats.org/officeDocument/2006/relationships/hyperlink" Target="https://nconnect.nicmar.ac.in/storage/profile/ProfilePhoto_P25700019_693821.jpg" TargetMode="External"/><Relationship Id="rId_hyperlink_88" Type="http://schemas.openxmlformats.org/officeDocument/2006/relationships/hyperlink" Target="https://nconnect.nicmar.ac.in/storage/profile/ProfilePhoto_P25700020_954273.jpg" TargetMode="External"/><Relationship Id="rId_hyperlink_89" Type="http://schemas.openxmlformats.org/officeDocument/2006/relationships/hyperlink" Target="https://nconnect.nicmar.ac.in/storage/profile/ProfilePhoto_P25700021_349526.jpg" TargetMode="External"/><Relationship Id="rId_hyperlink_90" Type="http://schemas.openxmlformats.org/officeDocument/2006/relationships/hyperlink" Target="https://nconnect.nicmar.ac.in/storage/profile/ProfilePhoto_P25700022_164257.jpg" TargetMode="External"/><Relationship Id="rId_hyperlink_91" Type="http://schemas.openxmlformats.org/officeDocument/2006/relationships/hyperlink" Target="https://nconnect.nicmar.ac.in/storage/profile/ProfilePhoto_P25700023_836724.jpg" TargetMode="External"/><Relationship Id="rId_hyperlink_92" Type="http://schemas.openxmlformats.org/officeDocument/2006/relationships/hyperlink" Target="https://nconnect.nicmar.ac.in/storage/profile/ProfilePhoto_P25700024_183579.jpg" TargetMode="External"/><Relationship Id="rId_hyperlink_93" Type="http://schemas.openxmlformats.org/officeDocument/2006/relationships/hyperlink" Target="https://nconnect.nicmar.ac.in/storage/profile/ProfilePhoto_P25700026_164829.jpg" TargetMode="External"/><Relationship Id="rId_hyperlink_94" Type="http://schemas.openxmlformats.org/officeDocument/2006/relationships/hyperlink" Target="https://nconnect.nicmar.ac.in/storage/profile/ProfilePhoto_P25700027_837251.jpg" TargetMode="External"/><Relationship Id="rId_hyperlink_95" Type="http://schemas.openxmlformats.org/officeDocument/2006/relationships/hyperlink" Target="https://nconnect.nicmar.ac.in/storage/profile/ProfilePhoto_P25700029_659732.jpg" TargetMode="External"/><Relationship Id="rId_hyperlink_96" Type="http://schemas.openxmlformats.org/officeDocument/2006/relationships/hyperlink" Target="https://nconnect.nicmar.ac.in/storage/profile/ProfilePhoto_P25700030_527831.jpg" TargetMode="External"/><Relationship Id="rId_hyperlink_97" Type="http://schemas.openxmlformats.org/officeDocument/2006/relationships/hyperlink" Target="https://nconnect.nicmar.ac.in/storage/profile/ProfilePhoto_P25700032_169785.jpg" TargetMode="External"/><Relationship Id="rId_hyperlink_98" Type="http://schemas.openxmlformats.org/officeDocument/2006/relationships/hyperlink" Target="https://nconnect.nicmar.ac.in/storage/profile/ProfilePhoto_P25700033_798215.jpg" TargetMode="External"/><Relationship Id="rId_hyperlink_99" Type="http://schemas.openxmlformats.org/officeDocument/2006/relationships/hyperlink" Target="https://nconnect.nicmar.ac.in/storage/profile/ProfilePhoto_P25700034_597426.jpg" TargetMode="External"/><Relationship Id="rId_hyperlink_100" Type="http://schemas.openxmlformats.org/officeDocument/2006/relationships/hyperlink" Target="https://nconnect.nicmar.ac.in/storage/profile/ProfilePhoto_P25700035_724139.jpg" TargetMode="External"/><Relationship Id="rId_hyperlink_101" Type="http://schemas.openxmlformats.org/officeDocument/2006/relationships/hyperlink" Target="https://nconnect.nicmar.ac.in/storage/profile/ProfilePhoto_P25700036_987541.jpg" TargetMode="External"/><Relationship Id="rId_hyperlink_102" Type="http://schemas.openxmlformats.org/officeDocument/2006/relationships/hyperlink" Target="https://nconnect.nicmar.ac.in/storage/profile/ProfilePhoto_P25700037_381245.jpg" TargetMode="External"/><Relationship Id="rId_hyperlink_103" Type="http://schemas.openxmlformats.org/officeDocument/2006/relationships/hyperlink" Target="https://nconnect.nicmar.ac.in/storage/profile/ProfilePhoto_P25700038_471395.jpg" TargetMode="External"/><Relationship Id="rId_hyperlink_104" Type="http://schemas.openxmlformats.org/officeDocument/2006/relationships/hyperlink" Target="https://nconnect.nicmar.ac.in/storage/profile/ProfilePhoto_P25700039_852764.jpg" TargetMode="External"/><Relationship Id="rId_hyperlink_105" Type="http://schemas.openxmlformats.org/officeDocument/2006/relationships/hyperlink" Target="https://nconnect.nicmar.ac.in/storage/profile/ProfilePhoto_P25700041_954768.jpg" TargetMode="External"/><Relationship Id="rId_hyperlink_106" Type="http://schemas.openxmlformats.org/officeDocument/2006/relationships/hyperlink" Target="https://nconnect.nicmar.ac.in/storage/profile/ProfilePhoto_P25700042_851493.jpg" TargetMode="External"/><Relationship Id="rId_hyperlink_107" Type="http://schemas.openxmlformats.org/officeDocument/2006/relationships/hyperlink" Target="https://nconnect.nicmar.ac.in/storage/profile/ProfilePhoto_P25700043_197362.jpg" TargetMode="External"/><Relationship Id="rId_hyperlink_108" Type="http://schemas.openxmlformats.org/officeDocument/2006/relationships/hyperlink" Target="https://nconnect.nicmar.ac.in/storage/profile/ProfilePhoto_P25700044_489275.jpg" TargetMode="External"/><Relationship Id="rId_hyperlink_109" Type="http://schemas.openxmlformats.org/officeDocument/2006/relationships/hyperlink" Target="https://nconnect.nicmar.ac.in/storage/profile/ProfilePhoto_P25700045_159487.jpg" TargetMode="External"/><Relationship Id="rId_hyperlink_110" Type="http://schemas.openxmlformats.org/officeDocument/2006/relationships/hyperlink" Target="https://nconnect.nicmar.ac.in/storage/profile/ProfilePhoto_P25700046_792813.jpg" TargetMode="External"/><Relationship Id="rId_hyperlink_111" Type="http://schemas.openxmlformats.org/officeDocument/2006/relationships/hyperlink" Target="https://nconnect.nicmar.ac.in/storage/profile/6a64976dc8482.png" TargetMode="External"/><Relationship Id="rId_hyperlink_112" Type="http://schemas.openxmlformats.org/officeDocument/2006/relationships/hyperlink" Target="https://nconnect.nicmar.ac.in/storage/profile/ProfilePhoto_P25700049_267981.jpg" TargetMode="External"/><Relationship Id="rId_hyperlink_113" Type="http://schemas.openxmlformats.org/officeDocument/2006/relationships/hyperlink" Target="https://nconnect.nicmar.ac.in/storage/profile/ProfilePhoto_P25700050_627491.jpg" TargetMode="External"/><Relationship Id="rId_hyperlink_114" Type="http://schemas.openxmlformats.org/officeDocument/2006/relationships/hyperlink" Target="https://nconnect.nicmar.ac.in/storage/profile/ProfilePhoto_P25700051_624359.jpg" TargetMode="External"/><Relationship Id="rId_hyperlink_115" Type="http://schemas.openxmlformats.org/officeDocument/2006/relationships/hyperlink" Target="https://nconnect.nicmar.ac.in/storage/profile/ProfilePhoto_P25700052_698342.jpg" TargetMode="External"/><Relationship Id="rId_hyperlink_116" Type="http://schemas.openxmlformats.org/officeDocument/2006/relationships/hyperlink" Target="https://nconnect.nicmar.ac.in/storage/profile/ProfilePhoto_P25700054_125897.jpg" TargetMode="External"/><Relationship Id="rId_hyperlink_117" Type="http://schemas.openxmlformats.org/officeDocument/2006/relationships/hyperlink" Target="https://nconnect.nicmar.ac.in/storage/profile/ProfilePhoto_P25700055_381546.jpg" TargetMode="External"/><Relationship Id="rId_hyperlink_118" Type="http://schemas.openxmlformats.org/officeDocument/2006/relationships/hyperlink" Target="https://nconnect.nicmar.ac.in/storage/profile/ProfilePhoto_P25700056_462197.jpg" TargetMode="External"/><Relationship Id="rId_hyperlink_119" Type="http://schemas.openxmlformats.org/officeDocument/2006/relationships/hyperlink" Target="https://nconnect.nicmar.ac.in/storage/profile/ProfilePhoto_P25700057_983714.jpg" TargetMode="External"/><Relationship Id="rId_hyperlink_120" Type="http://schemas.openxmlformats.org/officeDocument/2006/relationships/hyperlink" Target="https://nconnect.nicmar.ac.in/storage/profile/ProfilePhoto_P25700058_548397.jpg" TargetMode="External"/><Relationship Id="rId_hyperlink_121" Type="http://schemas.openxmlformats.org/officeDocument/2006/relationships/hyperlink" Target="https://nconnect.nicmar.ac.in/storage/profile/ProfilePhoto_P25700059_679482.jpg" TargetMode="External"/><Relationship Id="rId_hyperlink_122" Type="http://schemas.openxmlformats.org/officeDocument/2006/relationships/hyperlink" Target="https://nconnect.nicmar.ac.in/storage/profile/ProfilePhoto_P25700060_469738.jpg" TargetMode="External"/><Relationship Id="rId_hyperlink_123" Type="http://schemas.openxmlformats.org/officeDocument/2006/relationships/hyperlink" Target="https://nconnect.nicmar.ac.in/storage/profile/ProfilePhoto_P25700061_348925.jpg" TargetMode="External"/><Relationship Id="rId_hyperlink_124" Type="http://schemas.openxmlformats.org/officeDocument/2006/relationships/hyperlink" Target="https://nconnect.nicmar.ac.in/storage/profile/ProfilePhoto_P25700063_819562.jpg" TargetMode="External"/><Relationship Id="rId_hyperlink_125" Type="http://schemas.openxmlformats.org/officeDocument/2006/relationships/hyperlink" Target="https://nconnect.nicmar.ac.in/storage/profile/ProfilePhoto_P25700064_658724.jpg" TargetMode="External"/><Relationship Id="rId_hyperlink_126" Type="http://schemas.openxmlformats.org/officeDocument/2006/relationships/hyperlink" Target="https://nconnect.nicmar.ac.in/storage/profile/ProfilePhoto_P25700065_754213.jpg" TargetMode="External"/><Relationship Id="rId_hyperlink_127" Type="http://schemas.openxmlformats.org/officeDocument/2006/relationships/hyperlink" Target="https://nconnect.nicmar.ac.in/storage/profile/ProfilePhoto_P25700066_218945.jpg" TargetMode="External"/><Relationship Id="rId_hyperlink_128" Type="http://schemas.openxmlformats.org/officeDocument/2006/relationships/hyperlink" Target="https://nconnect.nicmar.ac.in/storage/profile/ProfilePhoto_P25700067_296354.jpg" TargetMode="External"/><Relationship Id="rId_hyperlink_129" Type="http://schemas.openxmlformats.org/officeDocument/2006/relationships/hyperlink" Target="https://nconnect.nicmar.ac.in/storage/profile/ProfilePhoto_P25700068_416927.jpg" TargetMode="External"/><Relationship Id="rId_hyperlink_130" Type="http://schemas.openxmlformats.org/officeDocument/2006/relationships/hyperlink" Target="https://nconnect.nicmar.ac.in/storage/profile/ProfilePhoto_P25700069_452369.jpg" TargetMode="External"/><Relationship Id="rId_hyperlink_131" Type="http://schemas.openxmlformats.org/officeDocument/2006/relationships/hyperlink" Target="https://nconnect.nicmar.ac.in/storage/profile/ProfilePhoto_P25700070_589147.jpg" TargetMode="External"/><Relationship Id="rId_hyperlink_132" Type="http://schemas.openxmlformats.org/officeDocument/2006/relationships/hyperlink" Target="https://nconnect.nicmar.ac.in/storage/profile/ProfilePhoto_P25700071_679325.jpg" TargetMode="External"/><Relationship Id="rId_hyperlink_133" Type="http://schemas.openxmlformats.org/officeDocument/2006/relationships/hyperlink" Target="https://nconnect.nicmar.ac.in/storage/profile/ProfilePhoto_P25700072_317845.jpg" TargetMode="External"/><Relationship Id="rId_hyperlink_134" Type="http://schemas.openxmlformats.org/officeDocument/2006/relationships/hyperlink" Target="https://nconnect.nicmar.ac.in/storage/profile/ProfilePhoto_P25700073_752198.jpg" TargetMode="External"/><Relationship Id="rId_hyperlink_135" Type="http://schemas.openxmlformats.org/officeDocument/2006/relationships/hyperlink" Target="https://nconnect.nicmar.ac.in/storage/profile/ProfilePhoto_P25700074_653724.jpg" TargetMode="External"/><Relationship Id="rId_hyperlink_136" Type="http://schemas.openxmlformats.org/officeDocument/2006/relationships/hyperlink" Target="https://nconnect.nicmar.ac.in/storage/profile/ProfilePhoto_P25700075_647825.jpg" TargetMode="External"/><Relationship Id="rId_hyperlink_137" Type="http://schemas.openxmlformats.org/officeDocument/2006/relationships/hyperlink" Target="https://nconnect.nicmar.ac.in/storage/profile/ProfilePhoto_P25700076_896241.jpg" TargetMode="External"/><Relationship Id="rId_hyperlink_138" Type="http://schemas.openxmlformats.org/officeDocument/2006/relationships/hyperlink" Target="https://nconnect.nicmar.ac.in/storage/profile/ProfilePhoto_P25700077_256193.jpg" TargetMode="External"/><Relationship Id="rId_hyperlink_139" Type="http://schemas.openxmlformats.org/officeDocument/2006/relationships/hyperlink" Target="https://nconnect.nicmar.ac.in/storage/profile/ProfilePhoto_P25700078_578396.jpg" TargetMode="External"/><Relationship Id="rId_hyperlink_140" Type="http://schemas.openxmlformats.org/officeDocument/2006/relationships/hyperlink" Target="https://nconnect.nicmar.ac.in/storage/profile/ProfilePhoto_P25700079_752381.jpg" TargetMode="External"/><Relationship Id="rId_hyperlink_141" Type="http://schemas.openxmlformats.org/officeDocument/2006/relationships/hyperlink" Target="https://nconnect.nicmar.ac.in/storage/profile/ProfilePhoto_P25700080_357284.jpg" TargetMode="External"/><Relationship Id="rId_hyperlink_142" Type="http://schemas.openxmlformats.org/officeDocument/2006/relationships/hyperlink" Target="https://nconnect.nicmar.ac.in/storage/profile/ProfilePhoto_P25700081_978456.jpg" TargetMode="External"/><Relationship Id="rId_hyperlink_143" Type="http://schemas.openxmlformats.org/officeDocument/2006/relationships/hyperlink" Target="https://nconnect.nicmar.ac.in/storage/profile/ProfilePhoto_P25700082_853691.jpg" TargetMode="External"/><Relationship Id="rId_hyperlink_144" Type="http://schemas.openxmlformats.org/officeDocument/2006/relationships/hyperlink" Target="https://nconnect.nicmar.ac.in/storage/profile/ProfilePhoto_P25700083_543168.jpg" TargetMode="External"/><Relationship Id="rId_hyperlink_145" Type="http://schemas.openxmlformats.org/officeDocument/2006/relationships/hyperlink" Target="https://nconnect.nicmar.ac.in/storage/profile/ProfilePhoto_P25700084_671924.jpg" TargetMode="External"/><Relationship Id="rId_hyperlink_146" Type="http://schemas.openxmlformats.org/officeDocument/2006/relationships/hyperlink" Target="https://nconnect.nicmar.ac.in/storage/profile/ProfilePhoto_P25700085_527189.jpg" TargetMode="External"/><Relationship Id="rId_hyperlink_147" Type="http://schemas.openxmlformats.org/officeDocument/2006/relationships/hyperlink" Target="https://nconnect.nicmar.ac.in/storage/profile/ProfilePhoto_P25700086_943578.jpg" TargetMode="External"/><Relationship Id="rId_hyperlink_148" Type="http://schemas.openxmlformats.org/officeDocument/2006/relationships/hyperlink" Target="https://nconnect.nicmar.ac.in/storage/profile/ProfilePhoto_P25700087_527389.jpg" TargetMode="External"/><Relationship Id="rId_hyperlink_149" Type="http://schemas.openxmlformats.org/officeDocument/2006/relationships/hyperlink" Target="https://nconnect.nicmar.ac.in/storage/profile/ProfilePhoto_P25700088_736859.jpg" TargetMode="External"/><Relationship Id="rId_hyperlink_150" Type="http://schemas.openxmlformats.org/officeDocument/2006/relationships/hyperlink" Target="https://nconnect.nicmar.ac.in/storage/profile/ProfilePhoto_P25700089_931658.jpg" TargetMode="External"/><Relationship Id="rId_hyperlink_151" Type="http://schemas.openxmlformats.org/officeDocument/2006/relationships/hyperlink" Target="https://nconnect.nicmar.ac.in/storage/profile/ProfilePhoto_P25700090_678295.jpg" TargetMode="External"/><Relationship Id="rId_hyperlink_152" Type="http://schemas.openxmlformats.org/officeDocument/2006/relationships/hyperlink" Target="https://nconnect.nicmar.ac.in/storage/profile/ProfilePhoto_P25700091_861592.jpg" TargetMode="External"/><Relationship Id="rId_hyperlink_153" Type="http://schemas.openxmlformats.org/officeDocument/2006/relationships/hyperlink" Target="https://nconnect.nicmar.ac.in/storage/profile/ProfilePhoto_P25700092_346187.jpg" TargetMode="External"/><Relationship Id="rId_hyperlink_154" Type="http://schemas.openxmlformats.org/officeDocument/2006/relationships/hyperlink" Target="https://nconnect.nicmar.ac.in/storage/profile/ProfilePhoto_P25700093_764528.jpg" TargetMode="External"/><Relationship Id="rId_hyperlink_155" Type="http://schemas.openxmlformats.org/officeDocument/2006/relationships/hyperlink" Target="https://nconnect.nicmar.ac.in/storage/profile/ProfilePhoto_P25700094_172359.jpg" TargetMode="External"/><Relationship Id="rId_hyperlink_156" Type="http://schemas.openxmlformats.org/officeDocument/2006/relationships/hyperlink" Target="https://nconnect.nicmar.ac.in/storage/profile/ProfilePhoto_P25700095_258476.jpg" TargetMode="External"/><Relationship Id="rId_hyperlink_157" Type="http://schemas.openxmlformats.org/officeDocument/2006/relationships/hyperlink" Target="https://nconnect.nicmar.ac.in/storage/profile/ProfilePhoto_P25700096_597461.jpg" TargetMode="External"/><Relationship Id="rId_hyperlink_158" Type="http://schemas.openxmlformats.org/officeDocument/2006/relationships/hyperlink" Target="https://nconnect.nicmar.ac.in/storage/profile/6a665bbd8e653.png" TargetMode="External"/><Relationship Id="rId_hyperlink_159" Type="http://schemas.openxmlformats.org/officeDocument/2006/relationships/hyperlink" Target="https://nconnect.nicmar.ac.in/storage/profile/ProfilePhoto_P25700098_621459.jpg" TargetMode="External"/><Relationship Id="rId_hyperlink_160" Type="http://schemas.openxmlformats.org/officeDocument/2006/relationships/hyperlink" Target="https://nconnect.nicmar.ac.in/storage/profile/ProfilePhoto_P25700099_561739.jpg" TargetMode="External"/><Relationship Id="rId_hyperlink_161" Type="http://schemas.openxmlformats.org/officeDocument/2006/relationships/hyperlink" Target="https://nconnect.nicmar.ac.in/storage/profile/ProfilePhoto_P25700100_631259.jpg" TargetMode="External"/><Relationship Id="rId_hyperlink_162" Type="http://schemas.openxmlformats.org/officeDocument/2006/relationships/hyperlink" Target="https://nconnect.nicmar.ac.in/storage/profile/ProfilePhoto_P25700101_136785.jpg" TargetMode="External"/><Relationship Id="rId_hyperlink_163" Type="http://schemas.openxmlformats.org/officeDocument/2006/relationships/hyperlink" Target="https://nconnect.nicmar.ac.in/storage/profile/ProfilePhoto_P25700103_548732.jpg" TargetMode="External"/><Relationship Id="rId_hyperlink_164" Type="http://schemas.openxmlformats.org/officeDocument/2006/relationships/hyperlink" Target="https://nconnect.nicmar.ac.in/storage/profile/ProfilePhoto_P25700104_637154.jpg" TargetMode="External"/><Relationship Id="rId_hyperlink_165" Type="http://schemas.openxmlformats.org/officeDocument/2006/relationships/hyperlink" Target="https://nconnect.nicmar.ac.in/storage/profile/ProfilePhoto_P25700105_329654.jpg" TargetMode="External"/><Relationship Id="rId_hyperlink_166" Type="http://schemas.openxmlformats.org/officeDocument/2006/relationships/hyperlink" Target="https://nconnect.nicmar.ac.in/storage/profile/ProfilePhoto_P25700106_635142.jpg" TargetMode="External"/><Relationship Id="rId_hyperlink_167" Type="http://schemas.openxmlformats.org/officeDocument/2006/relationships/hyperlink" Target="https://nconnect.nicmar.ac.in/storage/profile/ProfilePhoto_P25700107_215674.jpg" TargetMode="External"/><Relationship Id="rId_hyperlink_168" Type="http://schemas.openxmlformats.org/officeDocument/2006/relationships/hyperlink" Target="https://nconnect.nicmar.ac.in/storage/profile/ProfilePhoto_P25700108_352764.jpg" TargetMode="External"/><Relationship Id="rId_hyperlink_169" Type="http://schemas.openxmlformats.org/officeDocument/2006/relationships/hyperlink" Target="https://nconnect.nicmar.ac.in/storage/profile/ProfilePhoto_P25700109_129586.jpg" TargetMode="External"/><Relationship Id="rId_hyperlink_170" Type="http://schemas.openxmlformats.org/officeDocument/2006/relationships/hyperlink" Target="https://nconnect.nicmar.ac.in/storage/profile/ProfilePhoto_P25700110_587169.jpg" TargetMode="External"/><Relationship Id="rId_hyperlink_171" Type="http://schemas.openxmlformats.org/officeDocument/2006/relationships/hyperlink" Target="https://nconnect.nicmar.ac.in/storage/profile/ProfilePhoto_P25700111_718243.jpg" TargetMode="External"/><Relationship Id="rId_hyperlink_172" Type="http://schemas.openxmlformats.org/officeDocument/2006/relationships/hyperlink" Target="https://nconnect.nicmar.ac.in/storage/profile/ProfilePhoto_P25700113_721496.jpg" TargetMode="External"/><Relationship Id="rId_hyperlink_173" Type="http://schemas.openxmlformats.org/officeDocument/2006/relationships/hyperlink" Target="https://nconnect.nicmar.ac.in/storage/profile/ProfilePhoto_P25700114_648312.jpg" TargetMode="External"/><Relationship Id="rId_hyperlink_174" Type="http://schemas.openxmlformats.org/officeDocument/2006/relationships/hyperlink" Target="https://nconnect.nicmar.ac.in/storage/profile/ProfilePhoto_P25700115_875296.jpg" TargetMode="External"/><Relationship Id="rId_hyperlink_175" Type="http://schemas.openxmlformats.org/officeDocument/2006/relationships/hyperlink" Target="https://nconnect.nicmar.ac.in/storage/profile/ProfilePhoto_P25700116_731254.jpg" TargetMode="External"/><Relationship Id="rId_hyperlink_176" Type="http://schemas.openxmlformats.org/officeDocument/2006/relationships/hyperlink" Target="https://nconnect.nicmar.ac.in/storage/profile/ProfilePhoto_P25700117_189624.jpg" TargetMode="External"/><Relationship Id="rId_hyperlink_177" Type="http://schemas.openxmlformats.org/officeDocument/2006/relationships/hyperlink" Target="https://nconnect.nicmar.ac.in/storage/profile/ProfilePhoto_P25700118_148736.jpg" TargetMode="External"/><Relationship Id="rId_hyperlink_178" Type="http://schemas.openxmlformats.org/officeDocument/2006/relationships/hyperlink" Target="https://nconnect.nicmar.ac.in/storage/profile/ProfilePhoto_P25700119_915374.jpg" TargetMode="External"/><Relationship Id="rId_hyperlink_179" Type="http://schemas.openxmlformats.org/officeDocument/2006/relationships/hyperlink" Target="https://nconnect.nicmar.ac.in/storage/profile/ProfilePhoto_P25700121_694527.jpg" TargetMode="External"/><Relationship Id="rId_hyperlink_180" Type="http://schemas.openxmlformats.org/officeDocument/2006/relationships/hyperlink" Target="https://nconnect.nicmar.ac.in/storage/profile/ProfilePhoto_P25700122_231978.jpg" TargetMode="External"/><Relationship Id="rId_hyperlink_181" Type="http://schemas.openxmlformats.org/officeDocument/2006/relationships/hyperlink" Target="https://nconnect.nicmar.ac.in/storage/profile/ProfilePhoto_P25700123_419637.jpg" TargetMode="External"/><Relationship Id="rId_hyperlink_182" Type="http://schemas.openxmlformats.org/officeDocument/2006/relationships/hyperlink" Target="https://nconnect.nicmar.ac.in/storage/profile/ProfilePhoto_P25700124_567432.jpg" TargetMode="External"/><Relationship Id="rId_hyperlink_183" Type="http://schemas.openxmlformats.org/officeDocument/2006/relationships/hyperlink" Target="https://nconnect.nicmar.ac.in/storage/profile/ProfilePhoto_P25700125_234987.jpg" TargetMode="External"/><Relationship Id="rId_hyperlink_184" Type="http://schemas.openxmlformats.org/officeDocument/2006/relationships/hyperlink" Target="https://nconnect.nicmar.ac.in/storage/profile/ProfilePhoto_P25700126_934175.jpg" TargetMode="External"/><Relationship Id="rId_hyperlink_185" Type="http://schemas.openxmlformats.org/officeDocument/2006/relationships/hyperlink" Target="https://nconnect.nicmar.ac.in/storage/profile/ProfilePhoto_P25700127_184296.jpg" TargetMode="External"/><Relationship Id="rId_hyperlink_186" Type="http://schemas.openxmlformats.org/officeDocument/2006/relationships/hyperlink" Target="https://nconnect.nicmar.ac.in/storage/profile/ProfilePhoto_P25700128_169427.jpg" TargetMode="External"/><Relationship Id="rId_hyperlink_187" Type="http://schemas.openxmlformats.org/officeDocument/2006/relationships/hyperlink" Target="https://nconnect.nicmar.ac.in/storage/profile/ProfilePhoto_P25700129_792154.jpg" TargetMode="External"/><Relationship Id="rId_hyperlink_188" Type="http://schemas.openxmlformats.org/officeDocument/2006/relationships/hyperlink" Target="https://nconnect.nicmar.ac.in/storage/profile/ProfilePhoto_P25700130_468259.jpg" TargetMode="External"/><Relationship Id="rId_hyperlink_189" Type="http://schemas.openxmlformats.org/officeDocument/2006/relationships/hyperlink" Target="https://nconnect.nicmar.ac.in/storage/profile/ProfilePhoto_P25700131_136529.jpg" TargetMode="External"/><Relationship Id="rId_hyperlink_190" Type="http://schemas.openxmlformats.org/officeDocument/2006/relationships/hyperlink" Target="https://nconnect.nicmar.ac.in/storage/profile/ProfilePhoto_P25700132_591768.jpg" TargetMode="External"/><Relationship Id="rId_hyperlink_191" Type="http://schemas.openxmlformats.org/officeDocument/2006/relationships/hyperlink" Target="https://nconnect.nicmar.ac.in/storage/profile/ProfilePhoto_P25700133_325479.jpg" TargetMode="External"/><Relationship Id="rId_hyperlink_192" Type="http://schemas.openxmlformats.org/officeDocument/2006/relationships/hyperlink" Target="https://nconnect.nicmar.ac.in/storage/profile/ProfilePhoto_P25700134_358914.jpg" TargetMode="External"/><Relationship Id="rId_hyperlink_193" Type="http://schemas.openxmlformats.org/officeDocument/2006/relationships/hyperlink" Target="https://nconnect.nicmar.ac.in/storage/profile/ProfilePhoto_P25700135_792418.jpg" TargetMode="External"/><Relationship Id="rId_hyperlink_194" Type="http://schemas.openxmlformats.org/officeDocument/2006/relationships/hyperlink" Target="https://nconnect.nicmar.ac.in/storage/profile/ProfilePhoto_P25700136_196742.jpg" TargetMode="External"/><Relationship Id="rId_hyperlink_195" Type="http://schemas.openxmlformats.org/officeDocument/2006/relationships/hyperlink" Target="https://nconnect.nicmar.ac.in/storage/profile/ProfilePhoto_P25700137_823974.jpg" TargetMode="External"/><Relationship Id="rId_hyperlink_196" Type="http://schemas.openxmlformats.org/officeDocument/2006/relationships/hyperlink" Target="https://nconnect.nicmar.ac.in/storage/profile/ProfilePhoto_P25700138_159438.jpg" TargetMode="External"/><Relationship Id="rId_hyperlink_197" Type="http://schemas.openxmlformats.org/officeDocument/2006/relationships/hyperlink" Target="https://nconnect.nicmar.ac.in/storage/profile/ProfilePhoto_P25700139_421357.jpg" TargetMode="External"/><Relationship Id="rId_hyperlink_198" Type="http://schemas.openxmlformats.org/officeDocument/2006/relationships/hyperlink" Target="https://nconnect.nicmar.ac.in/storage/profile/ProfilePhoto_P25700140_347569.jpg" TargetMode="External"/><Relationship Id="rId_hyperlink_199" Type="http://schemas.openxmlformats.org/officeDocument/2006/relationships/hyperlink" Target="https://nconnect.nicmar.ac.in/storage/profile/ProfilePhoto_P25700141_362759.jpg" TargetMode="External"/><Relationship Id="rId_hyperlink_200" Type="http://schemas.openxmlformats.org/officeDocument/2006/relationships/hyperlink" Target="https://nconnect.nicmar.ac.in/storage/profile/ProfilePhoto_P25700142_683421.jpg" TargetMode="External"/><Relationship Id="rId_hyperlink_201" Type="http://schemas.openxmlformats.org/officeDocument/2006/relationships/hyperlink" Target="https://nconnect.nicmar.ac.in/storage/profile/ProfilePhoto_P25700143_172536.jpg" TargetMode="External"/><Relationship Id="rId_hyperlink_202" Type="http://schemas.openxmlformats.org/officeDocument/2006/relationships/hyperlink" Target="https://nconnect.nicmar.ac.in/storage/profile/ProfilePhoto_P25700144_267184.jpg" TargetMode="External"/><Relationship Id="rId_hyperlink_203" Type="http://schemas.openxmlformats.org/officeDocument/2006/relationships/hyperlink" Target="https://nconnect.nicmar.ac.in/storage/profile/ProfilePhoto_P25700145_843721.jpg" TargetMode="External"/><Relationship Id="rId_hyperlink_204" Type="http://schemas.openxmlformats.org/officeDocument/2006/relationships/hyperlink" Target="https://nconnect.nicmar.ac.in/storage/profile/ProfilePhoto_P25700146_681345.jpg" TargetMode="External"/><Relationship Id="rId_hyperlink_205" Type="http://schemas.openxmlformats.org/officeDocument/2006/relationships/hyperlink" Target="https://nconnect.nicmar.ac.in/storage/profile/ProfilePhoto_P25700147_396871.jpg" TargetMode="External"/><Relationship Id="rId_hyperlink_206" Type="http://schemas.openxmlformats.org/officeDocument/2006/relationships/hyperlink" Target="https://nconnect.nicmar.ac.in/storage/profile/ProfilePhoto_P25700148_324976.jpg" TargetMode="External"/><Relationship Id="rId_hyperlink_207" Type="http://schemas.openxmlformats.org/officeDocument/2006/relationships/hyperlink" Target="https://nconnect.nicmar.ac.in/storage/profile/ProfilePhoto_P25700150_725196.jpg" TargetMode="External"/><Relationship Id="rId_hyperlink_208" Type="http://schemas.openxmlformats.org/officeDocument/2006/relationships/hyperlink" Target="https://nconnect.nicmar.ac.in/storage/profile/ProfilePhoto_P25700151_798532.jpg" TargetMode="External"/><Relationship Id="rId_hyperlink_209" Type="http://schemas.openxmlformats.org/officeDocument/2006/relationships/hyperlink" Target="https://nconnect.nicmar.ac.in/storage/profile/ProfilePhoto_P25700152_346972.jpg" TargetMode="External"/><Relationship Id="rId_hyperlink_210" Type="http://schemas.openxmlformats.org/officeDocument/2006/relationships/hyperlink" Target="https://nconnect.nicmar.ac.in/storage/profile/ProfilePhoto_P25700153_315628.jpg" TargetMode="External"/><Relationship Id="rId_hyperlink_211" Type="http://schemas.openxmlformats.org/officeDocument/2006/relationships/hyperlink" Target="https://nconnect.nicmar.ac.in/storage/profile/ProfilePhoto_P25700154_792485.jpg" TargetMode="External"/><Relationship Id="rId_hyperlink_212" Type="http://schemas.openxmlformats.org/officeDocument/2006/relationships/hyperlink" Target="https://nconnect.nicmar.ac.in/storage/profile/ProfilePhoto_P25700155_624518.jpg" TargetMode="External"/><Relationship Id="rId_hyperlink_213" Type="http://schemas.openxmlformats.org/officeDocument/2006/relationships/hyperlink" Target="https://nconnect.nicmar.ac.in/storage/profile/ProfilePhoto_P25700156_149783.jpg" TargetMode="External"/><Relationship Id="rId_hyperlink_214" Type="http://schemas.openxmlformats.org/officeDocument/2006/relationships/hyperlink" Target="https://nconnect.nicmar.ac.in/storage/profile/ProfilePhoto_P25700157_196428.jpg" TargetMode="External"/><Relationship Id="rId_hyperlink_215" Type="http://schemas.openxmlformats.org/officeDocument/2006/relationships/hyperlink" Target="https://nconnect.nicmar.ac.in/storage/profile/ProfilePhoto_P25700158_196843.jpg" TargetMode="External"/><Relationship Id="rId_hyperlink_216" Type="http://schemas.openxmlformats.org/officeDocument/2006/relationships/hyperlink" Target="https://nconnect.nicmar.ac.in/storage/profile/ProfilePhoto_P25700159_791628.jpg" TargetMode="External"/><Relationship Id="rId_hyperlink_217" Type="http://schemas.openxmlformats.org/officeDocument/2006/relationships/hyperlink" Target="https://nconnect.nicmar.ac.in/storage/profile/ProfilePhoto_P25700160_274951.jpg" TargetMode="External"/><Relationship Id="rId_hyperlink_218" Type="http://schemas.openxmlformats.org/officeDocument/2006/relationships/hyperlink" Target="https://nconnect.nicmar.ac.in/storage/profile/ProfilePhoto_P25700161_896127.jpg" TargetMode="External"/><Relationship Id="rId_hyperlink_219" Type="http://schemas.openxmlformats.org/officeDocument/2006/relationships/hyperlink" Target="https://nconnect.nicmar.ac.in/storage/profile/ProfilePhoto_P25700162_326594.jpg" TargetMode="External"/><Relationship Id="rId_hyperlink_220" Type="http://schemas.openxmlformats.org/officeDocument/2006/relationships/hyperlink" Target="https://nconnect.nicmar.ac.in/storage/profile/ProfilePhoto_P25700163_913852.jpg" TargetMode="External"/><Relationship Id="rId_hyperlink_221" Type="http://schemas.openxmlformats.org/officeDocument/2006/relationships/hyperlink" Target="https://nconnect.nicmar.ac.in/storage/profile/ProfilePhoto_P25700164_746531.jpg" TargetMode="External"/><Relationship Id="rId_hyperlink_222" Type="http://schemas.openxmlformats.org/officeDocument/2006/relationships/hyperlink" Target="https://nconnect.nicmar.ac.in/storage/profile/ProfilePhoto_P25700165_376415.jpg" TargetMode="External"/><Relationship Id="rId_hyperlink_223" Type="http://schemas.openxmlformats.org/officeDocument/2006/relationships/hyperlink" Target="https://nconnect.nicmar.ac.in/storage/profile/ProfilePhoto_P25700166_763589.jpg" TargetMode="External"/><Relationship Id="rId_hyperlink_224" Type="http://schemas.openxmlformats.org/officeDocument/2006/relationships/hyperlink" Target="https://nconnect.nicmar.ac.in/storage/profile/ProfilePhoto_P25700167_351762.jpg" TargetMode="External"/><Relationship Id="rId_hyperlink_225" Type="http://schemas.openxmlformats.org/officeDocument/2006/relationships/hyperlink" Target="https://nconnect.nicmar.ac.in/storage/profile/ProfilePhoto_P25700168_965724.jpg" TargetMode="External"/><Relationship Id="rId_hyperlink_226" Type="http://schemas.openxmlformats.org/officeDocument/2006/relationships/hyperlink" Target="https://nconnect.nicmar.ac.in/storage/profile/ProfilePhoto_P25700169_478621.jpg" TargetMode="External"/><Relationship Id="rId_hyperlink_227" Type="http://schemas.openxmlformats.org/officeDocument/2006/relationships/hyperlink" Target="https://nconnect.nicmar.ac.in/storage/profile/ProfilePhoto_P25700170_489362.jpg" TargetMode="External"/><Relationship Id="rId_hyperlink_228" Type="http://schemas.openxmlformats.org/officeDocument/2006/relationships/hyperlink" Target="https://nconnect.nicmar.ac.in/storage/profile/ProfilePhoto_P25700171_586279.jpg" TargetMode="External"/><Relationship Id="rId_hyperlink_229" Type="http://schemas.openxmlformats.org/officeDocument/2006/relationships/hyperlink" Target="https://nconnect.nicmar.ac.in/storage/profile/ProfilePhoto_P25700172_489631.jpg" TargetMode="External"/><Relationship Id="rId_hyperlink_230" Type="http://schemas.openxmlformats.org/officeDocument/2006/relationships/hyperlink" Target="https://nconnect.nicmar.ac.in/storage/profile/ProfilePhoto_P25700174_784592.jpg" TargetMode="External"/><Relationship Id="rId_hyperlink_231" Type="http://schemas.openxmlformats.org/officeDocument/2006/relationships/hyperlink" Target="https://nconnect.nicmar.ac.in/storage/profile/ProfilePhoto_P25700175_314862.jpg" TargetMode="External"/><Relationship Id="rId_hyperlink_232" Type="http://schemas.openxmlformats.org/officeDocument/2006/relationships/hyperlink" Target="https://nconnect.nicmar.ac.in/storage/profile/ProfilePhoto_P25700176_125376.jpg" TargetMode="External"/><Relationship Id="rId_hyperlink_233" Type="http://schemas.openxmlformats.org/officeDocument/2006/relationships/hyperlink" Target="https://nconnect.nicmar.ac.in/storage/profile/ProfilePhoto_P25700177_264735.jpg" TargetMode="External"/><Relationship Id="rId_hyperlink_234" Type="http://schemas.openxmlformats.org/officeDocument/2006/relationships/hyperlink" Target="https://nconnect.nicmar.ac.in/storage/profile/ProfilePhoto_P25700178_586319.jpg" TargetMode="External"/><Relationship Id="rId_hyperlink_235" Type="http://schemas.openxmlformats.org/officeDocument/2006/relationships/hyperlink" Target="https://nconnect.nicmar.ac.in/storage/profile/ProfilePhoto_P25700179_795823.jpg" TargetMode="External"/><Relationship Id="rId_hyperlink_236" Type="http://schemas.openxmlformats.org/officeDocument/2006/relationships/hyperlink" Target="https://nconnect.nicmar.ac.in/storage/profile/ProfilePhoto_P25700180_516437.jpg" TargetMode="External"/><Relationship Id="rId_hyperlink_237" Type="http://schemas.openxmlformats.org/officeDocument/2006/relationships/hyperlink" Target="https://nconnect.nicmar.ac.in/storage/profile/ProfilePhoto_P25700181_536927.jpg" TargetMode="External"/><Relationship Id="rId_hyperlink_238" Type="http://schemas.openxmlformats.org/officeDocument/2006/relationships/hyperlink" Target="https://nconnect.nicmar.ac.in/storage/profile/ProfilePhoto_P25700182_253687.jpg" TargetMode="External"/><Relationship Id="rId_hyperlink_239" Type="http://schemas.openxmlformats.org/officeDocument/2006/relationships/hyperlink" Target="https://nconnect.nicmar.ac.in/storage/profile/ProfilePhoto_P25700183_831792.jpg" TargetMode="External"/><Relationship Id="rId_hyperlink_240" Type="http://schemas.openxmlformats.org/officeDocument/2006/relationships/hyperlink" Target="https://nconnect.nicmar.ac.in/storage/profile/ProfilePhoto_P25700184_536872.jpg" TargetMode="External"/><Relationship Id="rId_hyperlink_241" Type="http://schemas.openxmlformats.org/officeDocument/2006/relationships/hyperlink" Target="https://nconnect.nicmar.ac.in/storage/profile/ProfilePhoto_P25700185_527946.jpg" TargetMode="External"/><Relationship Id="rId_hyperlink_242" Type="http://schemas.openxmlformats.org/officeDocument/2006/relationships/hyperlink" Target="https://nconnect.nicmar.ac.in/storage/profile/ProfilePhoto_P25700186_952671.jpg" TargetMode="External"/><Relationship Id="rId_hyperlink_243" Type="http://schemas.openxmlformats.org/officeDocument/2006/relationships/hyperlink" Target="https://nconnect.nicmar.ac.in/storage/profile/ProfilePhoto_P25700187_358146.jpg" TargetMode="External"/><Relationship Id="rId_hyperlink_244" Type="http://schemas.openxmlformats.org/officeDocument/2006/relationships/hyperlink" Target="https://nconnect.nicmar.ac.in/storage/profile/ProfilePhoto_P25700188_342579.jpg" TargetMode="External"/><Relationship Id="rId_hyperlink_245" Type="http://schemas.openxmlformats.org/officeDocument/2006/relationships/hyperlink" Target="https://nconnect.nicmar.ac.in/storage/profile/ProfilePhoto_P25700189_658327.jpg" TargetMode="External"/><Relationship Id="rId_hyperlink_246" Type="http://schemas.openxmlformats.org/officeDocument/2006/relationships/hyperlink" Target="https://nconnect.nicmar.ac.in/storage/profile/ProfilePhoto_P25700190_285367.jpg" TargetMode="External"/><Relationship Id="rId_hyperlink_247" Type="http://schemas.openxmlformats.org/officeDocument/2006/relationships/hyperlink" Target="https://nconnect.nicmar.ac.in/storage/profile/ProfilePhoto_P25700191_975138.jpg" TargetMode="External"/><Relationship Id="rId_hyperlink_248" Type="http://schemas.openxmlformats.org/officeDocument/2006/relationships/hyperlink" Target="https://nconnect.nicmar.ac.in/storage/profile/ProfilePhoto_P25700192_921356.jpg" TargetMode="External"/><Relationship Id="rId_hyperlink_249" Type="http://schemas.openxmlformats.org/officeDocument/2006/relationships/hyperlink" Target="https://nconnect.nicmar.ac.in/storage/profile/ProfilePhoto_P25700193_714259.jpg" TargetMode="External"/><Relationship Id="rId_hyperlink_250" Type="http://schemas.openxmlformats.org/officeDocument/2006/relationships/hyperlink" Target="https://nconnect.nicmar.ac.in/storage/profile/ProfilePhoto_P25700194_912563.jpg" TargetMode="External"/><Relationship Id="rId_hyperlink_251" Type="http://schemas.openxmlformats.org/officeDocument/2006/relationships/hyperlink" Target="https://nconnect.nicmar.ac.in/storage/profile/ProfilePhoto_P25700195_426391.jpg" TargetMode="External"/><Relationship Id="rId_hyperlink_252" Type="http://schemas.openxmlformats.org/officeDocument/2006/relationships/hyperlink" Target="https://nconnect.nicmar.ac.in/storage/profile/ProfilePhoto_P25700196_149528.jpg" TargetMode="External"/><Relationship Id="rId_hyperlink_253" Type="http://schemas.openxmlformats.org/officeDocument/2006/relationships/hyperlink" Target="https://nconnect.nicmar.ac.in/storage/profile/ProfilePhoto_P25700197_524673.jpg" TargetMode="External"/><Relationship Id="rId_hyperlink_254" Type="http://schemas.openxmlformats.org/officeDocument/2006/relationships/hyperlink" Target="https://nconnect.nicmar.ac.in/storage/profile/ProfilePhoto_P25700198_974621.jpg" TargetMode="External"/><Relationship Id="rId_hyperlink_255" Type="http://schemas.openxmlformats.org/officeDocument/2006/relationships/hyperlink" Target="https://nconnect.nicmar.ac.in/storage/profile/ProfilePhoto_P25700200_862795.jpg" TargetMode="External"/><Relationship Id="rId_hyperlink_256" Type="http://schemas.openxmlformats.org/officeDocument/2006/relationships/hyperlink" Target="https://nconnect.nicmar.ac.in/storage/profile/ProfilePhoto_P25700201_524138.jpg" TargetMode="External"/><Relationship Id="rId_hyperlink_257" Type="http://schemas.openxmlformats.org/officeDocument/2006/relationships/hyperlink" Target="https://nconnect.nicmar.ac.in/storage/profile/ProfilePhoto_P25700202_916537.jpg" TargetMode="External"/><Relationship Id="rId_hyperlink_258" Type="http://schemas.openxmlformats.org/officeDocument/2006/relationships/hyperlink" Target="https://nconnect.nicmar.ac.in/storage/profile/ProfilePhoto_P25700203_758261.jpg" TargetMode="External"/><Relationship Id="rId_hyperlink_259" Type="http://schemas.openxmlformats.org/officeDocument/2006/relationships/hyperlink" Target="https://nconnect.nicmar.ac.in/storage/profile/ProfilePhoto_P25700204_948512.jpg" TargetMode="External"/><Relationship Id="rId_hyperlink_260" Type="http://schemas.openxmlformats.org/officeDocument/2006/relationships/hyperlink" Target="https://nconnect.nicmar.ac.in/storage/profile/ProfilePhoto_P25700205_853246.jpg" TargetMode="External"/><Relationship Id="rId_hyperlink_261" Type="http://schemas.openxmlformats.org/officeDocument/2006/relationships/hyperlink" Target="https://nconnect.nicmar.ac.in/storage/profile/ProfilePhoto_P25700206_719562.jpg" TargetMode="External"/><Relationship Id="rId_hyperlink_262" Type="http://schemas.openxmlformats.org/officeDocument/2006/relationships/hyperlink" Target="https://nconnect.nicmar.ac.in/storage/profile/ProfilePhoto_P25700207_975832.jpg" TargetMode="External"/><Relationship Id="rId_hyperlink_263" Type="http://schemas.openxmlformats.org/officeDocument/2006/relationships/hyperlink" Target="https://nconnect.nicmar.ac.in/storage/profile/ProfilePhoto_P25700208_794836.jpg" TargetMode="External"/><Relationship Id="rId_hyperlink_264" Type="http://schemas.openxmlformats.org/officeDocument/2006/relationships/hyperlink" Target="https://nconnect.nicmar.ac.in/storage/profile/ProfilePhoto_P25700209_172634.jpg" TargetMode="External"/><Relationship Id="rId_hyperlink_265" Type="http://schemas.openxmlformats.org/officeDocument/2006/relationships/hyperlink" Target="https://nconnect.nicmar.ac.in/storage/profile/ProfilePhoto_P25700210_974213.jpg" TargetMode="External"/><Relationship Id="rId_hyperlink_266" Type="http://schemas.openxmlformats.org/officeDocument/2006/relationships/hyperlink" Target="https://nconnect.nicmar.ac.in/storage/profile/ProfilePhoto_P25700211_374165.jpg" TargetMode="External"/><Relationship Id="rId_hyperlink_267" Type="http://schemas.openxmlformats.org/officeDocument/2006/relationships/hyperlink" Target="https://nconnect.nicmar.ac.in/storage/profile/ProfilePhoto_P25700212_349562.jpg" TargetMode="External"/><Relationship Id="rId_hyperlink_268" Type="http://schemas.openxmlformats.org/officeDocument/2006/relationships/hyperlink" Target="https://nconnect.nicmar.ac.in/storage/profile/ProfilePhoto_P25700213_341679.jpg" TargetMode="External"/><Relationship Id="rId_hyperlink_269" Type="http://schemas.openxmlformats.org/officeDocument/2006/relationships/hyperlink" Target="https://nconnect.nicmar.ac.in/storage/profile/ProfilePhoto_P25700214_983516.jpg" TargetMode="External"/><Relationship Id="rId_hyperlink_270" Type="http://schemas.openxmlformats.org/officeDocument/2006/relationships/hyperlink" Target="https://nconnect.nicmar.ac.in/storage/profile/ProfilePhoto_P25700215_176495.jpg" TargetMode="External"/><Relationship Id="rId_hyperlink_271" Type="http://schemas.openxmlformats.org/officeDocument/2006/relationships/hyperlink" Target="https://nconnect.nicmar.ac.in/storage/profile/ProfilePhoto_P25700216_187954.jpg" TargetMode="External"/><Relationship Id="rId_hyperlink_272" Type="http://schemas.openxmlformats.org/officeDocument/2006/relationships/hyperlink" Target="https://nconnect.nicmar.ac.in/storage/profile/ProfilePhoto_P25700217_691537.jpg" TargetMode="External"/><Relationship Id="rId_hyperlink_273" Type="http://schemas.openxmlformats.org/officeDocument/2006/relationships/hyperlink" Target="https://nconnect.nicmar.ac.in/storage/profile/ProfilePhoto_P25700218_745321.jpg" TargetMode="External"/><Relationship Id="rId_hyperlink_274" Type="http://schemas.openxmlformats.org/officeDocument/2006/relationships/hyperlink" Target="https://nconnect.nicmar.ac.in/storage/profile/ProfilePhoto_P25700219_247813.jpg" TargetMode="External"/><Relationship Id="rId_hyperlink_275" Type="http://schemas.openxmlformats.org/officeDocument/2006/relationships/hyperlink" Target="https://nconnect.nicmar.ac.in/storage/profile/ProfilePhoto_P25700220_175482.jpg" TargetMode="External"/><Relationship Id="rId_hyperlink_276" Type="http://schemas.openxmlformats.org/officeDocument/2006/relationships/hyperlink" Target="https://nconnect.nicmar.ac.in/storage/profile/ProfilePhoto_P25700222_137948.jpg" TargetMode="External"/><Relationship Id="rId_hyperlink_277" Type="http://schemas.openxmlformats.org/officeDocument/2006/relationships/hyperlink" Target="https://nconnect.nicmar.ac.in/storage/profile/ProfilePhoto_P25700223_327691.jpg" TargetMode="External"/><Relationship Id="rId_hyperlink_278" Type="http://schemas.openxmlformats.org/officeDocument/2006/relationships/hyperlink" Target="https://nconnect.nicmar.ac.in/storage/profile/ProfilePhoto_P25700224_261739.jpg" TargetMode="External"/><Relationship Id="rId_hyperlink_279" Type="http://schemas.openxmlformats.org/officeDocument/2006/relationships/hyperlink" Target="https://nconnect.nicmar.ac.in/storage/profile/ProfilePhoto_P25700225_983512.jpg" TargetMode="External"/><Relationship Id="rId_hyperlink_280" Type="http://schemas.openxmlformats.org/officeDocument/2006/relationships/hyperlink" Target="https://nconnect.nicmar.ac.in/storage/profile/ProfilePhoto_P25700227_241753.jpg" TargetMode="External"/><Relationship Id="rId_hyperlink_281" Type="http://schemas.openxmlformats.org/officeDocument/2006/relationships/hyperlink" Target="https://nconnect.nicmar.ac.in/storage/profile/ProfilePhoto_P25700228_279168.jpg" TargetMode="External"/><Relationship Id="rId_hyperlink_282" Type="http://schemas.openxmlformats.org/officeDocument/2006/relationships/hyperlink" Target="https://nconnect.nicmar.ac.in/storage/profile/ProfilePhoto_P25700229_187625.jpg" TargetMode="External"/><Relationship Id="rId_hyperlink_283" Type="http://schemas.openxmlformats.org/officeDocument/2006/relationships/hyperlink" Target="https://nconnect.nicmar.ac.in/storage/profile/ProfilePhoto_P25700230_398462.jpg" TargetMode="External"/><Relationship Id="rId_hyperlink_284" Type="http://schemas.openxmlformats.org/officeDocument/2006/relationships/hyperlink" Target="https://nconnect.nicmar.ac.in/storage/profile/ProfilePhoto_P25700231_485793.jpg" TargetMode="External"/><Relationship Id="rId_hyperlink_285" Type="http://schemas.openxmlformats.org/officeDocument/2006/relationships/hyperlink" Target="https://nconnect.nicmar.ac.in/storage/profile/ProfilePhoto_P25700232_974861.jpg" TargetMode="External"/><Relationship Id="rId_hyperlink_286" Type="http://schemas.openxmlformats.org/officeDocument/2006/relationships/hyperlink" Target="https://nconnect.nicmar.ac.in/storage/profile/ProfilePhoto_P25700233_537914.jpg" TargetMode="External"/><Relationship Id="rId_hyperlink_287" Type="http://schemas.openxmlformats.org/officeDocument/2006/relationships/hyperlink" Target="https://nconnect.nicmar.ac.in/storage/profile/ProfilePhoto_P25700234_527634.jpg" TargetMode="External"/><Relationship Id="rId_hyperlink_288" Type="http://schemas.openxmlformats.org/officeDocument/2006/relationships/hyperlink" Target="https://nconnect.nicmar.ac.in/storage/profile/ProfilePhoto_P25700235_962375.jpg" TargetMode="External"/><Relationship Id="rId_hyperlink_289" Type="http://schemas.openxmlformats.org/officeDocument/2006/relationships/hyperlink" Target="https://nconnect.nicmar.ac.in/storage/profile/ProfilePhoto_P25700236_483619.jpg" TargetMode="External"/><Relationship Id="rId_hyperlink_290" Type="http://schemas.openxmlformats.org/officeDocument/2006/relationships/hyperlink" Target="https://nconnect.nicmar.ac.in/storage/profile/ProfilePhoto_P25700237_972643.jpg" TargetMode="External"/><Relationship Id="rId_hyperlink_291" Type="http://schemas.openxmlformats.org/officeDocument/2006/relationships/hyperlink" Target="https://nconnect.nicmar.ac.in/storage/profile/ProfilePhoto_P25700238_975162.jpg" TargetMode="External"/><Relationship Id="rId_hyperlink_292" Type="http://schemas.openxmlformats.org/officeDocument/2006/relationships/hyperlink" Target="https://nconnect.nicmar.ac.in/storage/profile/ProfilePhoto_P25700239_319765.jpg" TargetMode="External"/><Relationship Id="rId_hyperlink_293" Type="http://schemas.openxmlformats.org/officeDocument/2006/relationships/hyperlink" Target="https://nconnect.nicmar.ac.in/storage/profile/ProfilePhoto_P25700240_513948.jpg" TargetMode="External"/><Relationship Id="rId_hyperlink_294" Type="http://schemas.openxmlformats.org/officeDocument/2006/relationships/hyperlink" Target="https://nconnect.nicmar.ac.in/storage/profile/ProfilePhoto_P25700241_162534.jpg" TargetMode="External"/><Relationship Id="rId_hyperlink_295" Type="http://schemas.openxmlformats.org/officeDocument/2006/relationships/hyperlink" Target="https://nconnect.nicmar.ac.in/storage/profile/ProfilePhoto_P25700242_529817.jpg" TargetMode="External"/><Relationship Id="rId_hyperlink_296" Type="http://schemas.openxmlformats.org/officeDocument/2006/relationships/hyperlink" Target="https://nconnect.nicmar.ac.in/storage/profile/ProfilePhoto_P25700243_752468.jpg" TargetMode="External"/><Relationship Id="rId_hyperlink_297" Type="http://schemas.openxmlformats.org/officeDocument/2006/relationships/hyperlink" Target="https://nconnect.nicmar.ac.in/storage/profile/ProfilePhoto_P25700244_691843.jpg" TargetMode="External"/><Relationship Id="rId_hyperlink_298" Type="http://schemas.openxmlformats.org/officeDocument/2006/relationships/hyperlink" Target="https://nconnect.nicmar.ac.in/storage/profile/ProfilePhoto_P25700245_918463.jpg" TargetMode="External"/><Relationship Id="rId_hyperlink_299" Type="http://schemas.openxmlformats.org/officeDocument/2006/relationships/hyperlink" Target="https://nconnect.nicmar.ac.in/storage/profile/ProfilePhoto_P25700246_546739.jpg" TargetMode="External"/><Relationship Id="rId_hyperlink_300" Type="http://schemas.openxmlformats.org/officeDocument/2006/relationships/hyperlink" Target="https://nconnect.nicmar.ac.in/storage/profile/ProfilePhoto_P25700247_237156.jpg" TargetMode="External"/><Relationship Id="rId_hyperlink_301" Type="http://schemas.openxmlformats.org/officeDocument/2006/relationships/hyperlink" Target="https://nconnect.nicmar.ac.in/storage/profile/ProfilePhoto_P25700248_864927.jpg" TargetMode="External"/><Relationship Id="rId_hyperlink_302" Type="http://schemas.openxmlformats.org/officeDocument/2006/relationships/hyperlink" Target="https://nconnect.nicmar.ac.in/storage/profile/ProfilePhoto_P25700249_159378.jpg" TargetMode="External"/><Relationship Id="rId_hyperlink_303" Type="http://schemas.openxmlformats.org/officeDocument/2006/relationships/hyperlink" Target="https://nconnect.nicmar.ac.in/storage/profile/ProfilePhoto_P25700250_825963.jpg" TargetMode="External"/><Relationship Id="rId_hyperlink_304" Type="http://schemas.openxmlformats.org/officeDocument/2006/relationships/hyperlink" Target="https://nconnect.nicmar.ac.in/storage/profile/ProfilePhoto_P25700251_793658.jpg" TargetMode="External"/><Relationship Id="rId_hyperlink_305" Type="http://schemas.openxmlformats.org/officeDocument/2006/relationships/hyperlink" Target="https://nconnect.nicmar.ac.in/storage/profile/ProfilePhoto_P25700252_286139.jpg" TargetMode="External"/><Relationship Id="rId_hyperlink_306" Type="http://schemas.openxmlformats.org/officeDocument/2006/relationships/hyperlink" Target="https://nconnect.nicmar.ac.in/storage/profile/ProfilePhoto_P25700253_341298.jpg" TargetMode="External"/><Relationship Id="rId_hyperlink_307" Type="http://schemas.openxmlformats.org/officeDocument/2006/relationships/hyperlink" Target="https://nconnect.nicmar.ac.in/storage/profile/6a6807d8292d9.png" TargetMode="External"/><Relationship Id="rId_hyperlink_308" Type="http://schemas.openxmlformats.org/officeDocument/2006/relationships/hyperlink" Target="https://nconnect.nicmar.ac.in/storage/profile/ProfilePhoto_P25700256_314276.jpg" TargetMode="External"/><Relationship Id="rId_hyperlink_309" Type="http://schemas.openxmlformats.org/officeDocument/2006/relationships/hyperlink" Target="https://nconnect.nicmar.ac.in/storage/profile/ProfilePhoto_P25700257_416537.jpg" TargetMode="External"/><Relationship Id="rId_hyperlink_310" Type="http://schemas.openxmlformats.org/officeDocument/2006/relationships/hyperlink" Target="https://nconnect.nicmar.ac.in/storage/profile/ProfilePhoto_P25700258_493578.jpg" TargetMode="External"/><Relationship Id="rId_hyperlink_311" Type="http://schemas.openxmlformats.org/officeDocument/2006/relationships/hyperlink" Target="https://nconnect.nicmar.ac.in/storage/profile/ProfilePhoto_P25700259_153496.jpg" TargetMode="External"/><Relationship Id="rId_hyperlink_312" Type="http://schemas.openxmlformats.org/officeDocument/2006/relationships/hyperlink" Target="https://nconnect.nicmar.ac.in/storage/profile/ProfilePhoto_P25700260_867251.jpg" TargetMode="External"/><Relationship Id="rId_hyperlink_313" Type="http://schemas.openxmlformats.org/officeDocument/2006/relationships/hyperlink" Target="https://nconnect.nicmar.ac.in/storage/profile/ProfilePhoto_P25700261_127954.jpg" TargetMode="External"/><Relationship Id="rId_hyperlink_314" Type="http://schemas.openxmlformats.org/officeDocument/2006/relationships/hyperlink" Target="https://nconnect.nicmar.ac.in/storage/profile/ProfilePhoto_P25700262_867913.jpg" TargetMode="External"/><Relationship Id="rId_hyperlink_315" Type="http://schemas.openxmlformats.org/officeDocument/2006/relationships/hyperlink" Target="https://nconnect.nicmar.ac.in/storage/profile/ProfilePhoto_P25700263_426175.jpg" TargetMode="External"/><Relationship Id="rId_hyperlink_316" Type="http://schemas.openxmlformats.org/officeDocument/2006/relationships/hyperlink" Target="https://nconnect.nicmar.ac.in/storage/profile/ProfilePhoto_P25700264_328496.jpg" TargetMode="External"/><Relationship Id="rId_hyperlink_317" Type="http://schemas.openxmlformats.org/officeDocument/2006/relationships/hyperlink" Target="https://nconnect.nicmar.ac.in/storage/profile/ProfilePhoto_P25700265_158934.jpg" TargetMode="External"/><Relationship Id="rId_hyperlink_318" Type="http://schemas.openxmlformats.org/officeDocument/2006/relationships/hyperlink" Target="https://nconnect.nicmar.ac.in/storage/profile/ProfilePhoto_P25700266_297863.jpg" TargetMode="External"/><Relationship Id="rId_hyperlink_319" Type="http://schemas.openxmlformats.org/officeDocument/2006/relationships/hyperlink" Target="https://nconnect.nicmar.ac.in/storage/profile/ProfilePhoto_P25700267_286547.jpg" TargetMode="External"/><Relationship Id="rId_hyperlink_320" Type="http://schemas.openxmlformats.org/officeDocument/2006/relationships/hyperlink" Target="https://nconnect.nicmar.ac.in/storage/profile/ProfilePhoto_P25700268_169742.jpg" TargetMode="External"/><Relationship Id="rId_hyperlink_321" Type="http://schemas.openxmlformats.org/officeDocument/2006/relationships/hyperlink" Target="https://nconnect.nicmar.ac.in/storage/profile/ProfilePhoto_P25700269_861432.jpg" TargetMode="External"/><Relationship Id="rId_hyperlink_322" Type="http://schemas.openxmlformats.org/officeDocument/2006/relationships/hyperlink" Target="https://nconnect.nicmar.ac.in/storage/profile/ProfilePhoto_P25700270_194253.jpg" TargetMode="External"/><Relationship Id="rId_hyperlink_323" Type="http://schemas.openxmlformats.org/officeDocument/2006/relationships/hyperlink" Target="https://nconnect.nicmar.ac.in/storage/profile/ProfilePhoto_P25700271_135978.jpg" TargetMode="External"/><Relationship Id="rId_hyperlink_324" Type="http://schemas.openxmlformats.org/officeDocument/2006/relationships/hyperlink" Target="https://nconnect.nicmar.ac.in/storage/profile/ProfilePhoto_P25700272_839471.jpg" TargetMode="External"/><Relationship Id="rId_hyperlink_325" Type="http://schemas.openxmlformats.org/officeDocument/2006/relationships/hyperlink" Target="https://nconnect.nicmar.ac.in/storage/profile/ProfilePhoto_P25700273_243176.jpg" TargetMode="External"/><Relationship Id="rId_hyperlink_326" Type="http://schemas.openxmlformats.org/officeDocument/2006/relationships/hyperlink" Target="https://nconnect.nicmar.ac.in/storage/profile/ProfilePhoto_P25700274_326758.jpg" TargetMode="External"/><Relationship Id="rId_hyperlink_327" Type="http://schemas.openxmlformats.org/officeDocument/2006/relationships/hyperlink" Target="https://nconnect.nicmar.ac.in/storage/profile/ProfilePhoto_P25700275_563178.jpg" TargetMode="External"/><Relationship Id="rId_hyperlink_328" Type="http://schemas.openxmlformats.org/officeDocument/2006/relationships/hyperlink" Target="https://nconnect.nicmar.ac.in/storage/profile/ProfilePhoto_P25700277_438956.jpg" TargetMode="External"/><Relationship Id="rId_hyperlink_329" Type="http://schemas.openxmlformats.org/officeDocument/2006/relationships/hyperlink" Target="https://nconnect.nicmar.ac.in/storage/profile/ProfilePhoto_P25700278_937126.jpg" TargetMode="External"/><Relationship Id="rId_hyperlink_330" Type="http://schemas.openxmlformats.org/officeDocument/2006/relationships/hyperlink" Target="https://nconnect.nicmar.ac.in/storage/profile/ProfilePhoto_P25700280_693247.jpg" TargetMode="External"/><Relationship Id="rId_hyperlink_331" Type="http://schemas.openxmlformats.org/officeDocument/2006/relationships/hyperlink" Target="https://nconnect.nicmar.ac.in/storage/profile/ProfilePhoto_P25700282_942538.jpg" TargetMode="External"/><Relationship Id="rId_hyperlink_332" Type="http://schemas.openxmlformats.org/officeDocument/2006/relationships/hyperlink" Target="https://nconnect.nicmar.ac.in/storage/profile/ProfilePhoto_P25700283_529847.jpg" TargetMode="External"/><Relationship Id="rId_hyperlink_333" Type="http://schemas.openxmlformats.org/officeDocument/2006/relationships/hyperlink" Target="https://nconnect.nicmar.ac.in/storage/profile/ProfilePhoto_P25700284_724851.jpg" TargetMode="External"/><Relationship Id="rId_hyperlink_334" Type="http://schemas.openxmlformats.org/officeDocument/2006/relationships/hyperlink" Target="https://nconnect.nicmar.ac.in/storage/profile/ProfilePhoto_P25700285_743596.jpg" TargetMode="External"/><Relationship Id="rId_hyperlink_335" Type="http://schemas.openxmlformats.org/officeDocument/2006/relationships/hyperlink" Target="https://nconnect.nicmar.ac.in/storage/profile/ProfilePhoto_P25700286_398214.jpg" TargetMode="External"/><Relationship Id="rId_hyperlink_336" Type="http://schemas.openxmlformats.org/officeDocument/2006/relationships/hyperlink" Target="https://nconnect.nicmar.ac.in/storage/profile/ProfilePhoto_P25700287_896372.jpg" TargetMode="External"/><Relationship Id="rId_hyperlink_337" Type="http://schemas.openxmlformats.org/officeDocument/2006/relationships/hyperlink" Target="https://nconnect.nicmar.ac.in/storage/profile/ProfilePhoto_P25700288_156498.jpg" TargetMode="External"/><Relationship Id="rId_hyperlink_338" Type="http://schemas.openxmlformats.org/officeDocument/2006/relationships/hyperlink" Target="https://nconnect.nicmar.ac.in/storage/profile/ProfilePhoto_P25700289_126498.jpg" TargetMode="External"/><Relationship Id="rId_hyperlink_339" Type="http://schemas.openxmlformats.org/officeDocument/2006/relationships/hyperlink" Target="https://nconnect.nicmar.ac.in/storage/profile/ProfilePhoto_P25700290_567841.jpg" TargetMode="External"/><Relationship Id="rId_hyperlink_340" Type="http://schemas.openxmlformats.org/officeDocument/2006/relationships/hyperlink" Target="https://nconnect.nicmar.ac.in/storage/profile/ProfilePhoto_P25700291_245196.jpg" TargetMode="External"/><Relationship Id="rId_hyperlink_341" Type="http://schemas.openxmlformats.org/officeDocument/2006/relationships/hyperlink" Target="https://nconnect.nicmar.ac.in/storage/profile/ProfilePhoto_P25700292_526814.jpg" TargetMode="External"/><Relationship Id="rId_hyperlink_342" Type="http://schemas.openxmlformats.org/officeDocument/2006/relationships/hyperlink" Target="https://nconnect.nicmar.ac.in/storage/profile/ProfilePhoto_P25700293_417563.jpg" TargetMode="External"/><Relationship Id="rId_hyperlink_343" Type="http://schemas.openxmlformats.org/officeDocument/2006/relationships/hyperlink" Target="https://nconnect.nicmar.ac.in/storage/profile/ProfilePhoto_P25700294_947681.jpg" TargetMode="External"/><Relationship Id="rId_hyperlink_344" Type="http://schemas.openxmlformats.org/officeDocument/2006/relationships/hyperlink" Target="https://nconnect.nicmar.ac.in/storage/profile/ProfilePhoto_P25700295_417832.jpg" TargetMode="External"/><Relationship Id="rId_hyperlink_345" Type="http://schemas.openxmlformats.org/officeDocument/2006/relationships/hyperlink" Target="https://nconnect.nicmar.ac.in/storage/profile/ProfilePhoto_P25700296_392684.jpg" TargetMode="External"/><Relationship Id="rId_hyperlink_346" Type="http://schemas.openxmlformats.org/officeDocument/2006/relationships/hyperlink" Target="https://nconnect.nicmar.ac.in/storage/profile/ProfilePhoto_P25700297_213596.jpg" TargetMode="External"/><Relationship Id="rId_hyperlink_347" Type="http://schemas.openxmlformats.org/officeDocument/2006/relationships/hyperlink" Target="https://nconnect.nicmar.ac.in/storage/profile/ProfilePhoto_P25700298_589421.jpg" TargetMode="External"/><Relationship Id="rId_hyperlink_348" Type="http://schemas.openxmlformats.org/officeDocument/2006/relationships/hyperlink" Target="https://nconnect.nicmar.ac.in/storage/profile/ProfilePhoto_P25700299_148926.jpg" TargetMode="External"/><Relationship Id="rId_hyperlink_349" Type="http://schemas.openxmlformats.org/officeDocument/2006/relationships/hyperlink" Target="https://nconnect.nicmar.ac.in/storage/profile/ProfilePhoto_P25700300_153649.jpg" TargetMode="External"/><Relationship Id="rId_hyperlink_350" Type="http://schemas.openxmlformats.org/officeDocument/2006/relationships/hyperlink" Target="https://nconnect.nicmar.ac.in/storage/profile/ProfilePhoto_P25700301_346981.jpg" TargetMode="External"/><Relationship Id="rId_hyperlink_351" Type="http://schemas.openxmlformats.org/officeDocument/2006/relationships/hyperlink" Target="https://nconnect.nicmar.ac.in/storage/profile/ProfilePhoto_P25700302_214356.jpg" TargetMode="External"/><Relationship Id="rId_hyperlink_352" Type="http://schemas.openxmlformats.org/officeDocument/2006/relationships/hyperlink" Target="https://nconnect.nicmar.ac.in/storage/profile/ProfilePhoto_P25700303_641892.jpg" TargetMode="External"/><Relationship Id="rId_hyperlink_353" Type="http://schemas.openxmlformats.org/officeDocument/2006/relationships/hyperlink" Target="https://nconnect.nicmar.ac.in/storage/profile/ProfilePhoto_P25700304_328576.jpg" TargetMode="External"/><Relationship Id="rId_hyperlink_354" Type="http://schemas.openxmlformats.org/officeDocument/2006/relationships/hyperlink" Target="https://nconnect.nicmar.ac.in/storage/profile/ProfilePhoto_P25700305_358149.jpg" TargetMode="External"/><Relationship Id="rId_hyperlink_355" Type="http://schemas.openxmlformats.org/officeDocument/2006/relationships/hyperlink" Target="https://nconnect.nicmar.ac.in/storage/profile/ProfilePhoto_P25700306_128963.jpg" TargetMode="External"/><Relationship Id="rId_hyperlink_356" Type="http://schemas.openxmlformats.org/officeDocument/2006/relationships/hyperlink" Target="https://nconnect.nicmar.ac.in/storage/profile/ProfilePhoto_P25700307_873512.jpg" TargetMode="External"/><Relationship Id="rId_hyperlink_357" Type="http://schemas.openxmlformats.org/officeDocument/2006/relationships/hyperlink" Target="https://nconnect.nicmar.ac.in/storage/profile/ProfilePhoto_P25700308_942517.jpg" TargetMode="External"/><Relationship Id="rId_hyperlink_358" Type="http://schemas.openxmlformats.org/officeDocument/2006/relationships/hyperlink" Target="https://nconnect.nicmar.ac.in/storage/profile/ProfilePhoto_P25700309_361294.jpg" TargetMode="External"/><Relationship Id="rId_hyperlink_359" Type="http://schemas.openxmlformats.org/officeDocument/2006/relationships/hyperlink" Target="https://nconnect.nicmar.ac.in/storage/profile/6a6247b201416.png" TargetMode="External"/><Relationship Id="rId_hyperlink_360" Type="http://schemas.openxmlformats.org/officeDocument/2006/relationships/hyperlink" Target="https://nconnect.nicmar.ac.in/storage/profile/ProfilePhoto_P25700311_175346.jpg" TargetMode="External"/><Relationship Id="rId_hyperlink_361" Type="http://schemas.openxmlformats.org/officeDocument/2006/relationships/hyperlink" Target="https://nconnect.nicmar.ac.in/storage/profile/ProfilePhoto_P25700312_491872.jpg" TargetMode="External"/><Relationship Id="rId_hyperlink_362" Type="http://schemas.openxmlformats.org/officeDocument/2006/relationships/hyperlink" Target="https://nconnect.nicmar.ac.in/storage/profile/ProfilePhoto_P25700313_351694.jpg" TargetMode="External"/><Relationship Id="rId_hyperlink_363" Type="http://schemas.openxmlformats.org/officeDocument/2006/relationships/hyperlink" Target="https://nconnect.nicmar.ac.in/storage/profile/ProfilePhoto_P25700314_541362.jpg" TargetMode="External"/><Relationship Id="rId_hyperlink_364" Type="http://schemas.openxmlformats.org/officeDocument/2006/relationships/hyperlink" Target="https://nconnect.nicmar.ac.in/storage/profile/ProfilePhoto_P25700316_645173.jpg" TargetMode="External"/><Relationship Id="rId_hyperlink_365" Type="http://schemas.openxmlformats.org/officeDocument/2006/relationships/hyperlink" Target="https://nconnect.nicmar.ac.in/storage/profile/ProfilePhoto_P25700317_381597.jpg" TargetMode="External"/><Relationship Id="rId_hyperlink_366" Type="http://schemas.openxmlformats.org/officeDocument/2006/relationships/hyperlink" Target="https://nconnect.nicmar.ac.in/storage/profile/ProfilePhoto_P25700318_763418.jpg" TargetMode="External"/><Relationship Id="rId_hyperlink_367" Type="http://schemas.openxmlformats.org/officeDocument/2006/relationships/hyperlink" Target="https://nconnect.nicmar.ac.in/storage/profile/ProfilePhoto_P25700320_432967.jpg" TargetMode="External"/><Relationship Id="rId_hyperlink_368" Type="http://schemas.openxmlformats.org/officeDocument/2006/relationships/hyperlink" Target="https://nconnect.nicmar.ac.in/storage/profile/ProfilePhoto_P25700321_248693.jpg" TargetMode="External"/><Relationship Id="rId_hyperlink_369" Type="http://schemas.openxmlformats.org/officeDocument/2006/relationships/hyperlink" Target="https://nconnect.nicmar.ac.in/storage/profile/ProfilePhoto_P25700322_174659.jpg" TargetMode="External"/><Relationship Id="rId_hyperlink_370" Type="http://schemas.openxmlformats.org/officeDocument/2006/relationships/hyperlink" Target="https://nconnect.nicmar.ac.in/storage/profile/ProfilePhoto_P25700323_852916.jpg" TargetMode="External"/><Relationship Id="rId_hyperlink_371" Type="http://schemas.openxmlformats.org/officeDocument/2006/relationships/hyperlink" Target="https://nconnect.nicmar.ac.in/storage/profile/ProfilePhoto_P25700324_649581.jpg" TargetMode="External"/><Relationship Id="rId_hyperlink_372" Type="http://schemas.openxmlformats.org/officeDocument/2006/relationships/hyperlink" Target="https://nconnect.nicmar.ac.in/storage/profile/6a6247e7c603e.png" TargetMode="External"/><Relationship Id="rId_hyperlink_373" Type="http://schemas.openxmlformats.org/officeDocument/2006/relationships/hyperlink" Target="https://nconnect.nicmar.ac.in/storage/profile/ProfilePhoto_P25700327_437895.jpg" TargetMode="External"/><Relationship Id="rId_hyperlink_374" Type="http://schemas.openxmlformats.org/officeDocument/2006/relationships/hyperlink" Target="https://nconnect.nicmar.ac.in/storage/profile/ProfilePhoto_P25700328_694123.jpg" TargetMode="External"/><Relationship Id="rId_hyperlink_375" Type="http://schemas.openxmlformats.org/officeDocument/2006/relationships/hyperlink" Target="https://nconnect.nicmar.ac.in/storage/profile/ProfilePhoto_P25700329_934817.jpg" TargetMode="External"/><Relationship Id="rId_hyperlink_376" Type="http://schemas.openxmlformats.org/officeDocument/2006/relationships/hyperlink" Target="https://nconnect.nicmar.ac.in/storage/profile/ProfilePhoto_P25700330_839724.jpg" TargetMode="External"/><Relationship Id="rId_hyperlink_377" Type="http://schemas.openxmlformats.org/officeDocument/2006/relationships/hyperlink" Target="https://nconnect.nicmar.ac.in/storage/profile/ProfilePhoto_P25700331_498125.jpg" TargetMode="External"/><Relationship Id="rId_hyperlink_378" Type="http://schemas.openxmlformats.org/officeDocument/2006/relationships/hyperlink" Target="https://nconnect.nicmar.ac.in/storage/profile/ProfilePhoto_P25700332_582631.jpg" TargetMode="External"/><Relationship Id="rId_hyperlink_379" Type="http://schemas.openxmlformats.org/officeDocument/2006/relationships/hyperlink" Target="https://nconnect.nicmar.ac.in/storage/profile/ProfilePhoto_P25700333_561738.jpg" TargetMode="External"/><Relationship Id="rId_hyperlink_380" Type="http://schemas.openxmlformats.org/officeDocument/2006/relationships/hyperlink" Target="https://nconnect.nicmar.ac.in/storage/profile/ProfilePhoto_P25700334_897625.jpg" TargetMode="External"/><Relationship Id="rId_hyperlink_381" Type="http://schemas.openxmlformats.org/officeDocument/2006/relationships/hyperlink" Target="https://nconnect.nicmar.ac.in/storage/profile/ProfilePhoto_P25700335_235948.jpg" TargetMode="External"/><Relationship Id="rId_hyperlink_382" Type="http://schemas.openxmlformats.org/officeDocument/2006/relationships/hyperlink" Target="https://nconnect.nicmar.ac.in/storage/profile/ProfilePhoto_P25700336_569138.jpg" TargetMode="External"/><Relationship Id="rId_hyperlink_383" Type="http://schemas.openxmlformats.org/officeDocument/2006/relationships/hyperlink" Target="https://nconnect.nicmar.ac.in/storage/profile/ProfilePhoto_P25700337_749123.jpg" TargetMode="External"/><Relationship Id="rId_hyperlink_384" Type="http://schemas.openxmlformats.org/officeDocument/2006/relationships/hyperlink" Target="https://nconnect.nicmar.ac.in/storage/profile/ProfilePhoto_P25700338_458312.jpg" TargetMode="External"/><Relationship Id="rId_hyperlink_385" Type="http://schemas.openxmlformats.org/officeDocument/2006/relationships/hyperlink" Target="https://nconnect.nicmar.ac.in/storage/profile/ProfilePhoto_P25700339_893165.jpg" TargetMode="External"/><Relationship Id="rId_hyperlink_386" Type="http://schemas.openxmlformats.org/officeDocument/2006/relationships/hyperlink" Target="https://nconnect.nicmar.ac.in/storage/profile/ProfilePhoto_P25700340_491823.jpg" TargetMode="External"/><Relationship Id="rId_hyperlink_387" Type="http://schemas.openxmlformats.org/officeDocument/2006/relationships/hyperlink" Target="https://nconnect.nicmar.ac.in/storage/profile/ProfilePhoto_P25700341_527638.jpg" TargetMode="External"/><Relationship Id="rId_hyperlink_388" Type="http://schemas.openxmlformats.org/officeDocument/2006/relationships/hyperlink" Target="https://nconnect.nicmar.ac.in/storage/profile/ProfilePhoto_P25700342_917356.jpg" TargetMode="External"/><Relationship Id="rId_hyperlink_389" Type="http://schemas.openxmlformats.org/officeDocument/2006/relationships/hyperlink" Target="https://nconnect.nicmar.ac.in/storage/profile/ProfilePhoto_P25700343_519836.jpg" TargetMode="External"/><Relationship Id="rId_hyperlink_390" Type="http://schemas.openxmlformats.org/officeDocument/2006/relationships/hyperlink" Target="https://nconnect.nicmar.ac.in/storage/profile/ProfilePhoto_P25700344_278134.jpg" TargetMode="External"/><Relationship Id="rId_hyperlink_391" Type="http://schemas.openxmlformats.org/officeDocument/2006/relationships/hyperlink" Target="https://nconnect.nicmar.ac.in/storage/profile/ProfilePhoto_P25700345_856793.jpg" TargetMode="External"/><Relationship Id="rId_hyperlink_392" Type="http://schemas.openxmlformats.org/officeDocument/2006/relationships/hyperlink" Target="https://nconnect.nicmar.ac.in/storage/profile/ProfilePhoto_P25700346_549627.jpg" TargetMode="External"/><Relationship Id="rId_hyperlink_393" Type="http://schemas.openxmlformats.org/officeDocument/2006/relationships/hyperlink" Target="https://nconnect.nicmar.ac.in/storage/profile/ProfilePhoto_P25700347_834162.jpg" TargetMode="External"/><Relationship Id="rId_hyperlink_394" Type="http://schemas.openxmlformats.org/officeDocument/2006/relationships/hyperlink" Target="https://nconnect.nicmar.ac.in/storage/profile/ProfilePhoto_P25700348_398162.jpg" TargetMode="External"/><Relationship Id="rId_hyperlink_395" Type="http://schemas.openxmlformats.org/officeDocument/2006/relationships/hyperlink" Target="https://nconnect.nicmar.ac.in/storage/profile/ProfilePhoto_P25700349_261783.jpg" TargetMode="External"/><Relationship Id="rId_hyperlink_396" Type="http://schemas.openxmlformats.org/officeDocument/2006/relationships/hyperlink" Target="https://nconnect.nicmar.ac.in/storage/profile/ProfilePhoto_P25700350_594367.jpg" TargetMode="External"/><Relationship Id="rId_hyperlink_397" Type="http://schemas.openxmlformats.org/officeDocument/2006/relationships/hyperlink" Target="https://nconnect.nicmar.ac.in/storage/profile/ProfilePhoto_P25700351_712865.jpg" TargetMode="External"/><Relationship Id="rId_hyperlink_398" Type="http://schemas.openxmlformats.org/officeDocument/2006/relationships/hyperlink" Target="https://nconnect.nicmar.ac.in/storage/profile/ProfilePhoto_P25700352_437125.jpg" TargetMode="External"/><Relationship Id="rId_hyperlink_399" Type="http://schemas.openxmlformats.org/officeDocument/2006/relationships/hyperlink" Target="https://nconnect.nicmar.ac.in/storage/profile/ProfilePhoto_P25700353_496532.jpg" TargetMode="External"/><Relationship Id="rId_hyperlink_400" Type="http://schemas.openxmlformats.org/officeDocument/2006/relationships/hyperlink" Target="https://nconnect.nicmar.ac.in/storage/profile/ProfilePhoto_P25700354_283475.jpg" TargetMode="External"/><Relationship Id="rId_hyperlink_401" Type="http://schemas.openxmlformats.org/officeDocument/2006/relationships/hyperlink" Target="https://nconnect.nicmar.ac.in/storage/profile/ProfilePhoto_P25700355_452968.jpg" TargetMode="External"/><Relationship Id="rId_hyperlink_402" Type="http://schemas.openxmlformats.org/officeDocument/2006/relationships/hyperlink" Target="https://nconnect.nicmar.ac.in/storage/profile/ProfilePhoto_P25700356_431675.jpg" TargetMode="External"/><Relationship Id="rId_hyperlink_403" Type="http://schemas.openxmlformats.org/officeDocument/2006/relationships/hyperlink" Target="https://nconnect.nicmar.ac.in/storage/profile/ProfilePhoto_P25700357_834596.jpg" TargetMode="External"/><Relationship Id="rId_hyperlink_404" Type="http://schemas.openxmlformats.org/officeDocument/2006/relationships/hyperlink" Target="https://nconnect.nicmar.ac.in/storage/profile/ProfilePhoto_P25700358_381456.jpg" TargetMode="External"/><Relationship Id="rId_hyperlink_405" Type="http://schemas.openxmlformats.org/officeDocument/2006/relationships/hyperlink" Target="https://nconnect.nicmar.ac.in/storage/profile/ProfilePhoto_P25700359_948167.jpg" TargetMode="External"/><Relationship Id="rId_hyperlink_406" Type="http://schemas.openxmlformats.org/officeDocument/2006/relationships/hyperlink" Target="https://nconnect.nicmar.ac.in/storage/profile/ProfilePhoto_P25700360_657192.jpg" TargetMode="External"/><Relationship Id="rId_hyperlink_407" Type="http://schemas.openxmlformats.org/officeDocument/2006/relationships/hyperlink" Target="https://nconnect.nicmar.ac.in/storage/profile/ProfilePhoto_P25700361_138974.jpg" TargetMode="External"/><Relationship Id="rId_hyperlink_408" Type="http://schemas.openxmlformats.org/officeDocument/2006/relationships/hyperlink" Target="https://nconnect.nicmar.ac.in/storage/profile/ProfilePhoto_P25700362_519874.jpg" TargetMode="External"/><Relationship Id="rId_hyperlink_409" Type="http://schemas.openxmlformats.org/officeDocument/2006/relationships/hyperlink" Target="https://nconnect.nicmar.ac.in/storage/profile/ProfilePhoto_P25700363_761958.jpg" TargetMode="External"/><Relationship Id="rId_hyperlink_410" Type="http://schemas.openxmlformats.org/officeDocument/2006/relationships/hyperlink" Target="https://nconnect.nicmar.ac.in/storage/profile/ProfilePhoto_P25700364_541382.jpg" TargetMode="External"/><Relationship Id="rId_hyperlink_411" Type="http://schemas.openxmlformats.org/officeDocument/2006/relationships/hyperlink" Target="https://nconnect.nicmar.ac.in/storage/profile/ProfilePhoto_P25700366_956721.jpg" TargetMode="External"/><Relationship Id="rId_hyperlink_412" Type="http://schemas.openxmlformats.org/officeDocument/2006/relationships/hyperlink" Target="https://nconnect.nicmar.ac.in/storage/profile/ProfilePhoto_P25700368_157439.jpg" TargetMode="External"/><Relationship Id="rId_hyperlink_413" Type="http://schemas.openxmlformats.org/officeDocument/2006/relationships/hyperlink" Target="https://nconnect.nicmar.ac.in/storage/profile/ProfilePhoto_P25700369_745329.jpg" TargetMode="External"/><Relationship Id="rId_hyperlink_414" Type="http://schemas.openxmlformats.org/officeDocument/2006/relationships/hyperlink" Target="https://nconnect.nicmar.ac.in/storage/profile/ProfilePhoto_P25700370_895437.jpg" TargetMode="External"/><Relationship Id="rId_hyperlink_415" Type="http://schemas.openxmlformats.org/officeDocument/2006/relationships/hyperlink" Target="https://nconnect.nicmar.ac.in/storage/profile/ProfilePhoto_P25700371_572389.jpg" TargetMode="External"/><Relationship Id="rId_hyperlink_416" Type="http://schemas.openxmlformats.org/officeDocument/2006/relationships/hyperlink" Target="https://nconnect.nicmar.ac.in/storage/profile/ProfilePhoto_P25700372_298156.jpg" TargetMode="External"/><Relationship Id="rId_hyperlink_417" Type="http://schemas.openxmlformats.org/officeDocument/2006/relationships/hyperlink" Target="https://nconnect.nicmar.ac.in/storage/profile/ProfilePhoto_P25700373_975146.jpg" TargetMode="External"/><Relationship Id="rId_hyperlink_418" Type="http://schemas.openxmlformats.org/officeDocument/2006/relationships/hyperlink" Target="https://nconnect.nicmar.ac.in/storage/profile/ProfilePhoto_P25700374_374629.jpg" TargetMode="External"/><Relationship Id="rId_hyperlink_419" Type="http://schemas.openxmlformats.org/officeDocument/2006/relationships/hyperlink" Target="https://nconnect.nicmar.ac.in/storage/profile/ProfilePhoto_P25700375_963157.jpg" TargetMode="External"/><Relationship Id="rId_hyperlink_420" Type="http://schemas.openxmlformats.org/officeDocument/2006/relationships/hyperlink" Target="https://nconnect.nicmar.ac.in/storage/profile/ProfilePhoto_P25700376_736185.jpg" TargetMode="External"/><Relationship Id="rId_hyperlink_421" Type="http://schemas.openxmlformats.org/officeDocument/2006/relationships/hyperlink" Target="https://nconnect.nicmar.ac.in/storage/profile/ProfilePhoto_P25700378_896243.jpg" TargetMode="External"/><Relationship Id="rId_hyperlink_422" Type="http://schemas.openxmlformats.org/officeDocument/2006/relationships/hyperlink" Target="https://nconnect.nicmar.ac.in/storage/profile/ProfilePhoto_P25700379_143659.jpg" TargetMode="External"/><Relationship Id="rId_hyperlink_423" Type="http://schemas.openxmlformats.org/officeDocument/2006/relationships/hyperlink" Target="https://nconnect.nicmar.ac.in/storage/profile/ProfilePhoto_P25700380_857362.jpg" TargetMode="External"/><Relationship Id="rId_hyperlink_424" Type="http://schemas.openxmlformats.org/officeDocument/2006/relationships/hyperlink" Target="https://nconnect.nicmar.ac.in/storage/profile/ProfilePhoto_P25700381_413569.jpg" TargetMode="External"/><Relationship Id="rId_hyperlink_425" Type="http://schemas.openxmlformats.org/officeDocument/2006/relationships/hyperlink" Target="https://nconnect.nicmar.ac.in/storage/profile/ProfilePhoto_P25700382_413295.jpg" TargetMode="External"/><Relationship Id="rId_hyperlink_426" Type="http://schemas.openxmlformats.org/officeDocument/2006/relationships/hyperlink" Target="https://nconnect.nicmar.ac.in/storage/profile/ProfilePhoto_P25700383_831254.jpg" TargetMode="External"/><Relationship Id="rId_hyperlink_427" Type="http://schemas.openxmlformats.org/officeDocument/2006/relationships/hyperlink" Target="https://nconnect.nicmar.ac.in/storage/profile/ProfilePhoto_P25700384_318246.jpg" TargetMode="External"/><Relationship Id="rId_hyperlink_428" Type="http://schemas.openxmlformats.org/officeDocument/2006/relationships/hyperlink" Target="https://nconnect.nicmar.ac.in/storage/profile/ProfilePhoto_P25700385_936548.jpg" TargetMode="External"/><Relationship Id="rId_hyperlink_429" Type="http://schemas.openxmlformats.org/officeDocument/2006/relationships/hyperlink" Target="https://nconnect.nicmar.ac.in/storage/profile/ProfilePhoto_P25700386_189623.jpg" TargetMode="External"/><Relationship Id="rId_hyperlink_430" Type="http://schemas.openxmlformats.org/officeDocument/2006/relationships/hyperlink" Target="https://nconnect.nicmar.ac.in/storage/profile/ProfilePhoto_P25700387_318952.jpg" TargetMode="External"/><Relationship Id="rId_hyperlink_431" Type="http://schemas.openxmlformats.org/officeDocument/2006/relationships/hyperlink" Target="https://nconnect.nicmar.ac.in/storage/profile/ProfilePhoto_P25700388_863591.jpg" TargetMode="External"/><Relationship Id="rId_hyperlink_432" Type="http://schemas.openxmlformats.org/officeDocument/2006/relationships/hyperlink" Target="https://nconnect.nicmar.ac.in/storage/profile/ProfilePhoto_P25700389_893247.jpg" TargetMode="External"/><Relationship Id="rId_hyperlink_433" Type="http://schemas.openxmlformats.org/officeDocument/2006/relationships/hyperlink" Target="https://nconnect.nicmar.ac.in/storage/profile/ProfilePhoto_P25700390_748536.jpg" TargetMode="External"/><Relationship Id="rId_hyperlink_434" Type="http://schemas.openxmlformats.org/officeDocument/2006/relationships/hyperlink" Target="https://nconnect.nicmar.ac.in/storage/profile/ProfilePhoto_P25700391_259437.jpg" TargetMode="External"/><Relationship Id="rId_hyperlink_435" Type="http://schemas.openxmlformats.org/officeDocument/2006/relationships/hyperlink" Target="https://nconnect.nicmar.ac.in/storage/profile/ProfilePhoto_P25700392_517643.jpg" TargetMode="External"/><Relationship Id="rId_hyperlink_436" Type="http://schemas.openxmlformats.org/officeDocument/2006/relationships/hyperlink" Target="https://nconnect.nicmar.ac.in/storage/profile/ProfilePhoto_P25700393_435691.jpg" TargetMode="External"/><Relationship Id="rId_hyperlink_437" Type="http://schemas.openxmlformats.org/officeDocument/2006/relationships/hyperlink" Target="https://nconnect.nicmar.ac.in/storage/profile/ProfilePhoto_P25700394_167349.jpg" TargetMode="External"/><Relationship Id="rId_hyperlink_438" Type="http://schemas.openxmlformats.org/officeDocument/2006/relationships/hyperlink" Target="https://nconnect.nicmar.ac.in/storage/profile/ProfilePhoto_P25700395_597218.jpg" TargetMode="External"/><Relationship Id="rId_hyperlink_439" Type="http://schemas.openxmlformats.org/officeDocument/2006/relationships/hyperlink" Target="https://nconnect.nicmar.ac.in/storage/profile/ProfilePhoto_P25700396_127438.jpg" TargetMode="External"/><Relationship Id="rId_hyperlink_440" Type="http://schemas.openxmlformats.org/officeDocument/2006/relationships/hyperlink" Target="https://nconnect.nicmar.ac.in/storage/profile/ProfilePhoto_P25700397_947536.jpg" TargetMode="External"/><Relationship Id="rId_hyperlink_441" Type="http://schemas.openxmlformats.org/officeDocument/2006/relationships/hyperlink" Target="https://nconnect.nicmar.ac.in/storage/profile/ProfilePhoto_P25700398_439256.jpg" TargetMode="External"/><Relationship Id="rId_hyperlink_442" Type="http://schemas.openxmlformats.org/officeDocument/2006/relationships/hyperlink" Target="https://nconnect.nicmar.ac.in/storage/profile/ProfilePhoto_P25700399_623841.jpg" TargetMode="External"/><Relationship Id="rId_hyperlink_443" Type="http://schemas.openxmlformats.org/officeDocument/2006/relationships/hyperlink" Target="https://nconnect.nicmar.ac.in/storage/profile/ProfilePhoto_P25700400_638452.jpg" TargetMode="External"/><Relationship Id="rId_hyperlink_444" Type="http://schemas.openxmlformats.org/officeDocument/2006/relationships/hyperlink" Target="https://nconnect.nicmar.ac.in/storage/profile/ProfilePhoto_P25700401_764591.jpg" TargetMode="External"/><Relationship Id="rId_hyperlink_445" Type="http://schemas.openxmlformats.org/officeDocument/2006/relationships/hyperlink" Target="https://nconnect.nicmar.ac.in/storage/profile/ProfilePhoto_P25700402_718253.jpg" TargetMode="External"/><Relationship Id="rId_hyperlink_446" Type="http://schemas.openxmlformats.org/officeDocument/2006/relationships/hyperlink" Target="https://nconnect.nicmar.ac.in/storage/profile/ProfilePhoto_P25700403_273965.jpg" TargetMode="External"/><Relationship Id="rId_hyperlink_447" Type="http://schemas.openxmlformats.org/officeDocument/2006/relationships/hyperlink" Target="https://nconnect.nicmar.ac.in/storage/profile/ProfilePhoto_P25700404_821954.jpg" TargetMode="External"/><Relationship Id="rId_hyperlink_448" Type="http://schemas.openxmlformats.org/officeDocument/2006/relationships/hyperlink" Target="https://nconnect.nicmar.ac.in/storage/profile/ProfilePhoto_P25700405_326714.jpg" TargetMode="External"/><Relationship Id="rId_hyperlink_449" Type="http://schemas.openxmlformats.org/officeDocument/2006/relationships/hyperlink" Target="https://nconnect.nicmar.ac.in/storage/profile/ProfilePhoto_P25700406_627149.jpg" TargetMode="External"/><Relationship Id="rId_hyperlink_450" Type="http://schemas.openxmlformats.org/officeDocument/2006/relationships/hyperlink" Target="https://nconnect.nicmar.ac.in/storage/profile/ProfilePhoto_P25700408_658397.jpg" TargetMode="External"/><Relationship Id="rId_hyperlink_451" Type="http://schemas.openxmlformats.org/officeDocument/2006/relationships/hyperlink" Target="https://nconnect.nicmar.ac.in/storage/profile/ProfilePhoto_P25700409_123987.jpg" TargetMode="External"/><Relationship Id="rId_hyperlink_452" Type="http://schemas.openxmlformats.org/officeDocument/2006/relationships/hyperlink" Target="https://nconnect.nicmar.ac.in/storage/profile/ProfilePhoto_P25700410_465312.jpg" TargetMode="External"/><Relationship Id="rId_hyperlink_453" Type="http://schemas.openxmlformats.org/officeDocument/2006/relationships/hyperlink" Target="https://nconnect.nicmar.ac.in/storage/profile/ProfilePhoto_P25700411_579146.jpg" TargetMode="External"/><Relationship Id="rId_hyperlink_454" Type="http://schemas.openxmlformats.org/officeDocument/2006/relationships/hyperlink" Target="https://nconnect.nicmar.ac.in/storage/profile/ProfilePhoto_P25700412_865394.jpg" TargetMode="External"/><Relationship Id="rId_hyperlink_455" Type="http://schemas.openxmlformats.org/officeDocument/2006/relationships/hyperlink" Target="https://nconnect.nicmar.ac.in/storage/profile/ProfilePhoto_P25700413_347268.jpg" TargetMode="External"/><Relationship Id="rId_hyperlink_456" Type="http://schemas.openxmlformats.org/officeDocument/2006/relationships/hyperlink" Target="https://nconnect.nicmar.ac.in/storage/profile/ProfilePhoto_P25700414_835714.jpg" TargetMode="External"/><Relationship Id="rId_hyperlink_457" Type="http://schemas.openxmlformats.org/officeDocument/2006/relationships/hyperlink" Target="https://nconnect.nicmar.ac.in/storage/profile/ProfilePhoto_P25700415_861234.jpg" TargetMode="External"/><Relationship Id="rId_hyperlink_458" Type="http://schemas.openxmlformats.org/officeDocument/2006/relationships/hyperlink" Target="https://nconnect.nicmar.ac.in/storage/profile/ProfilePhoto_P25700416_291456.jpg" TargetMode="External"/><Relationship Id="rId_hyperlink_459" Type="http://schemas.openxmlformats.org/officeDocument/2006/relationships/hyperlink" Target="https://nconnect.nicmar.ac.in/storage/profile/ProfilePhoto_P25700417_451862.jpg" TargetMode="External"/><Relationship Id="rId_hyperlink_460" Type="http://schemas.openxmlformats.org/officeDocument/2006/relationships/hyperlink" Target="https://nconnect.nicmar.ac.in/storage/profile/ProfilePhoto_P25700418_528617.jpg" TargetMode="External"/><Relationship Id="rId_hyperlink_461" Type="http://schemas.openxmlformats.org/officeDocument/2006/relationships/hyperlink" Target="https://nconnect.nicmar.ac.in/storage/profile/ProfilePhoto_P25700419_475938.jpg" TargetMode="External"/><Relationship Id="rId_hyperlink_462" Type="http://schemas.openxmlformats.org/officeDocument/2006/relationships/hyperlink" Target="https://nconnect.nicmar.ac.in/storage/profile/ProfilePhoto_P25700420_287643.jpg" TargetMode="External"/><Relationship Id="rId_hyperlink_463" Type="http://schemas.openxmlformats.org/officeDocument/2006/relationships/hyperlink" Target="https://nconnect.nicmar.ac.in/storage/profile/ProfilePhoto_P25700421_961834.jpg" TargetMode="External"/><Relationship Id="rId_hyperlink_464" Type="http://schemas.openxmlformats.org/officeDocument/2006/relationships/hyperlink" Target="https://nconnect.nicmar.ac.in/storage/profile/ProfilePhoto_P25700422_634185.jpg" TargetMode="External"/><Relationship Id="rId_hyperlink_465" Type="http://schemas.openxmlformats.org/officeDocument/2006/relationships/hyperlink" Target="https://nconnect.nicmar.ac.in/storage/profile/ProfilePhoto_P25700424_432817.jpg" TargetMode="External"/><Relationship Id="rId_hyperlink_466" Type="http://schemas.openxmlformats.org/officeDocument/2006/relationships/hyperlink" Target="https://nconnect.nicmar.ac.in/storage/profile/ProfilePhoto_P25700425_379841.jpg" TargetMode="External"/><Relationship Id="rId_hyperlink_467" Type="http://schemas.openxmlformats.org/officeDocument/2006/relationships/hyperlink" Target="https://nconnect.nicmar.ac.in/storage/profile/ProfilePhoto_P25700426_957814.jpg" TargetMode="External"/><Relationship Id="rId_hyperlink_468" Type="http://schemas.openxmlformats.org/officeDocument/2006/relationships/hyperlink" Target="https://nconnect.nicmar.ac.in/storage/profile/ProfilePhoto_P25700427_561483.jpg" TargetMode="External"/><Relationship Id="rId_hyperlink_469" Type="http://schemas.openxmlformats.org/officeDocument/2006/relationships/hyperlink" Target="https://nconnect.nicmar.ac.in/storage/profile/ProfilePhoto_P25700428_648923.jpg" TargetMode="External"/><Relationship Id="rId_hyperlink_470" Type="http://schemas.openxmlformats.org/officeDocument/2006/relationships/hyperlink" Target="https://nconnect.nicmar.ac.in/storage/profile/ProfilePhoto_P25700429_627859.jpg" TargetMode="External"/><Relationship Id="rId_hyperlink_471" Type="http://schemas.openxmlformats.org/officeDocument/2006/relationships/hyperlink" Target="https://nconnect.nicmar.ac.in/storage/profile/ProfilePhoto_P25700430_384715.jpg" TargetMode="External"/><Relationship Id="rId_hyperlink_472" Type="http://schemas.openxmlformats.org/officeDocument/2006/relationships/hyperlink" Target="https://nconnect.nicmar.ac.in/storage/profile/ProfilePhoto_P25700431_926174.jpg" TargetMode="External"/><Relationship Id="rId_hyperlink_473" Type="http://schemas.openxmlformats.org/officeDocument/2006/relationships/hyperlink" Target="https://nconnect.nicmar.ac.in/storage/profile/ProfilePhoto_P25700432_658914.jpg" TargetMode="External"/><Relationship Id="rId_hyperlink_474" Type="http://schemas.openxmlformats.org/officeDocument/2006/relationships/hyperlink" Target="https://nconnect.nicmar.ac.in/storage/profile/ProfilePhoto_P25700433_873965.jpg" TargetMode="External"/><Relationship Id="rId_hyperlink_475" Type="http://schemas.openxmlformats.org/officeDocument/2006/relationships/hyperlink" Target="https://nconnect.nicmar.ac.in/storage/profile/ProfilePhoto_P25700434_157429.jpg" TargetMode="External"/><Relationship Id="rId_hyperlink_476" Type="http://schemas.openxmlformats.org/officeDocument/2006/relationships/hyperlink" Target="https://nconnect.nicmar.ac.in/storage/profile/ProfilePhoto_P25700435_234951.jpg" TargetMode="External"/><Relationship Id="rId_hyperlink_477" Type="http://schemas.openxmlformats.org/officeDocument/2006/relationships/hyperlink" Target="https://nconnect.nicmar.ac.in/storage/profile/ProfilePhoto_P25700436_561982.jpg" TargetMode="External"/><Relationship Id="rId_hyperlink_478" Type="http://schemas.openxmlformats.org/officeDocument/2006/relationships/hyperlink" Target="https://nconnect.nicmar.ac.in/storage/profile/6a60b9b9a8f6d.png" TargetMode="External"/><Relationship Id="rId_hyperlink_479" Type="http://schemas.openxmlformats.org/officeDocument/2006/relationships/hyperlink" Target="https://nconnect.nicmar.ac.in/storage/profile/ProfilePhoto_P25700438_752491.jpg" TargetMode="External"/><Relationship Id="rId_hyperlink_480" Type="http://schemas.openxmlformats.org/officeDocument/2006/relationships/hyperlink" Target="https://nconnect.nicmar.ac.in/storage/profile/ProfilePhoto_P25700439_567421.jpg" TargetMode="External"/><Relationship Id="rId_hyperlink_481" Type="http://schemas.openxmlformats.org/officeDocument/2006/relationships/hyperlink" Target="https://nconnect.nicmar.ac.in/storage/profile/ProfilePhoto_P25700440_435897.jpg" TargetMode="External"/><Relationship Id="rId_hyperlink_482" Type="http://schemas.openxmlformats.org/officeDocument/2006/relationships/hyperlink" Target="https://nconnect.nicmar.ac.in/storage/profile/ProfilePhoto_P25700441_579146.jpg" TargetMode="External"/><Relationship Id="rId_hyperlink_483" Type="http://schemas.openxmlformats.org/officeDocument/2006/relationships/hyperlink" Target="https://nconnect.nicmar.ac.in/storage/profile/ProfilePhoto_P25700442_698427.jpg" TargetMode="External"/><Relationship Id="rId_hyperlink_484" Type="http://schemas.openxmlformats.org/officeDocument/2006/relationships/hyperlink" Target="https://nconnect.nicmar.ac.in/storage/profile/ProfilePhoto_P25700443_397648.jpg" TargetMode="External"/><Relationship Id="rId_hyperlink_485" Type="http://schemas.openxmlformats.org/officeDocument/2006/relationships/hyperlink" Target="https://nconnect.nicmar.ac.in/storage/profile/ProfilePhoto_P25700444_392578.jpg" TargetMode="External"/><Relationship Id="rId_hyperlink_486" Type="http://schemas.openxmlformats.org/officeDocument/2006/relationships/hyperlink" Target="https://nconnect.nicmar.ac.in/storage/profile/ProfilePhoto_P25700445_174289.jpg" TargetMode="External"/><Relationship Id="rId_hyperlink_487" Type="http://schemas.openxmlformats.org/officeDocument/2006/relationships/hyperlink" Target="https://nconnect.nicmar.ac.in/storage/profile/ProfilePhoto_P25700446_625137.jpg" TargetMode="External"/><Relationship Id="rId_hyperlink_488" Type="http://schemas.openxmlformats.org/officeDocument/2006/relationships/hyperlink" Target="https://nconnect.nicmar.ac.in/storage/profile/ProfilePhoto_P25700447_624183.jpg" TargetMode="External"/><Relationship Id="rId_hyperlink_489" Type="http://schemas.openxmlformats.org/officeDocument/2006/relationships/hyperlink" Target="https://nconnect.nicmar.ac.in/storage/profile/ProfilePhoto_P25700448_675934.jpg" TargetMode="External"/><Relationship Id="rId_hyperlink_490" Type="http://schemas.openxmlformats.org/officeDocument/2006/relationships/hyperlink" Target="https://nconnect.nicmar.ac.in/storage/profile/ProfilePhoto_P25700449_946731.jpg" TargetMode="External"/><Relationship Id="rId_hyperlink_491" Type="http://schemas.openxmlformats.org/officeDocument/2006/relationships/hyperlink" Target="https://nconnect.nicmar.ac.in/storage/profile/ProfilePhoto_P25700450_896257.jpg" TargetMode="External"/><Relationship Id="rId_hyperlink_492" Type="http://schemas.openxmlformats.org/officeDocument/2006/relationships/hyperlink" Target="https://nconnect.nicmar.ac.in/storage/profile/ProfilePhoto_P25700451_316894.jpg" TargetMode="External"/><Relationship Id="rId_hyperlink_493" Type="http://schemas.openxmlformats.org/officeDocument/2006/relationships/hyperlink" Target="https://nconnect.nicmar.ac.in/storage/profile/ProfilePhoto_P25700452_132786.jpg" TargetMode="External"/><Relationship Id="rId_hyperlink_494" Type="http://schemas.openxmlformats.org/officeDocument/2006/relationships/hyperlink" Target="https://nconnect.nicmar.ac.in/storage/profile/ProfilePhoto_P25700453_982314.jpg" TargetMode="External"/><Relationship Id="rId_hyperlink_495" Type="http://schemas.openxmlformats.org/officeDocument/2006/relationships/hyperlink" Target="https://nconnect.nicmar.ac.in/storage/profile/ProfilePhoto_P25700454_245369.jpg" TargetMode="External"/><Relationship Id="rId_hyperlink_496" Type="http://schemas.openxmlformats.org/officeDocument/2006/relationships/hyperlink" Target="https://nconnect.nicmar.ac.in/storage/profile/ProfilePhoto_P25700455_781534.jpg" TargetMode="External"/><Relationship Id="rId_hyperlink_497" Type="http://schemas.openxmlformats.org/officeDocument/2006/relationships/hyperlink" Target="https://nconnect.nicmar.ac.in/storage/profile/ProfilePhoto_P25700456_195823.jpg" TargetMode="External"/><Relationship Id="rId_hyperlink_498" Type="http://schemas.openxmlformats.org/officeDocument/2006/relationships/hyperlink" Target="https://nconnect.nicmar.ac.in/storage/profile/ProfilePhoto_P25700457_793145.jpg" TargetMode="External"/><Relationship Id="rId_hyperlink_499" Type="http://schemas.openxmlformats.org/officeDocument/2006/relationships/hyperlink" Target="https://nconnect.nicmar.ac.in/storage/profile/ProfilePhoto_P25700458_218963.jpg" TargetMode="External"/><Relationship Id="rId_hyperlink_500" Type="http://schemas.openxmlformats.org/officeDocument/2006/relationships/hyperlink" Target="https://nconnect.nicmar.ac.in/storage/profile/ProfilePhoto_P25700459_341756.jpg" TargetMode="External"/><Relationship Id="rId_hyperlink_501" Type="http://schemas.openxmlformats.org/officeDocument/2006/relationships/hyperlink" Target="https://nconnect.nicmar.ac.in/storage/profile/ProfilePhoto_P25700460_479385.jpg" TargetMode="External"/><Relationship Id="rId_hyperlink_502" Type="http://schemas.openxmlformats.org/officeDocument/2006/relationships/hyperlink" Target="https://nconnect.nicmar.ac.in/storage/profile/ProfilePhoto_P25700461_475293.jpg" TargetMode="External"/><Relationship Id="rId_hyperlink_503" Type="http://schemas.openxmlformats.org/officeDocument/2006/relationships/hyperlink" Target="https://nconnect.nicmar.ac.in/storage/profile/ProfilePhoto_P25700462_461837.jpg" TargetMode="External"/><Relationship Id="rId_hyperlink_504" Type="http://schemas.openxmlformats.org/officeDocument/2006/relationships/hyperlink" Target="https://nconnect.nicmar.ac.in/storage/profile/ProfilePhoto_P25700463_384196.jpg" TargetMode="External"/><Relationship Id="rId_hyperlink_505" Type="http://schemas.openxmlformats.org/officeDocument/2006/relationships/hyperlink" Target="https://nconnect.nicmar.ac.in/storage/profile/ProfilePhoto_P25700464_638752.jpg" TargetMode="External"/><Relationship Id="rId_hyperlink_506" Type="http://schemas.openxmlformats.org/officeDocument/2006/relationships/hyperlink" Target="https://nconnect.nicmar.ac.in/storage/profile/ProfilePhoto_P25700465_781254.jpg" TargetMode="External"/><Relationship Id="rId_hyperlink_507" Type="http://schemas.openxmlformats.org/officeDocument/2006/relationships/hyperlink" Target="https://nconnect.nicmar.ac.in/storage/profile/ProfilePhoto_P25700466_237615.jpg" TargetMode="External"/><Relationship Id="rId_hyperlink_508" Type="http://schemas.openxmlformats.org/officeDocument/2006/relationships/hyperlink" Target="https://nconnect.nicmar.ac.in/storage/profile/ProfilePhoto_P25700467_125643.jpg" TargetMode="External"/><Relationship Id="rId_hyperlink_509" Type="http://schemas.openxmlformats.org/officeDocument/2006/relationships/hyperlink" Target="https://nconnect.nicmar.ac.in/storage/profile/ProfilePhoto_P25700468_981762.jpg" TargetMode="External"/><Relationship Id="rId_hyperlink_510" Type="http://schemas.openxmlformats.org/officeDocument/2006/relationships/hyperlink" Target="https://nconnect.nicmar.ac.in/storage/profile/ProfilePhoto_P25700470_843725.jpg" TargetMode="External"/><Relationship Id="rId_hyperlink_511" Type="http://schemas.openxmlformats.org/officeDocument/2006/relationships/hyperlink" Target="https://nconnect.nicmar.ac.in/storage/profile/ProfilePhoto_P25700471_756394.jpg" TargetMode="External"/><Relationship Id="rId_hyperlink_512" Type="http://schemas.openxmlformats.org/officeDocument/2006/relationships/hyperlink" Target="https://nconnect.nicmar.ac.in/storage/profile/ProfilePhoto_P25700472_563742.jpg" TargetMode="External"/><Relationship Id="rId_hyperlink_513" Type="http://schemas.openxmlformats.org/officeDocument/2006/relationships/hyperlink" Target="https://nconnect.nicmar.ac.in/storage/profile/ProfilePhoto_P25700473_341952.jpg" TargetMode="External"/><Relationship Id="rId_hyperlink_514" Type="http://schemas.openxmlformats.org/officeDocument/2006/relationships/hyperlink" Target="https://nconnect.nicmar.ac.in/storage/profile/ProfilePhoto_P25700474_921674.jpg" TargetMode="External"/><Relationship Id="rId_hyperlink_515" Type="http://schemas.openxmlformats.org/officeDocument/2006/relationships/hyperlink" Target="https://nconnect.nicmar.ac.in/storage/profile/ProfilePhoto_P25700475_418297.jpg" TargetMode="External"/><Relationship Id="rId_hyperlink_516" Type="http://schemas.openxmlformats.org/officeDocument/2006/relationships/hyperlink" Target="https://nconnect.nicmar.ac.in/storage/profile/ProfilePhoto_P25700476_725986.jpg" TargetMode="External"/><Relationship Id="rId_hyperlink_517" Type="http://schemas.openxmlformats.org/officeDocument/2006/relationships/hyperlink" Target="https://nconnect.nicmar.ac.in/storage/profile/ProfilePhoto_P25700477_351924.jpg" TargetMode="External"/><Relationship Id="rId_hyperlink_518" Type="http://schemas.openxmlformats.org/officeDocument/2006/relationships/hyperlink" Target="https://nconnect.nicmar.ac.in/storage/profile/ProfilePhoto_P25700478_489325.jpg" TargetMode="External"/><Relationship Id="rId_hyperlink_519" Type="http://schemas.openxmlformats.org/officeDocument/2006/relationships/hyperlink" Target="https://nconnect.nicmar.ac.in/storage/profile/ProfilePhoto_P25700479_865294.jpg" TargetMode="External"/><Relationship Id="rId_hyperlink_520" Type="http://schemas.openxmlformats.org/officeDocument/2006/relationships/hyperlink" Target="https://nconnect.nicmar.ac.in/storage/profile/ProfilePhoto_P25700480_918634.jpg" TargetMode="External"/><Relationship Id="rId_hyperlink_521" Type="http://schemas.openxmlformats.org/officeDocument/2006/relationships/hyperlink" Target="https://nconnect.nicmar.ac.in/storage/profile/ProfilePhoto_P25700481_569471.jpg" TargetMode="External"/><Relationship Id="rId_hyperlink_522" Type="http://schemas.openxmlformats.org/officeDocument/2006/relationships/hyperlink" Target="https://nconnect.nicmar.ac.in/storage/profile/ProfilePhoto_P25700482_765438.jpg" TargetMode="External"/><Relationship Id="rId_hyperlink_523" Type="http://schemas.openxmlformats.org/officeDocument/2006/relationships/hyperlink" Target="https://nconnect.nicmar.ac.in/storage/profile/ProfilePhoto_P25700483_846325.jpg" TargetMode="External"/><Relationship Id="rId_hyperlink_524" Type="http://schemas.openxmlformats.org/officeDocument/2006/relationships/hyperlink" Target="https://nconnect.nicmar.ac.in/storage/profile/ProfilePhoto_P25700484_254718.jpg" TargetMode="External"/><Relationship Id="rId_hyperlink_525" Type="http://schemas.openxmlformats.org/officeDocument/2006/relationships/hyperlink" Target="https://nconnect.nicmar.ac.in/storage/profile/ProfilePhoto_P25700485_129836.jpg" TargetMode="External"/><Relationship Id="rId_hyperlink_526" Type="http://schemas.openxmlformats.org/officeDocument/2006/relationships/hyperlink" Target="https://nconnect.nicmar.ac.in/storage/profile/ProfilePhoto_P25700486_729541.jpg" TargetMode="External"/><Relationship Id="rId_hyperlink_527" Type="http://schemas.openxmlformats.org/officeDocument/2006/relationships/hyperlink" Target="https://nconnect.nicmar.ac.in/storage/profile/ProfilePhoto_P25700487_319528.jpg" TargetMode="External"/><Relationship Id="rId_hyperlink_528" Type="http://schemas.openxmlformats.org/officeDocument/2006/relationships/hyperlink" Target="https://nconnect.nicmar.ac.in/storage/profile/ProfilePhoto_P25700488_586793.jpg" TargetMode="External"/><Relationship Id="rId_hyperlink_529" Type="http://schemas.openxmlformats.org/officeDocument/2006/relationships/hyperlink" Target="https://nconnect.nicmar.ac.in/storage/profile/ProfilePhoto_P25700489_381496.jpg" TargetMode="External"/><Relationship Id="rId_hyperlink_530" Type="http://schemas.openxmlformats.org/officeDocument/2006/relationships/hyperlink" Target="https://nconnect.nicmar.ac.in/storage/profile/ProfilePhoto_P25700490_978215.jpg" TargetMode="External"/><Relationship Id="rId_hyperlink_531" Type="http://schemas.openxmlformats.org/officeDocument/2006/relationships/hyperlink" Target="https://nconnect.nicmar.ac.in/storage/profile/ProfilePhoto_P25700491_473681.jpg" TargetMode="External"/><Relationship Id="rId_hyperlink_532" Type="http://schemas.openxmlformats.org/officeDocument/2006/relationships/hyperlink" Target="https://nconnect.nicmar.ac.in/storage/profile/ProfilePhoto_P25700492_715349.jpg" TargetMode="External"/><Relationship Id="rId_hyperlink_533" Type="http://schemas.openxmlformats.org/officeDocument/2006/relationships/hyperlink" Target="https://nconnect.nicmar.ac.in/storage/profile/ProfilePhoto_P25700493_683249.jpg" TargetMode="External"/><Relationship Id="rId_hyperlink_534" Type="http://schemas.openxmlformats.org/officeDocument/2006/relationships/hyperlink" Target="https://nconnect.nicmar.ac.in/storage/profile/ProfilePhoto_P25700494_935762.jpg" TargetMode="External"/><Relationship Id="rId_hyperlink_535" Type="http://schemas.openxmlformats.org/officeDocument/2006/relationships/hyperlink" Target="https://nconnect.nicmar.ac.in/storage/profile/ProfilePhoto_P25700495_845126.jpg" TargetMode="External"/><Relationship Id="rId_hyperlink_536" Type="http://schemas.openxmlformats.org/officeDocument/2006/relationships/hyperlink" Target="https://nconnect.nicmar.ac.in/storage/profile/ProfilePhoto_P25700496_421673.jpg" TargetMode="External"/><Relationship Id="rId_hyperlink_537" Type="http://schemas.openxmlformats.org/officeDocument/2006/relationships/hyperlink" Target="https://nconnect.nicmar.ac.in/storage/profile/ProfilePhoto_P25700497_461735.jpg" TargetMode="External"/><Relationship Id="rId_hyperlink_538" Type="http://schemas.openxmlformats.org/officeDocument/2006/relationships/hyperlink" Target="https://nconnect.nicmar.ac.in/storage/profile/ProfilePhoto_P25700498_498652.jpg" TargetMode="External"/><Relationship Id="rId_hyperlink_539" Type="http://schemas.openxmlformats.org/officeDocument/2006/relationships/hyperlink" Target="https://nconnect.nicmar.ac.in/storage/profile/ProfilePhoto_P25700499_582613.jpg" TargetMode="External"/><Relationship Id="rId_hyperlink_540" Type="http://schemas.openxmlformats.org/officeDocument/2006/relationships/hyperlink" Target="https://nconnect.nicmar.ac.in/storage/profile/ProfilePhoto_P25700500_496237.jpg" TargetMode="External"/><Relationship Id="rId_hyperlink_541" Type="http://schemas.openxmlformats.org/officeDocument/2006/relationships/hyperlink" Target="https://nconnect.nicmar.ac.in/storage/profile/ProfilePhoto_P25700501_931728.jpg" TargetMode="External"/><Relationship Id="rId_hyperlink_542" Type="http://schemas.openxmlformats.org/officeDocument/2006/relationships/hyperlink" Target="https://nconnect.nicmar.ac.in/storage/profile/ProfilePhoto_P25700502_714592.jpg" TargetMode="External"/><Relationship Id="rId_hyperlink_543" Type="http://schemas.openxmlformats.org/officeDocument/2006/relationships/hyperlink" Target="https://nconnect.nicmar.ac.in/storage/profile/ProfilePhoto_P25700503_618932.jpg" TargetMode="External"/><Relationship Id="rId_hyperlink_544" Type="http://schemas.openxmlformats.org/officeDocument/2006/relationships/hyperlink" Target="https://nconnect.nicmar.ac.in/storage/profile/ProfilePhoto_P25700504_842731.jpg" TargetMode="External"/><Relationship Id="rId_hyperlink_545" Type="http://schemas.openxmlformats.org/officeDocument/2006/relationships/hyperlink" Target="https://nconnect.nicmar.ac.in/storage/profile/ProfilePhoto_P25700505_843196.jpg" TargetMode="External"/><Relationship Id="rId_hyperlink_546" Type="http://schemas.openxmlformats.org/officeDocument/2006/relationships/hyperlink" Target="https://nconnect.nicmar.ac.in/storage/profile/ProfilePhoto_P25700506_716935.jpg" TargetMode="External"/><Relationship Id="rId_hyperlink_547" Type="http://schemas.openxmlformats.org/officeDocument/2006/relationships/hyperlink" Target="https://nconnect.nicmar.ac.in/storage/profile/ProfilePhoto_P25700507_128367.jpg" TargetMode="External"/><Relationship Id="rId_hyperlink_548" Type="http://schemas.openxmlformats.org/officeDocument/2006/relationships/hyperlink" Target="https://nconnect.nicmar.ac.in/storage/profile/ProfilePhoto_P25700508_846395.jpg" TargetMode="External"/><Relationship Id="rId_hyperlink_549" Type="http://schemas.openxmlformats.org/officeDocument/2006/relationships/hyperlink" Target="https://nconnect.nicmar.ac.in/storage/profile/ProfilePhoto_P25700510_528964.jpg" TargetMode="External"/><Relationship Id="rId_hyperlink_550" Type="http://schemas.openxmlformats.org/officeDocument/2006/relationships/hyperlink" Target="https://nconnect.nicmar.ac.in/storage/profile/ProfilePhoto_P25700511_196873.jpg" TargetMode="External"/><Relationship Id="rId_hyperlink_551" Type="http://schemas.openxmlformats.org/officeDocument/2006/relationships/hyperlink" Target="https://nconnect.nicmar.ac.in/storage/profile/ProfilePhoto_P25700512_136547.jpg" TargetMode="External"/><Relationship Id="rId_hyperlink_552" Type="http://schemas.openxmlformats.org/officeDocument/2006/relationships/hyperlink" Target="https://nconnect.nicmar.ac.in/storage/profile/ProfilePhoto_P25700513_941562.jpg" TargetMode="External"/><Relationship Id="rId_hyperlink_553" Type="http://schemas.openxmlformats.org/officeDocument/2006/relationships/hyperlink" Target="https://nconnect.nicmar.ac.in/storage/profile/ProfilePhoto_P25700514_542397.jpg" TargetMode="External"/><Relationship Id="rId_hyperlink_554" Type="http://schemas.openxmlformats.org/officeDocument/2006/relationships/hyperlink" Target="https://nconnect.nicmar.ac.in/storage/profile/ProfilePhoto_P25700515_823165.jpg" TargetMode="External"/><Relationship Id="rId_hyperlink_555" Type="http://schemas.openxmlformats.org/officeDocument/2006/relationships/hyperlink" Target="https://nconnect.nicmar.ac.in/storage/profile/ProfilePhoto_P25700516_637824.jpg" TargetMode="External"/><Relationship Id="rId_hyperlink_556" Type="http://schemas.openxmlformats.org/officeDocument/2006/relationships/hyperlink" Target="https://nconnect.nicmar.ac.in/storage/profile/ProfilePhoto_P25700518_691543.jpg" TargetMode="External"/><Relationship Id="rId_hyperlink_557" Type="http://schemas.openxmlformats.org/officeDocument/2006/relationships/hyperlink" Target="https://nconnect.nicmar.ac.in/storage/profile/ProfilePhoto_P25700519_691532.jpg" TargetMode="External"/><Relationship Id="rId_hyperlink_558" Type="http://schemas.openxmlformats.org/officeDocument/2006/relationships/hyperlink" Target="https://nconnect.nicmar.ac.in/storage/profile/ProfilePhoto_P25700520_925738.jpg" TargetMode="External"/><Relationship Id="rId_hyperlink_559" Type="http://schemas.openxmlformats.org/officeDocument/2006/relationships/hyperlink" Target="https://nconnect.nicmar.ac.in/storage/profile/ProfilePhoto_P25700521_734961.jpg" TargetMode="External"/><Relationship Id="rId_hyperlink_560" Type="http://schemas.openxmlformats.org/officeDocument/2006/relationships/hyperlink" Target="https://nconnect.nicmar.ac.in/storage/profile/ProfilePhoto_P25700522_658429.jpg" TargetMode="External"/><Relationship Id="rId_hyperlink_561" Type="http://schemas.openxmlformats.org/officeDocument/2006/relationships/hyperlink" Target="https://nconnect.nicmar.ac.in/storage/profile/ProfilePhoto_P25700524_859374.jpg" TargetMode="External"/><Relationship Id="rId_hyperlink_562" Type="http://schemas.openxmlformats.org/officeDocument/2006/relationships/hyperlink" Target="https://nconnect.nicmar.ac.in/storage/profile/ProfilePhoto_P25700525_376924.jpg" TargetMode="External"/><Relationship Id="rId_hyperlink_563" Type="http://schemas.openxmlformats.org/officeDocument/2006/relationships/hyperlink" Target="https://nconnect.nicmar.ac.in/storage/profile/ProfilePhoto_P25700526_147892.jpg" TargetMode="External"/><Relationship Id="rId_hyperlink_564" Type="http://schemas.openxmlformats.org/officeDocument/2006/relationships/hyperlink" Target="https://nconnect.nicmar.ac.in/storage/profile/ProfilePhoto_P25700527_758192.jpg" TargetMode="External"/><Relationship Id="rId_hyperlink_565" Type="http://schemas.openxmlformats.org/officeDocument/2006/relationships/hyperlink" Target="https://nconnect.nicmar.ac.in/storage/profile/ProfilePhoto_P25700528_814675.jpg" TargetMode="External"/><Relationship Id="rId_hyperlink_566" Type="http://schemas.openxmlformats.org/officeDocument/2006/relationships/hyperlink" Target="https://nconnect.nicmar.ac.in/storage/profile/ProfilePhoto_P25700529_642317.jpg" TargetMode="External"/><Relationship Id="rId_hyperlink_567" Type="http://schemas.openxmlformats.org/officeDocument/2006/relationships/hyperlink" Target="https://nconnect.nicmar.ac.in/storage/profile/ProfilePhoto_P25700530_647152.jpg" TargetMode="External"/><Relationship Id="rId_hyperlink_568" Type="http://schemas.openxmlformats.org/officeDocument/2006/relationships/hyperlink" Target="https://nconnect.nicmar.ac.in/storage/profile/ProfilePhoto_P25700531_843916.jpg" TargetMode="External"/><Relationship Id="rId_hyperlink_569" Type="http://schemas.openxmlformats.org/officeDocument/2006/relationships/hyperlink" Target="https://nconnect.nicmar.ac.in/storage/profile/ProfilePhoto_P25700532_741398.jpg" TargetMode="External"/><Relationship Id="rId_hyperlink_570" Type="http://schemas.openxmlformats.org/officeDocument/2006/relationships/hyperlink" Target="https://nconnect.nicmar.ac.in/storage/profile/ProfilePhoto_P25700533_726583.jpg" TargetMode="External"/><Relationship Id="rId_hyperlink_571" Type="http://schemas.openxmlformats.org/officeDocument/2006/relationships/hyperlink" Target="https://nconnect.nicmar.ac.in/storage/profile/ProfilePhoto_P25700534_342198.jpg" TargetMode="External"/><Relationship Id="rId_hyperlink_572" Type="http://schemas.openxmlformats.org/officeDocument/2006/relationships/hyperlink" Target="https://nconnect.nicmar.ac.in/storage/profile/ProfilePhoto_P25700535_218456.jpg" TargetMode="External"/><Relationship Id="rId_hyperlink_573" Type="http://schemas.openxmlformats.org/officeDocument/2006/relationships/hyperlink" Target="https://nconnect.nicmar.ac.in/storage/profile/ProfilePhoto_P25700536_349728.jpg" TargetMode="External"/><Relationship Id="rId_hyperlink_574" Type="http://schemas.openxmlformats.org/officeDocument/2006/relationships/hyperlink" Target="https://nconnect.nicmar.ac.in/storage/profile/ProfilePhoto_P25700537_596821.jpg" TargetMode="External"/><Relationship Id="rId_hyperlink_575" Type="http://schemas.openxmlformats.org/officeDocument/2006/relationships/hyperlink" Target="https://nconnect.nicmar.ac.in/storage/profile/ProfilePhoto_P25700538_648517.jpg" TargetMode="External"/><Relationship Id="rId_hyperlink_576" Type="http://schemas.openxmlformats.org/officeDocument/2006/relationships/hyperlink" Target="https://nconnect.nicmar.ac.in/storage/profile/ProfilePhoto_P25700539_189627.jpg" TargetMode="External"/><Relationship Id="rId_hyperlink_577" Type="http://schemas.openxmlformats.org/officeDocument/2006/relationships/hyperlink" Target="https://nconnect.nicmar.ac.in/storage/profile/ProfilePhoto_P25700540_731968.jpg" TargetMode="External"/><Relationship Id="rId_hyperlink_578" Type="http://schemas.openxmlformats.org/officeDocument/2006/relationships/hyperlink" Target="https://nconnect.nicmar.ac.in/storage/profile/ProfilePhoto_P25700541_148765.jpg" TargetMode="External"/><Relationship Id="rId_hyperlink_579" Type="http://schemas.openxmlformats.org/officeDocument/2006/relationships/hyperlink" Target="https://nconnect.nicmar.ac.in/storage/profile/ProfilePhoto_P25700542_891354.jpg" TargetMode="External"/><Relationship Id="rId_hyperlink_580" Type="http://schemas.openxmlformats.org/officeDocument/2006/relationships/hyperlink" Target="https://nconnect.nicmar.ac.in/storage/profile/ProfilePhoto_P25700543_269387.jpg" TargetMode="External"/><Relationship Id="rId_hyperlink_581" Type="http://schemas.openxmlformats.org/officeDocument/2006/relationships/hyperlink" Target="https://nconnect.nicmar.ac.in/storage/profile/ProfilePhoto_P25700544_418352.jpg" TargetMode="External"/><Relationship Id="rId_hyperlink_582" Type="http://schemas.openxmlformats.org/officeDocument/2006/relationships/hyperlink" Target="https://nconnect.nicmar.ac.in/storage/profile/ProfilePhoto_P25700545_567941.jpg" TargetMode="External"/><Relationship Id="rId_hyperlink_583" Type="http://schemas.openxmlformats.org/officeDocument/2006/relationships/hyperlink" Target="https://nconnect.nicmar.ac.in/storage/profile/ProfilePhoto_P25700546_862451.jpg" TargetMode="External"/><Relationship Id="rId_hyperlink_584" Type="http://schemas.openxmlformats.org/officeDocument/2006/relationships/hyperlink" Target="https://nconnect.nicmar.ac.in/storage/profile/ProfilePhoto_P25700547_673924.jpg" TargetMode="External"/><Relationship Id="rId_hyperlink_585" Type="http://schemas.openxmlformats.org/officeDocument/2006/relationships/hyperlink" Target="https://nconnect.nicmar.ac.in/storage/profile/ProfilePhoto_P25700548_318946.jpg" TargetMode="External"/><Relationship Id="rId_hyperlink_586" Type="http://schemas.openxmlformats.org/officeDocument/2006/relationships/hyperlink" Target="https://nconnect.nicmar.ac.in/storage/profile/ProfilePhoto_P25700549_864517.jpg" TargetMode="External"/><Relationship Id="rId_hyperlink_587" Type="http://schemas.openxmlformats.org/officeDocument/2006/relationships/hyperlink" Target="https://nconnect.nicmar.ac.in/storage/profile/ProfilePhoto_P25700550_952413.jpg" TargetMode="External"/><Relationship Id="rId_hyperlink_588" Type="http://schemas.openxmlformats.org/officeDocument/2006/relationships/hyperlink" Target="https://nconnect.nicmar.ac.in/storage/profile/ProfilePhoto_P25700551_586341.jpg" TargetMode="External"/><Relationship Id="rId_hyperlink_589" Type="http://schemas.openxmlformats.org/officeDocument/2006/relationships/hyperlink" Target="https://nconnect.nicmar.ac.in/storage/profile/ProfilePhoto_P25700552_231985.jpg" TargetMode="External"/><Relationship Id="rId_hyperlink_590" Type="http://schemas.openxmlformats.org/officeDocument/2006/relationships/hyperlink" Target="https://nconnect.nicmar.ac.in/storage/profile/ProfilePhoto_P25700553_372649.jpg" TargetMode="External"/><Relationship Id="rId_hyperlink_591" Type="http://schemas.openxmlformats.org/officeDocument/2006/relationships/hyperlink" Target="https://nconnect.nicmar.ac.in/storage/profile/ProfilePhoto_P25700554_582394.jpg" TargetMode="External"/><Relationship Id="rId_hyperlink_592" Type="http://schemas.openxmlformats.org/officeDocument/2006/relationships/hyperlink" Target="https://nconnect.nicmar.ac.in/storage/profile/ProfilePhoto_P25700555_613982.jpg" TargetMode="External"/><Relationship Id="rId_hyperlink_593" Type="http://schemas.openxmlformats.org/officeDocument/2006/relationships/hyperlink" Target="https://nconnect.nicmar.ac.in/storage/profile/ProfilePhoto_P25700557_162945.jpg" TargetMode="External"/><Relationship Id="rId_hyperlink_594" Type="http://schemas.openxmlformats.org/officeDocument/2006/relationships/hyperlink" Target="https://nconnect.nicmar.ac.in/storage/profile/ProfilePhoto_P25700558_745321.jpg" TargetMode="External"/><Relationship Id="rId_hyperlink_595" Type="http://schemas.openxmlformats.org/officeDocument/2006/relationships/hyperlink" Target="https://nconnect.nicmar.ac.in/storage/profile/ProfilePhoto_P25700559_513428.jpg" TargetMode="External"/><Relationship Id="rId_hyperlink_596" Type="http://schemas.openxmlformats.org/officeDocument/2006/relationships/hyperlink" Target="https://nconnect.nicmar.ac.in/storage/profile/ProfilePhoto_P25700560_126375.jpg" TargetMode="External"/><Relationship Id="rId_hyperlink_597" Type="http://schemas.openxmlformats.org/officeDocument/2006/relationships/hyperlink" Target="https://nconnect.nicmar.ac.in/storage/profile/ProfilePhoto_P25700561_948516.jpg" TargetMode="External"/><Relationship Id="rId_hyperlink_598" Type="http://schemas.openxmlformats.org/officeDocument/2006/relationships/hyperlink" Target="https://nconnect.nicmar.ac.in/storage/profile/ProfilePhoto_P25700562_857264.jpg" TargetMode="External"/><Relationship Id="rId_hyperlink_599" Type="http://schemas.openxmlformats.org/officeDocument/2006/relationships/hyperlink" Target="https://nconnect.nicmar.ac.in/storage/profile/ProfilePhoto_P25700563_865279.jpg" TargetMode="External"/><Relationship Id="rId_hyperlink_600" Type="http://schemas.openxmlformats.org/officeDocument/2006/relationships/hyperlink" Target="https://nconnect.nicmar.ac.in/storage/profile/ProfilePhoto_P25700564_238796.jpg" TargetMode="External"/><Relationship Id="rId_hyperlink_601" Type="http://schemas.openxmlformats.org/officeDocument/2006/relationships/hyperlink" Target="https://nconnect.nicmar.ac.in/storage/profile/ProfilePhoto_P25700565_458762.jpg" TargetMode="External"/><Relationship Id="rId_hyperlink_602" Type="http://schemas.openxmlformats.org/officeDocument/2006/relationships/hyperlink" Target="https://nconnect.nicmar.ac.in/storage/profile/ProfilePhoto_P25700566_326841.jpg" TargetMode="External"/><Relationship Id="rId_hyperlink_603" Type="http://schemas.openxmlformats.org/officeDocument/2006/relationships/hyperlink" Target="https://nconnect.nicmar.ac.in/storage/profile/ProfilePhoto_P25700567_194573.jpg" TargetMode="External"/><Relationship Id="rId_hyperlink_604" Type="http://schemas.openxmlformats.org/officeDocument/2006/relationships/hyperlink" Target="https://nconnect.nicmar.ac.in/storage/profile/ProfilePhoto_P25700568_126738.jpg" TargetMode="External"/><Relationship Id="rId_hyperlink_605" Type="http://schemas.openxmlformats.org/officeDocument/2006/relationships/hyperlink" Target="https://nconnect.nicmar.ac.in/storage/profile/ProfilePhoto_P25700569_579436.jpg" TargetMode="External"/><Relationship Id="rId_hyperlink_606" Type="http://schemas.openxmlformats.org/officeDocument/2006/relationships/hyperlink" Target="https://nconnect.nicmar.ac.in/storage/profile/ProfilePhoto_P25700570_237541.jpg" TargetMode="External"/><Relationship Id="rId_hyperlink_607" Type="http://schemas.openxmlformats.org/officeDocument/2006/relationships/hyperlink" Target="https://nconnect.nicmar.ac.in/storage/profile/ProfilePhoto_P25700571_859736.jpg" TargetMode="External"/><Relationship Id="rId_hyperlink_608" Type="http://schemas.openxmlformats.org/officeDocument/2006/relationships/hyperlink" Target="https://nconnect.nicmar.ac.in/storage/profile/ProfilePhoto_P25700572_925681.jpg" TargetMode="External"/><Relationship Id="rId_hyperlink_609" Type="http://schemas.openxmlformats.org/officeDocument/2006/relationships/hyperlink" Target="https://nconnect.nicmar.ac.in/storage/profile/ProfilePhoto_P25700573_289415.jpg" TargetMode="External"/><Relationship Id="rId_hyperlink_610" Type="http://schemas.openxmlformats.org/officeDocument/2006/relationships/hyperlink" Target="https://nconnect.nicmar.ac.in/storage/profile/ProfilePhoto_P25700574_937814.jpg" TargetMode="External"/><Relationship Id="rId_hyperlink_611" Type="http://schemas.openxmlformats.org/officeDocument/2006/relationships/hyperlink" Target="https://nconnect.nicmar.ac.in/storage/profile/ProfilePhoto_P25700575_561478.jpg" TargetMode="External"/><Relationship Id="rId_hyperlink_612" Type="http://schemas.openxmlformats.org/officeDocument/2006/relationships/hyperlink" Target="https://nconnect.nicmar.ac.in/storage/profile/ProfilePhoto_P25700576_435176.jpg" TargetMode="External"/><Relationship Id="rId_hyperlink_613" Type="http://schemas.openxmlformats.org/officeDocument/2006/relationships/hyperlink" Target="https://nconnect.nicmar.ac.in/storage/profile/ProfilePhoto_P25700577_523498.jpg" TargetMode="External"/><Relationship Id="rId_hyperlink_614" Type="http://schemas.openxmlformats.org/officeDocument/2006/relationships/hyperlink" Target="https://nconnect.nicmar.ac.in/storage/profile/ProfilePhoto_P25700578_347951.jpg" TargetMode="External"/><Relationship Id="rId_hyperlink_615" Type="http://schemas.openxmlformats.org/officeDocument/2006/relationships/hyperlink" Target="https://nconnect.nicmar.ac.in/storage/profile/ProfilePhoto_P25700579_237859.jpg" TargetMode="External"/><Relationship Id="rId_hyperlink_616" Type="http://schemas.openxmlformats.org/officeDocument/2006/relationships/hyperlink" Target="https://nconnect.nicmar.ac.in/storage/profile/ProfilePhoto_P25700580_295186.jpg" TargetMode="External"/><Relationship Id="rId_hyperlink_617" Type="http://schemas.openxmlformats.org/officeDocument/2006/relationships/hyperlink" Target="https://nconnect.nicmar.ac.in/storage/profile/ProfilePhoto_P25700581_985367.jpg" TargetMode="External"/><Relationship Id="rId_hyperlink_618" Type="http://schemas.openxmlformats.org/officeDocument/2006/relationships/hyperlink" Target="https://nconnect.nicmar.ac.in/storage/profile/ProfilePhoto_P25700582_791845.jpg" TargetMode="External"/><Relationship Id="rId_hyperlink_619" Type="http://schemas.openxmlformats.org/officeDocument/2006/relationships/hyperlink" Target="https://nconnect.nicmar.ac.in/storage/profile/ProfilePhoto_P25700583_527169.jpg" TargetMode="External"/><Relationship Id="rId_hyperlink_620" Type="http://schemas.openxmlformats.org/officeDocument/2006/relationships/hyperlink" Target="https://nconnect.nicmar.ac.in/storage/profile/ProfilePhoto_P25700585_357829.jpg" TargetMode="External"/><Relationship Id="rId_hyperlink_621" Type="http://schemas.openxmlformats.org/officeDocument/2006/relationships/hyperlink" Target="https://nconnect.nicmar.ac.in/storage/profile/ProfilePhoto_P25700586_826451.jpg" TargetMode="External"/><Relationship Id="rId_hyperlink_622" Type="http://schemas.openxmlformats.org/officeDocument/2006/relationships/hyperlink" Target="https://nconnect.nicmar.ac.in/storage/profile/ProfilePhoto_P25700587_216584.jpg" TargetMode="External"/><Relationship Id="rId_hyperlink_623" Type="http://schemas.openxmlformats.org/officeDocument/2006/relationships/hyperlink" Target="https://nconnect.nicmar.ac.in/storage/profile/ProfilePhoto_P25700588_849236.jpg" TargetMode="External"/><Relationship Id="rId_hyperlink_624" Type="http://schemas.openxmlformats.org/officeDocument/2006/relationships/hyperlink" Target="https://nconnect.nicmar.ac.in/storage/profile/ProfilePhoto_P25700589_315784.jpg" TargetMode="External"/><Relationship Id="rId_hyperlink_625" Type="http://schemas.openxmlformats.org/officeDocument/2006/relationships/hyperlink" Target="https://nconnect.nicmar.ac.in/storage/profile/ProfilePhoto_P25700590_136924.jpg" TargetMode="External"/><Relationship Id="rId_hyperlink_626" Type="http://schemas.openxmlformats.org/officeDocument/2006/relationships/hyperlink" Target="https://nconnect.nicmar.ac.in/storage/profile/ProfilePhoto_P25700591_413927.jpg" TargetMode="External"/><Relationship Id="rId_hyperlink_627" Type="http://schemas.openxmlformats.org/officeDocument/2006/relationships/hyperlink" Target="https://nconnect.nicmar.ac.in/storage/profile/ProfilePhoto_P25700592_416579.jpg" TargetMode="External"/><Relationship Id="rId_hyperlink_628" Type="http://schemas.openxmlformats.org/officeDocument/2006/relationships/hyperlink" Target="https://nconnect.nicmar.ac.in/storage/profile/ProfilePhoto_P25700593_914835.jpg" TargetMode="External"/><Relationship Id="rId_hyperlink_629" Type="http://schemas.openxmlformats.org/officeDocument/2006/relationships/hyperlink" Target="https://nconnect.nicmar.ac.in/storage/profile/ProfilePhoto_P25700594_156829.jpg" TargetMode="External"/><Relationship Id="rId_hyperlink_630" Type="http://schemas.openxmlformats.org/officeDocument/2006/relationships/hyperlink" Target="https://nconnect.nicmar.ac.in/storage/profile/ProfilePhoto_P25700595_861492.jpg" TargetMode="External"/><Relationship Id="rId_hyperlink_631" Type="http://schemas.openxmlformats.org/officeDocument/2006/relationships/hyperlink" Target="https://nconnect.nicmar.ac.in/storage/profile/ProfilePhoto_P25700596_394516.jpg" TargetMode="External"/><Relationship Id="rId_hyperlink_632" Type="http://schemas.openxmlformats.org/officeDocument/2006/relationships/hyperlink" Target="https://nconnect.nicmar.ac.in/storage/profile/ProfilePhoto_P25700597_285793.jpg" TargetMode="External"/><Relationship Id="rId_hyperlink_633" Type="http://schemas.openxmlformats.org/officeDocument/2006/relationships/hyperlink" Target="https://nconnect.nicmar.ac.in/storage/profile/ProfilePhoto_P25700598_387159.jpg" TargetMode="External"/><Relationship Id="rId_hyperlink_634" Type="http://schemas.openxmlformats.org/officeDocument/2006/relationships/hyperlink" Target="https://nconnect.nicmar.ac.in/storage/profile/ProfilePhoto_P25700599_658143.jpg" TargetMode="External"/><Relationship Id="rId_hyperlink_635" Type="http://schemas.openxmlformats.org/officeDocument/2006/relationships/hyperlink" Target="https://nconnect.nicmar.ac.in/storage/profile/ProfilePhoto_P25700600_762981.jpg" TargetMode="External"/><Relationship Id="rId_hyperlink_636" Type="http://schemas.openxmlformats.org/officeDocument/2006/relationships/hyperlink" Target="https://nconnect.nicmar.ac.in/storage/profile/ProfilePhoto_P25700601_924578.jpg" TargetMode="External"/><Relationship Id="rId_hyperlink_637" Type="http://schemas.openxmlformats.org/officeDocument/2006/relationships/hyperlink" Target="https://nconnect.nicmar.ac.in/storage/profile/ProfilePhoto_P25700602_218567.jpg" TargetMode="External"/><Relationship Id="rId_hyperlink_638" Type="http://schemas.openxmlformats.org/officeDocument/2006/relationships/hyperlink" Target="https://nconnect.nicmar.ac.in/storage/profile/ProfilePhoto_P25700603_281359.jpg" TargetMode="External"/><Relationship Id="rId_hyperlink_639" Type="http://schemas.openxmlformats.org/officeDocument/2006/relationships/hyperlink" Target="https://nconnect.nicmar.ac.in/storage/profile/ProfilePhoto_P25700604_461283.jpg" TargetMode="External"/><Relationship Id="rId_hyperlink_640" Type="http://schemas.openxmlformats.org/officeDocument/2006/relationships/hyperlink" Target="https://nconnect.nicmar.ac.in/storage/profile/ProfilePhoto_P25700605_372681.jpg" TargetMode="External"/><Relationship Id="rId_hyperlink_641" Type="http://schemas.openxmlformats.org/officeDocument/2006/relationships/hyperlink" Target="https://nconnect.nicmar.ac.in/storage/profile/ProfilePhoto_P25700606_536718.jpg" TargetMode="External"/><Relationship Id="rId_hyperlink_642" Type="http://schemas.openxmlformats.org/officeDocument/2006/relationships/hyperlink" Target="https://nconnect.nicmar.ac.in/storage/profile/ProfilePhoto_P25700607_719423.jpg" TargetMode="External"/><Relationship Id="rId_hyperlink_643" Type="http://schemas.openxmlformats.org/officeDocument/2006/relationships/hyperlink" Target="https://nconnect.nicmar.ac.in/storage/profile/ProfilePhoto_P25700608_264975.jpg" TargetMode="External"/><Relationship Id="rId_hyperlink_644" Type="http://schemas.openxmlformats.org/officeDocument/2006/relationships/hyperlink" Target="https://nconnect.nicmar.ac.in/storage/profile/ProfilePhoto_P25700609_852341.jpg" TargetMode="External"/><Relationship Id="rId_hyperlink_645" Type="http://schemas.openxmlformats.org/officeDocument/2006/relationships/hyperlink" Target="https://nconnect.nicmar.ac.in/storage/profile/ProfilePhoto_P25700610_143892.jpg" TargetMode="External"/><Relationship Id="rId_hyperlink_646" Type="http://schemas.openxmlformats.org/officeDocument/2006/relationships/hyperlink" Target="https://nconnect.nicmar.ac.in/storage/profile/ProfilePhoto_P25700611_842917.jpg" TargetMode="External"/><Relationship Id="rId_hyperlink_647" Type="http://schemas.openxmlformats.org/officeDocument/2006/relationships/hyperlink" Target="https://nconnect.nicmar.ac.in/storage/profile/ProfilePhoto_P25700612_964275.jpg" TargetMode="External"/><Relationship Id="rId_hyperlink_648" Type="http://schemas.openxmlformats.org/officeDocument/2006/relationships/hyperlink" Target="https://nconnect.nicmar.ac.in/storage/profile/ProfilePhoto_P25700613_197586.jpg" TargetMode="External"/><Relationship Id="rId_hyperlink_649" Type="http://schemas.openxmlformats.org/officeDocument/2006/relationships/hyperlink" Target="https://nconnect.nicmar.ac.in/storage/profile/ProfilePhoto_P25700614_342179.jpg" TargetMode="External"/><Relationship Id="rId_hyperlink_650" Type="http://schemas.openxmlformats.org/officeDocument/2006/relationships/hyperlink" Target="https://nconnect.nicmar.ac.in/storage/profile/ProfilePhoto_P25700615_362518.jpg" TargetMode="External"/><Relationship Id="rId_hyperlink_651" Type="http://schemas.openxmlformats.org/officeDocument/2006/relationships/hyperlink" Target="https://nconnect.nicmar.ac.in/storage/profile/ProfilePhoto_P25700617_543618.jpg" TargetMode="External"/><Relationship Id="rId_hyperlink_652" Type="http://schemas.openxmlformats.org/officeDocument/2006/relationships/hyperlink" Target="https://nconnect.nicmar.ac.in/storage/profile/ProfilePhoto_P25700618_523847.jpg" TargetMode="External"/><Relationship Id="rId_hyperlink_653" Type="http://schemas.openxmlformats.org/officeDocument/2006/relationships/hyperlink" Target="https://nconnect.nicmar.ac.in/storage/profile/ProfilePhoto_P25700619_852364.jpg" TargetMode="External"/><Relationship Id="rId_hyperlink_654" Type="http://schemas.openxmlformats.org/officeDocument/2006/relationships/hyperlink" Target="https://nconnect.nicmar.ac.in/storage/profile/ProfilePhoto_P25700620_259716.jpg" TargetMode="External"/><Relationship Id="rId_hyperlink_655" Type="http://schemas.openxmlformats.org/officeDocument/2006/relationships/hyperlink" Target="https://nconnect.nicmar.ac.in/storage/profile/ProfilePhoto_P25700621_452871.jpg" TargetMode="External"/><Relationship Id="rId_hyperlink_656" Type="http://schemas.openxmlformats.org/officeDocument/2006/relationships/hyperlink" Target="https://nconnect.nicmar.ac.in/storage/profile/ProfilePhoto_P25700622_639152.jpg" TargetMode="External"/><Relationship Id="rId_hyperlink_657" Type="http://schemas.openxmlformats.org/officeDocument/2006/relationships/hyperlink" Target="https://nconnect.nicmar.ac.in/storage/profile/ProfilePhoto_P25700623_438172.jpg" TargetMode="External"/><Relationship Id="rId_hyperlink_658" Type="http://schemas.openxmlformats.org/officeDocument/2006/relationships/hyperlink" Target="https://nconnect.nicmar.ac.in/storage/profile/ProfilePhoto_P25700624_834795.jpg" TargetMode="External"/><Relationship Id="rId_hyperlink_659" Type="http://schemas.openxmlformats.org/officeDocument/2006/relationships/hyperlink" Target="https://nconnect.nicmar.ac.in/storage/profile/ProfilePhoto_P25700626_346895.jpg" TargetMode="External"/><Relationship Id="rId_hyperlink_660" Type="http://schemas.openxmlformats.org/officeDocument/2006/relationships/hyperlink" Target="https://nconnect.nicmar.ac.in/storage/profile/ProfilePhoto_P25700627_278145.jpg" TargetMode="External"/><Relationship Id="rId_hyperlink_661" Type="http://schemas.openxmlformats.org/officeDocument/2006/relationships/hyperlink" Target="https://nconnect.nicmar.ac.in/storage/profile/ProfilePhoto_P25700628_692713.jpg" TargetMode="External"/><Relationship Id="rId_hyperlink_662" Type="http://schemas.openxmlformats.org/officeDocument/2006/relationships/hyperlink" Target="https://nconnect.nicmar.ac.in/storage/profile/ProfilePhoto_P25700629_729153.jpg" TargetMode="External"/><Relationship Id="rId_hyperlink_663" Type="http://schemas.openxmlformats.org/officeDocument/2006/relationships/hyperlink" Target="https://nconnect.nicmar.ac.in/storage/profile/ProfilePhoto_P25700630_165892.jpg" TargetMode="External"/><Relationship Id="rId_hyperlink_664" Type="http://schemas.openxmlformats.org/officeDocument/2006/relationships/hyperlink" Target="https://nconnect.nicmar.ac.in/storage/profile/ProfilePhoto_P25700631_576189.jpg" TargetMode="External"/><Relationship Id="rId_hyperlink_665" Type="http://schemas.openxmlformats.org/officeDocument/2006/relationships/hyperlink" Target="https://nconnect.nicmar.ac.in/storage/profile/ProfilePhoto_P25700632_185743.jpg" TargetMode="External"/><Relationship Id="rId_hyperlink_666" Type="http://schemas.openxmlformats.org/officeDocument/2006/relationships/hyperlink" Target="https://nconnect.nicmar.ac.in/storage/profile/ProfilePhoto_P25700633_541692.jpg" TargetMode="External"/><Relationship Id="rId_hyperlink_667" Type="http://schemas.openxmlformats.org/officeDocument/2006/relationships/hyperlink" Target="https://nconnect.nicmar.ac.in/storage/profile/ProfilePhoto_P25700634_569782.jpg" TargetMode="External"/><Relationship Id="rId_hyperlink_668" Type="http://schemas.openxmlformats.org/officeDocument/2006/relationships/hyperlink" Target="https://nconnect.nicmar.ac.in/storage/profile/ProfilePhoto_P25700635_576948.jpg" TargetMode="External"/><Relationship Id="rId_hyperlink_669" Type="http://schemas.openxmlformats.org/officeDocument/2006/relationships/hyperlink" Target="https://nconnect.nicmar.ac.in/storage/profile/ProfilePhoto_P25700636_598721.jpg" TargetMode="External"/><Relationship Id="rId_hyperlink_670" Type="http://schemas.openxmlformats.org/officeDocument/2006/relationships/hyperlink" Target="https://nconnect.nicmar.ac.in/storage/profile/ProfilePhoto_P25700637_371864.jpg" TargetMode="External"/><Relationship Id="rId_hyperlink_671" Type="http://schemas.openxmlformats.org/officeDocument/2006/relationships/hyperlink" Target="https://nconnect.nicmar.ac.in/storage/profile/ProfilePhoto_P25700638_523967.jpg" TargetMode="External"/><Relationship Id="rId_hyperlink_672" Type="http://schemas.openxmlformats.org/officeDocument/2006/relationships/hyperlink" Target="https://nconnect.nicmar.ac.in/storage/profile/ProfilePhoto_P25700639_613785.jpg" TargetMode="External"/><Relationship Id="rId_hyperlink_673" Type="http://schemas.openxmlformats.org/officeDocument/2006/relationships/hyperlink" Target="https://nconnect.nicmar.ac.in/storage/profile/ProfilePhoto_P25700640_718623.jpg" TargetMode="External"/><Relationship Id="rId_hyperlink_674" Type="http://schemas.openxmlformats.org/officeDocument/2006/relationships/hyperlink" Target="https://nconnect.nicmar.ac.in/storage/profile/ProfilePhoto_P25700641_316458.jpg" TargetMode="External"/><Relationship Id="rId_hyperlink_675" Type="http://schemas.openxmlformats.org/officeDocument/2006/relationships/hyperlink" Target="https://nconnect.nicmar.ac.in/storage/profile/ProfilePhoto_P25700642_472538.jpg" TargetMode="External"/><Relationship Id="rId_hyperlink_676" Type="http://schemas.openxmlformats.org/officeDocument/2006/relationships/hyperlink" Target="https://nconnect.nicmar.ac.in/storage/profile/ProfilePhoto_P25700643_542673.jpg" TargetMode="External"/><Relationship Id="rId_hyperlink_677" Type="http://schemas.openxmlformats.org/officeDocument/2006/relationships/hyperlink" Target="https://nconnect.nicmar.ac.in/storage/profile/ProfilePhoto_P25700644_925768.jpg" TargetMode="External"/><Relationship Id="rId_hyperlink_678" Type="http://schemas.openxmlformats.org/officeDocument/2006/relationships/hyperlink" Target="https://nconnect.nicmar.ac.in/storage/profile/ProfilePhoto_P25700645_346279.jpg" TargetMode="External"/><Relationship Id="rId_hyperlink_679" Type="http://schemas.openxmlformats.org/officeDocument/2006/relationships/hyperlink" Target="https://nconnect.nicmar.ac.in/storage/profile/ProfilePhoto_P25700646_127359.jpg" TargetMode="External"/><Relationship Id="rId_hyperlink_680" Type="http://schemas.openxmlformats.org/officeDocument/2006/relationships/hyperlink" Target="https://nconnect.nicmar.ac.in/storage/profile/ProfilePhoto_P25700647_481956.jpg" TargetMode="External"/><Relationship Id="rId_hyperlink_681" Type="http://schemas.openxmlformats.org/officeDocument/2006/relationships/hyperlink" Target="https://nconnect.nicmar.ac.in/storage/profile/ProfilePhoto_P25700648_167498.jpg" TargetMode="External"/><Relationship Id="rId_hyperlink_682" Type="http://schemas.openxmlformats.org/officeDocument/2006/relationships/hyperlink" Target="https://nconnect.nicmar.ac.in/storage/profile/ProfilePhoto_P25700649_431865.jpg" TargetMode="External"/><Relationship Id="rId_hyperlink_683" Type="http://schemas.openxmlformats.org/officeDocument/2006/relationships/hyperlink" Target="https://nconnect.nicmar.ac.in/storage/profile/ProfilePhoto_P25700650_487352.jpg" TargetMode="External"/><Relationship Id="rId_hyperlink_684" Type="http://schemas.openxmlformats.org/officeDocument/2006/relationships/hyperlink" Target="https://nconnect.nicmar.ac.in/storage/profile/ProfilePhoto_P25700651_715392.jpg" TargetMode="External"/><Relationship Id="rId_hyperlink_685" Type="http://schemas.openxmlformats.org/officeDocument/2006/relationships/hyperlink" Target="https://nconnect.nicmar.ac.in/storage/profile/ProfilePhoto_P25700652_942673.jpg" TargetMode="External"/><Relationship Id="rId_hyperlink_686" Type="http://schemas.openxmlformats.org/officeDocument/2006/relationships/hyperlink" Target="https://nconnect.nicmar.ac.in/storage/profile/ProfilePhoto_P25700653_961745.jpg" TargetMode="External"/><Relationship Id="rId_hyperlink_687" Type="http://schemas.openxmlformats.org/officeDocument/2006/relationships/hyperlink" Target="https://nconnect.nicmar.ac.in/storage/profile/ProfilePhoto_P25700654_483671.jpg" TargetMode="External"/><Relationship Id="rId_hyperlink_688" Type="http://schemas.openxmlformats.org/officeDocument/2006/relationships/hyperlink" Target="https://nconnect.nicmar.ac.in/storage/profile/ProfilePhoto_P25700655_148397.jpg" TargetMode="External"/><Relationship Id="rId_hyperlink_689" Type="http://schemas.openxmlformats.org/officeDocument/2006/relationships/hyperlink" Target="https://nconnect.nicmar.ac.in/storage/profile/ProfilePhoto_P25700656_593681.jpg" TargetMode="External"/><Relationship Id="rId_hyperlink_690" Type="http://schemas.openxmlformats.org/officeDocument/2006/relationships/hyperlink" Target="https://nconnect.nicmar.ac.in/storage/profile/ProfilePhoto_P25700657_983527.jpg" TargetMode="External"/><Relationship Id="rId_hyperlink_691" Type="http://schemas.openxmlformats.org/officeDocument/2006/relationships/hyperlink" Target="https://nconnect.nicmar.ac.in/storage/profile/ProfilePhoto_P25700658_675928.jpg" TargetMode="External"/><Relationship Id="rId_hyperlink_692" Type="http://schemas.openxmlformats.org/officeDocument/2006/relationships/hyperlink" Target="https://nconnect.nicmar.ac.in/storage/profile/ProfilePhoto_P25700659_347681.jpg" TargetMode="External"/><Relationship Id="rId_hyperlink_693" Type="http://schemas.openxmlformats.org/officeDocument/2006/relationships/hyperlink" Target="https://nconnect.nicmar.ac.in/storage/profile/ProfilePhoto_P25700660_348769.jpg" TargetMode="External"/><Relationship Id="rId_hyperlink_694" Type="http://schemas.openxmlformats.org/officeDocument/2006/relationships/hyperlink" Target="https://nconnect.nicmar.ac.in/storage/profile/ProfilePhoto_P25700661_438971.jpg" TargetMode="External"/><Relationship Id="rId_hyperlink_695" Type="http://schemas.openxmlformats.org/officeDocument/2006/relationships/hyperlink" Target="https://nconnect.nicmar.ac.in/storage/profile/ProfilePhoto_P25700662_857164.jpg" TargetMode="External"/><Relationship Id="rId_hyperlink_696" Type="http://schemas.openxmlformats.org/officeDocument/2006/relationships/hyperlink" Target="https://nconnect.nicmar.ac.in/storage/profile/ProfilePhoto_P25700663_453187.jpg" TargetMode="External"/><Relationship Id="rId_hyperlink_697" Type="http://schemas.openxmlformats.org/officeDocument/2006/relationships/hyperlink" Target="https://nconnect.nicmar.ac.in/storage/profile/ProfilePhoto_P25700664_238457.jpg" TargetMode="External"/><Relationship Id="rId_hyperlink_698" Type="http://schemas.openxmlformats.org/officeDocument/2006/relationships/hyperlink" Target="https://nconnect.nicmar.ac.in/storage/profile/ProfilePhoto_P25700665_185362.jpg" TargetMode="External"/><Relationship Id="rId_hyperlink_699" Type="http://schemas.openxmlformats.org/officeDocument/2006/relationships/hyperlink" Target="https://nconnect.nicmar.ac.in/storage/profile/ProfilePhoto_P25700666_356489.jpg" TargetMode="External"/><Relationship Id="rId_hyperlink_700" Type="http://schemas.openxmlformats.org/officeDocument/2006/relationships/hyperlink" Target="https://nconnect.nicmar.ac.in/storage/profile/ProfilePhoto_P25700667_685391.jpg" TargetMode="External"/><Relationship Id="rId_hyperlink_701" Type="http://schemas.openxmlformats.org/officeDocument/2006/relationships/hyperlink" Target="https://nconnect.nicmar.ac.in/storage/profile/ProfilePhoto_P25700668_892617.jpg" TargetMode="External"/><Relationship Id="rId_hyperlink_702" Type="http://schemas.openxmlformats.org/officeDocument/2006/relationships/hyperlink" Target="https://nconnect.nicmar.ac.in/storage/profile/ProfilePhoto_P25700669_295168.jpg" TargetMode="External"/><Relationship Id="rId_hyperlink_703" Type="http://schemas.openxmlformats.org/officeDocument/2006/relationships/hyperlink" Target="https://nconnect.nicmar.ac.in/storage/profile/ProfilePhoto_P25700670_485319.jpg" TargetMode="External"/><Relationship Id="rId_hyperlink_704" Type="http://schemas.openxmlformats.org/officeDocument/2006/relationships/hyperlink" Target="https://nconnect.nicmar.ac.in/storage/profile/ProfilePhoto_P25700671_749136.jpg" TargetMode="External"/><Relationship Id="rId_hyperlink_705" Type="http://schemas.openxmlformats.org/officeDocument/2006/relationships/hyperlink" Target="https://nconnect.nicmar.ac.in/storage/profile/ProfilePhoto_P25700672_847361.jpg" TargetMode="External"/><Relationship Id="rId_hyperlink_706" Type="http://schemas.openxmlformats.org/officeDocument/2006/relationships/hyperlink" Target="https://nconnect.nicmar.ac.in/storage/profile/ProfilePhoto_P25700673_596741.jpg" TargetMode="External"/><Relationship Id="rId_hyperlink_707" Type="http://schemas.openxmlformats.org/officeDocument/2006/relationships/hyperlink" Target="https://nconnect.nicmar.ac.in/storage/profile/ProfilePhoto_P25700674_179648.jpg" TargetMode="External"/><Relationship Id="rId_hyperlink_708" Type="http://schemas.openxmlformats.org/officeDocument/2006/relationships/hyperlink" Target="https://nconnect.nicmar.ac.in/storage/profile/ProfilePhoto_P25700675_971354.jpg" TargetMode="External"/><Relationship Id="rId_hyperlink_709" Type="http://schemas.openxmlformats.org/officeDocument/2006/relationships/hyperlink" Target="https://nconnect.nicmar.ac.in/storage/profile/ProfilePhoto_P25700676_965278.jpg" TargetMode="External"/><Relationship Id="rId_hyperlink_710" Type="http://schemas.openxmlformats.org/officeDocument/2006/relationships/hyperlink" Target="https://nconnect.nicmar.ac.in/storage/profile/ProfilePhoto_P25700677_147963.jpg" TargetMode="External"/><Relationship Id="rId_hyperlink_711" Type="http://schemas.openxmlformats.org/officeDocument/2006/relationships/hyperlink" Target="https://nconnect.nicmar.ac.in/storage/profile/ProfilePhoto_P25700678_436728.jpg" TargetMode="External"/><Relationship Id="rId_hyperlink_712" Type="http://schemas.openxmlformats.org/officeDocument/2006/relationships/hyperlink" Target="https://nconnect.nicmar.ac.in/storage/profile/ProfilePhoto_P25700679_568347.jpg" TargetMode="External"/><Relationship Id="rId_hyperlink_713" Type="http://schemas.openxmlformats.org/officeDocument/2006/relationships/hyperlink" Target="https://nconnect.nicmar.ac.in/storage/profile/ProfilePhoto_P25700680_758621.jpg" TargetMode="External"/><Relationship Id="rId_hyperlink_714" Type="http://schemas.openxmlformats.org/officeDocument/2006/relationships/hyperlink" Target="https://nconnect.nicmar.ac.in/storage/profile/ProfilePhoto_P25700681_619574.jpg" TargetMode="External"/><Relationship Id="rId_hyperlink_715" Type="http://schemas.openxmlformats.org/officeDocument/2006/relationships/hyperlink" Target="https://nconnect.nicmar.ac.in/storage/profile/ProfilePhoto_P25700682_615498.jpg" TargetMode="External"/><Relationship Id="rId_hyperlink_716" Type="http://schemas.openxmlformats.org/officeDocument/2006/relationships/hyperlink" Target="https://nconnect.nicmar.ac.in/storage/profile/ProfilePhoto_P25700683_957612.jpg" TargetMode="External"/><Relationship Id="rId_hyperlink_717" Type="http://schemas.openxmlformats.org/officeDocument/2006/relationships/hyperlink" Target="https://nconnect.nicmar.ac.in/storage/profile/ProfilePhoto_P25700684_186534.jpg" TargetMode="External"/><Relationship Id="rId_hyperlink_718" Type="http://schemas.openxmlformats.org/officeDocument/2006/relationships/hyperlink" Target="https://nconnect.nicmar.ac.in/storage/profile/ProfilePhoto_P25700685_324561.jpg" TargetMode="External"/><Relationship Id="rId_hyperlink_719" Type="http://schemas.openxmlformats.org/officeDocument/2006/relationships/hyperlink" Target="https://nconnect.nicmar.ac.in/storage/profile/ProfilePhoto_P25700686_647582.jpg" TargetMode="External"/><Relationship Id="rId_hyperlink_720" Type="http://schemas.openxmlformats.org/officeDocument/2006/relationships/hyperlink" Target="https://nconnect.nicmar.ac.in/storage/profile/ProfilePhoto_P25700687_475918.jpg" TargetMode="External"/><Relationship Id="rId_hyperlink_721" Type="http://schemas.openxmlformats.org/officeDocument/2006/relationships/hyperlink" Target="https://nconnect.nicmar.ac.in/storage/profile/ProfilePhoto_P25700688_241639.jpg" TargetMode="External"/><Relationship Id="rId_hyperlink_722" Type="http://schemas.openxmlformats.org/officeDocument/2006/relationships/hyperlink" Target="https://nconnect.nicmar.ac.in/storage/profile/ProfilePhoto_P25700689_513962.jpg" TargetMode="External"/><Relationship Id="rId_hyperlink_723" Type="http://schemas.openxmlformats.org/officeDocument/2006/relationships/hyperlink" Target="https://nconnect.nicmar.ac.in/storage/profile/ProfilePhoto_P25700690_598276.jpg" TargetMode="External"/><Relationship Id="rId_hyperlink_724" Type="http://schemas.openxmlformats.org/officeDocument/2006/relationships/hyperlink" Target="https://nconnect.nicmar.ac.in/storage/profile/ProfilePhoto_P25700691_937165.jpg" TargetMode="External"/><Relationship Id="rId_hyperlink_725" Type="http://schemas.openxmlformats.org/officeDocument/2006/relationships/hyperlink" Target="https://nconnect.nicmar.ac.in/storage/profile/ProfilePhoto_P25700692_921468.jpg" TargetMode="External"/><Relationship Id="rId_hyperlink_726" Type="http://schemas.openxmlformats.org/officeDocument/2006/relationships/hyperlink" Target="https://nconnect.nicmar.ac.in/storage/profile/ProfilePhoto_P25700693_573496.jpg" TargetMode="External"/><Relationship Id="rId_hyperlink_727" Type="http://schemas.openxmlformats.org/officeDocument/2006/relationships/hyperlink" Target="https://nconnect.nicmar.ac.in/storage/profile/ProfilePhoto_P25700695_518436.jpg" TargetMode="External"/><Relationship Id="rId_hyperlink_728" Type="http://schemas.openxmlformats.org/officeDocument/2006/relationships/hyperlink" Target="https://nconnect.nicmar.ac.in/storage/profile/ProfilePhoto_P25700696_167394.jpg" TargetMode="External"/><Relationship Id="rId_hyperlink_729" Type="http://schemas.openxmlformats.org/officeDocument/2006/relationships/hyperlink" Target="https://nconnect.nicmar.ac.in/storage/profile/ProfilePhoto_P25700697_765314.jpg" TargetMode="External"/><Relationship Id="rId_hyperlink_730" Type="http://schemas.openxmlformats.org/officeDocument/2006/relationships/hyperlink" Target="https://nconnect.nicmar.ac.in/storage/profile/ProfilePhoto_P25700698_564379.jpg" TargetMode="External"/><Relationship Id="rId_hyperlink_731" Type="http://schemas.openxmlformats.org/officeDocument/2006/relationships/hyperlink" Target="https://nconnect.nicmar.ac.in/storage/profile/ProfilePhoto_P25700699_273694.jpg" TargetMode="External"/><Relationship Id="rId_hyperlink_732" Type="http://schemas.openxmlformats.org/officeDocument/2006/relationships/hyperlink" Target="https://nconnect.nicmar.ac.in/storage/profile/ProfilePhoto_P25700700_612583.jpg" TargetMode="External"/><Relationship Id="rId_hyperlink_733" Type="http://schemas.openxmlformats.org/officeDocument/2006/relationships/hyperlink" Target="https://nconnect.nicmar.ac.in/storage/profile/6a64a0cad9a96.png" TargetMode="External"/><Relationship Id="rId_hyperlink_734" Type="http://schemas.openxmlformats.org/officeDocument/2006/relationships/hyperlink" Target="https://nconnect.nicmar.ac.in/storage/profile/ProfilePhoto_P25700702_167429.jpg" TargetMode="External"/><Relationship Id="rId_hyperlink_735" Type="http://schemas.openxmlformats.org/officeDocument/2006/relationships/hyperlink" Target="https://nconnect.nicmar.ac.in/storage/profile/ProfilePhoto_P25700703_628351.jpg" TargetMode="External"/><Relationship Id="rId_hyperlink_736" Type="http://schemas.openxmlformats.org/officeDocument/2006/relationships/hyperlink" Target="https://nconnect.nicmar.ac.in/storage/profile/ProfilePhoto_P25700704_865749.jpg" TargetMode="External"/><Relationship Id="rId_hyperlink_737" Type="http://schemas.openxmlformats.org/officeDocument/2006/relationships/hyperlink" Target="https://nconnect.nicmar.ac.in/storage/profile/ProfilePhoto_P25700705_645739.jpg" TargetMode="External"/><Relationship Id="rId_hyperlink_738" Type="http://schemas.openxmlformats.org/officeDocument/2006/relationships/hyperlink" Target="https://nconnect.nicmar.ac.in/storage/profile/ProfilePhoto_P25700706_624518.jpg" TargetMode="External"/><Relationship Id="rId_hyperlink_739" Type="http://schemas.openxmlformats.org/officeDocument/2006/relationships/hyperlink" Target="https://nconnect.nicmar.ac.in/storage/profile/ProfilePhoto_P25700707_593176.jpg" TargetMode="External"/><Relationship Id="rId_hyperlink_740" Type="http://schemas.openxmlformats.org/officeDocument/2006/relationships/hyperlink" Target="https://nconnect.nicmar.ac.in/storage/profile/ProfilePhoto_P25700708_764359.jpg" TargetMode="External"/><Relationship Id="rId_hyperlink_741" Type="http://schemas.openxmlformats.org/officeDocument/2006/relationships/hyperlink" Target="https://nconnect.nicmar.ac.in/storage/profile/ProfilePhoto_P25700709_218653.jpg" TargetMode="External"/><Relationship Id="rId_hyperlink_742" Type="http://schemas.openxmlformats.org/officeDocument/2006/relationships/hyperlink" Target="https://nconnect.nicmar.ac.in/storage/profile/ProfilePhoto_P25700710_586142.jpg" TargetMode="External"/><Relationship Id="rId_hyperlink_743" Type="http://schemas.openxmlformats.org/officeDocument/2006/relationships/hyperlink" Target="https://nconnect.nicmar.ac.in/storage/profile/ProfilePhoto_P25700711_478962.jpg" TargetMode="External"/><Relationship Id="rId_hyperlink_744" Type="http://schemas.openxmlformats.org/officeDocument/2006/relationships/hyperlink" Target="https://nconnect.nicmar.ac.in/storage/profile/ProfilePhoto_P25700712_684593.jpg" TargetMode="External"/><Relationship Id="rId_hyperlink_745" Type="http://schemas.openxmlformats.org/officeDocument/2006/relationships/hyperlink" Target="https://nconnect.nicmar.ac.in/storage/profile/ProfilePhoto_P25700714_634851.jpg" TargetMode="External"/><Relationship Id="rId_hyperlink_746" Type="http://schemas.openxmlformats.org/officeDocument/2006/relationships/hyperlink" Target="https://nconnect.nicmar.ac.in/storage/profile/ProfilePhoto_P25700715_431895.jpg" TargetMode="External"/><Relationship Id="rId_hyperlink_747" Type="http://schemas.openxmlformats.org/officeDocument/2006/relationships/hyperlink" Target="https://nconnect.nicmar.ac.in/storage/profile/ProfilePhoto_P25700716_596743.jpg" TargetMode="External"/><Relationship Id="rId_hyperlink_748" Type="http://schemas.openxmlformats.org/officeDocument/2006/relationships/hyperlink" Target="https://nconnect.nicmar.ac.in/storage/profile/ProfilePhoto_P25700717_983154.jpg" TargetMode="External"/><Relationship Id="rId_hyperlink_749" Type="http://schemas.openxmlformats.org/officeDocument/2006/relationships/hyperlink" Target="https://nconnect.nicmar.ac.in/storage/profile/ProfilePhoto_P25700718_186239.jpg" TargetMode="External"/><Relationship Id="rId_hyperlink_750" Type="http://schemas.openxmlformats.org/officeDocument/2006/relationships/hyperlink" Target="https://nconnect.nicmar.ac.in/storage/profile/ProfilePhoto_P25700719_518623.jpg" TargetMode="External"/><Relationship Id="rId_hyperlink_751" Type="http://schemas.openxmlformats.org/officeDocument/2006/relationships/hyperlink" Target="https://nconnect.nicmar.ac.in/storage/profile/ProfilePhoto_P25700720_297461.jpg" TargetMode="External"/><Relationship Id="rId_hyperlink_752" Type="http://schemas.openxmlformats.org/officeDocument/2006/relationships/hyperlink" Target="https://nconnect.nicmar.ac.in/storage/profile/ProfilePhoto_P25700721_783129.jpg" TargetMode="External"/><Relationship Id="rId_hyperlink_753" Type="http://schemas.openxmlformats.org/officeDocument/2006/relationships/hyperlink" Target="https://nconnect.nicmar.ac.in/storage/profile/ProfilePhoto_P25700722_325679.jpg" TargetMode="External"/><Relationship Id="rId_hyperlink_754" Type="http://schemas.openxmlformats.org/officeDocument/2006/relationships/hyperlink" Target="https://nconnect.nicmar.ac.in/storage/profile/ProfilePhoto_P25700723_862314.jpg" TargetMode="External"/><Relationship Id="rId_hyperlink_755" Type="http://schemas.openxmlformats.org/officeDocument/2006/relationships/hyperlink" Target="https://nconnect.nicmar.ac.in/storage/profile/ProfilePhoto_P25700724_394512.jpg" TargetMode="External"/><Relationship Id="rId_hyperlink_756" Type="http://schemas.openxmlformats.org/officeDocument/2006/relationships/hyperlink" Target="https://nconnect.nicmar.ac.in/storage/profile/ProfilePhoto_P25700725_384512.jpg" TargetMode="External"/><Relationship Id="rId_hyperlink_757" Type="http://schemas.openxmlformats.org/officeDocument/2006/relationships/hyperlink" Target="https://nconnect.nicmar.ac.in/storage/profile/ProfilePhoto_P25700727_591248.jpg" TargetMode="External"/><Relationship Id="rId_hyperlink_758" Type="http://schemas.openxmlformats.org/officeDocument/2006/relationships/hyperlink" Target="https://nconnect.nicmar.ac.in/storage/profile/ProfilePhoto_P25700729_957261.jpg" TargetMode="External"/><Relationship Id="rId_hyperlink_759" Type="http://schemas.openxmlformats.org/officeDocument/2006/relationships/hyperlink" Target="https://nconnect.nicmar.ac.in/storage/profile/ProfilePhoto_P25700730_295671.jpg" TargetMode="External"/><Relationship Id="rId_hyperlink_760" Type="http://schemas.openxmlformats.org/officeDocument/2006/relationships/hyperlink" Target="https://nconnect.nicmar.ac.in/storage/profile/ProfilePhoto_P25700731_859741.jpg" TargetMode="External"/><Relationship Id="rId_hyperlink_761" Type="http://schemas.openxmlformats.org/officeDocument/2006/relationships/hyperlink" Target="https://nconnect.nicmar.ac.in/storage/profile/ProfilePhoto_P25700732_983572.jpg" TargetMode="External"/><Relationship Id="rId_hyperlink_762" Type="http://schemas.openxmlformats.org/officeDocument/2006/relationships/hyperlink" Target="https://nconnect.nicmar.ac.in/storage/profile/ProfilePhoto_P25700733_564197.jpg" TargetMode="External"/><Relationship Id="rId_hyperlink_763" Type="http://schemas.openxmlformats.org/officeDocument/2006/relationships/hyperlink" Target="https://nconnect.nicmar.ac.in/storage/profile/ProfilePhoto_P25700734_648325.jpg" TargetMode="External"/><Relationship Id="rId_hyperlink_764" Type="http://schemas.openxmlformats.org/officeDocument/2006/relationships/hyperlink" Target="https://nconnect.nicmar.ac.in/storage/profile/ProfilePhoto_P25700735_173845.jpg" TargetMode="External"/><Relationship Id="rId_hyperlink_765" Type="http://schemas.openxmlformats.org/officeDocument/2006/relationships/hyperlink" Target="https://nconnect.nicmar.ac.in/storage/profile/ProfilePhoto_P25700736_278395.jpg" TargetMode="External"/><Relationship Id="rId_hyperlink_766" Type="http://schemas.openxmlformats.org/officeDocument/2006/relationships/hyperlink" Target="https://nconnect.nicmar.ac.in/storage/profile/ProfilePhoto_P25700737_218935.jpg" TargetMode="External"/><Relationship Id="rId_hyperlink_767" Type="http://schemas.openxmlformats.org/officeDocument/2006/relationships/hyperlink" Target="https://nconnect.nicmar.ac.in/storage/profile/ProfilePhoto_P25700739_914235.jpg" TargetMode="External"/><Relationship Id="rId_hyperlink_768" Type="http://schemas.openxmlformats.org/officeDocument/2006/relationships/hyperlink" Target="https://nconnect.nicmar.ac.in/storage/profile/ProfilePhoto_P25700740_145692.jpg" TargetMode="External"/><Relationship Id="rId_hyperlink_769" Type="http://schemas.openxmlformats.org/officeDocument/2006/relationships/hyperlink" Target="https://nconnect.nicmar.ac.in/storage/profile/ProfilePhoto_P25700741_246781.jpg" TargetMode="External"/><Relationship Id="rId_hyperlink_770" Type="http://schemas.openxmlformats.org/officeDocument/2006/relationships/hyperlink" Target="https://nconnect.nicmar.ac.in/storage/profile/ProfilePhoto_P25700742_926831.jpg" TargetMode="External"/><Relationship Id="rId_hyperlink_771" Type="http://schemas.openxmlformats.org/officeDocument/2006/relationships/hyperlink" Target="https://nconnect.nicmar.ac.in/storage/profile/ProfilePhoto_P25700743_731954.jpg" TargetMode="External"/><Relationship Id="rId_hyperlink_772" Type="http://schemas.openxmlformats.org/officeDocument/2006/relationships/hyperlink" Target="https://nconnect.nicmar.ac.in/storage/profile/ProfilePhoto_P25700744_713894.jpg" TargetMode="External"/><Relationship Id="rId_hyperlink_773" Type="http://schemas.openxmlformats.org/officeDocument/2006/relationships/hyperlink" Target="https://nconnect.nicmar.ac.in/storage/profile/ProfilePhoto_P25700745_729431.jpg" TargetMode="External"/><Relationship Id="rId_hyperlink_774" Type="http://schemas.openxmlformats.org/officeDocument/2006/relationships/hyperlink" Target="https://nconnect.nicmar.ac.in/storage/profile/ProfilePhoto_P25700746_271548.jpg" TargetMode="External"/><Relationship Id="rId_hyperlink_775" Type="http://schemas.openxmlformats.org/officeDocument/2006/relationships/hyperlink" Target="https://nconnect.nicmar.ac.in/storage/profile/ProfilePhoto_P25700747_987124.jpg" TargetMode="External"/><Relationship Id="rId_hyperlink_776" Type="http://schemas.openxmlformats.org/officeDocument/2006/relationships/hyperlink" Target="https://nconnect.nicmar.ac.in/storage/profile/ProfilePhoto_P25700748_457291.jpg" TargetMode="External"/><Relationship Id="rId_hyperlink_777" Type="http://schemas.openxmlformats.org/officeDocument/2006/relationships/hyperlink" Target="https://nconnect.nicmar.ac.in/storage/profile/ProfilePhoto_P25700749_463951.jpg" TargetMode="External"/><Relationship Id="rId_hyperlink_778" Type="http://schemas.openxmlformats.org/officeDocument/2006/relationships/hyperlink" Target="https://nconnect.nicmar.ac.in/storage/profile/ProfilePhoto_P25700750_571468.jpg" TargetMode="External"/><Relationship Id="rId_hyperlink_779" Type="http://schemas.openxmlformats.org/officeDocument/2006/relationships/hyperlink" Target="https://nconnect.nicmar.ac.in/storage/profile/ProfilePhoto_P25700751_185649.jpg" TargetMode="External"/><Relationship Id="rId_hyperlink_780" Type="http://schemas.openxmlformats.org/officeDocument/2006/relationships/hyperlink" Target="https://nconnect.nicmar.ac.in/storage/profile/ProfilePhoto_P25700752_395618.jpg" TargetMode="External"/><Relationship Id="rId_hyperlink_781" Type="http://schemas.openxmlformats.org/officeDocument/2006/relationships/hyperlink" Target="https://nconnect.nicmar.ac.in/storage/profile/ProfilePhoto_P25700753_639218.jpg" TargetMode="External"/><Relationship Id="rId_hyperlink_782" Type="http://schemas.openxmlformats.org/officeDocument/2006/relationships/hyperlink" Target="https://nconnect.nicmar.ac.in/storage/profile/ProfilePhoto_P25700754_876213.jpg" TargetMode="External"/><Relationship Id="rId_hyperlink_783" Type="http://schemas.openxmlformats.org/officeDocument/2006/relationships/hyperlink" Target="https://nconnect.nicmar.ac.in/storage/profile/ProfilePhoto_P25700755_215487.jpg" TargetMode="External"/><Relationship Id="rId_hyperlink_784" Type="http://schemas.openxmlformats.org/officeDocument/2006/relationships/hyperlink" Target="https://nconnect.nicmar.ac.in/storage/profile/ProfilePhoto_P25700281_579136.jpg" TargetMode="External"/><Relationship Id="rId_hyperlink_785" Type="http://schemas.openxmlformats.org/officeDocument/2006/relationships/hyperlink" Target="https://nconnect.nicmar.ac.in/storage/profile/ProfilePhoto_P25700325_532469.jpg" TargetMode="External"/><Relationship Id="rId_hyperlink_786" Type="http://schemas.openxmlformats.org/officeDocument/2006/relationships/hyperlink" Target="https://nconnect.nicmar.ac.in/storage/profile/ProfilePhoto_P25700367_329568.jpg" TargetMode="External"/><Relationship Id="rId_hyperlink_787" Type="http://schemas.openxmlformats.org/officeDocument/2006/relationships/hyperlink" Target="https://nconnect.nicmar.ac.in/storage/profile/ProfilePhoto_P25700694_372165.jpg" TargetMode="External"/><Relationship Id="rId_hyperlink_788" Type="http://schemas.openxmlformats.org/officeDocument/2006/relationships/hyperlink" Target="https://nconnect.nicmar.ac.in/storage/profile/ProfilePhoto_P24702124_129675.jpg" TargetMode="External"/><Relationship Id="rId_hyperlink_789" Type="http://schemas.openxmlformats.org/officeDocument/2006/relationships/hyperlink" Target="https://nconnect.nicmar.ac.in/storage/profile/ProfilePhoto_P25702001_634892.jpg" TargetMode="External"/><Relationship Id="rId_hyperlink_790" Type="http://schemas.openxmlformats.org/officeDocument/2006/relationships/hyperlink" Target="https://nconnect.nicmar.ac.in/storage/profile/ProfilePhoto_P25702002_231946.jpg" TargetMode="External"/><Relationship Id="rId_hyperlink_791" Type="http://schemas.openxmlformats.org/officeDocument/2006/relationships/hyperlink" Target="https://nconnect.nicmar.ac.in/storage/profile/ProfilePhoto_P25702003_496738.jpg" TargetMode="External"/><Relationship Id="rId_hyperlink_792" Type="http://schemas.openxmlformats.org/officeDocument/2006/relationships/hyperlink" Target="https://nconnect.nicmar.ac.in/storage/profile/ProfilePhoto_P25702005_782691.jpg" TargetMode="External"/><Relationship Id="rId_hyperlink_793" Type="http://schemas.openxmlformats.org/officeDocument/2006/relationships/hyperlink" Target="https://nconnect.nicmar.ac.in/storage/profile/ProfilePhoto_P25702006_129674.jpg" TargetMode="External"/><Relationship Id="rId_hyperlink_794" Type="http://schemas.openxmlformats.org/officeDocument/2006/relationships/hyperlink" Target="https://nconnect.nicmar.ac.in/storage/profile/ProfilePhoto_P25702007_643529.jpg" TargetMode="External"/><Relationship Id="rId_hyperlink_795" Type="http://schemas.openxmlformats.org/officeDocument/2006/relationships/hyperlink" Target="https://nconnect.nicmar.ac.in/storage/profile/ProfilePhoto_P25702008_452319.jpg" TargetMode="External"/><Relationship Id="rId_hyperlink_796" Type="http://schemas.openxmlformats.org/officeDocument/2006/relationships/hyperlink" Target="https://nconnect.nicmar.ac.in/storage/profile/ProfilePhoto_P25702009_718354.jpg" TargetMode="External"/><Relationship Id="rId_hyperlink_797" Type="http://schemas.openxmlformats.org/officeDocument/2006/relationships/hyperlink" Target="https://nconnect.nicmar.ac.in/storage/profile/ProfilePhoto_P25702010_942758.jpg" TargetMode="External"/><Relationship Id="rId_hyperlink_798" Type="http://schemas.openxmlformats.org/officeDocument/2006/relationships/hyperlink" Target="https://nconnect.nicmar.ac.in/storage/profile/6a6612129d7f8.png" TargetMode="External"/><Relationship Id="rId_hyperlink_799" Type="http://schemas.openxmlformats.org/officeDocument/2006/relationships/hyperlink" Target="https://nconnect.nicmar.ac.in/storage/profile/ProfilePhoto_P25702013_817429.jpg" TargetMode="External"/><Relationship Id="rId_hyperlink_800" Type="http://schemas.openxmlformats.org/officeDocument/2006/relationships/hyperlink" Target="https://nconnect.nicmar.ac.in/storage/profile/ProfilePhoto_P25702014_613248.jpg" TargetMode="External"/><Relationship Id="rId_hyperlink_801" Type="http://schemas.openxmlformats.org/officeDocument/2006/relationships/hyperlink" Target="https://nconnect.nicmar.ac.in/storage/profile/ProfilePhoto_P25702015_368254.jpg" TargetMode="External"/><Relationship Id="rId_hyperlink_802" Type="http://schemas.openxmlformats.org/officeDocument/2006/relationships/hyperlink" Target="https://nconnect.nicmar.ac.in/storage/profile/ProfilePhoto_P25702016_652349.jpg" TargetMode="External"/><Relationship Id="rId_hyperlink_803" Type="http://schemas.openxmlformats.org/officeDocument/2006/relationships/hyperlink" Target="https://nconnect.nicmar.ac.in/storage/profile/ProfilePhoto_P25702018_693254.jpg" TargetMode="External"/><Relationship Id="rId_hyperlink_804" Type="http://schemas.openxmlformats.org/officeDocument/2006/relationships/hyperlink" Target="https://nconnect.nicmar.ac.in/storage/profile/ProfilePhoto_P25702019_689217.jpg" TargetMode="External"/><Relationship Id="rId_hyperlink_805" Type="http://schemas.openxmlformats.org/officeDocument/2006/relationships/hyperlink" Target="https://nconnect.nicmar.ac.in/storage/profile/ProfilePhoto_P25702020_435189.jpg" TargetMode="External"/><Relationship Id="rId_hyperlink_806" Type="http://schemas.openxmlformats.org/officeDocument/2006/relationships/hyperlink" Target="https://nconnect.nicmar.ac.in/storage/profile/ProfilePhoto_P25702021_253841.jpg" TargetMode="External"/><Relationship Id="rId_hyperlink_807" Type="http://schemas.openxmlformats.org/officeDocument/2006/relationships/hyperlink" Target="https://nconnect.nicmar.ac.in/storage/profile/ProfilePhoto_P25702022_617352.jpg" TargetMode="External"/><Relationship Id="rId_hyperlink_808" Type="http://schemas.openxmlformats.org/officeDocument/2006/relationships/hyperlink" Target="https://nconnect.nicmar.ac.in/storage/profile/ProfilePhoto_P25702023_483726.jpg" TargetMode="External"/><Relationship Id="rId_hyperlink_809" Type="http://schemas.openxmlformats.org/officeDocument/2006/relationships/hyperlink" Target="https://nconnect.nicmar.ac.in/storage/profile/ProfilePhoto_P25702024_291845.jpg" TargetMode="External"/><Relationship Id="rId_hyperlink_810" Type="http://schemas.openxmlformats.org/officeDocument/2006/relationships/hyperlink" Target="https://nconnect.nicmar.ac.in/storage/profile/ProfilePhoto_P25702025_648375.jpg" TargetMode="External"/><Relationship Id="rId_hyperlink_811" Type="http://schemas.openxmlformats.org/officeDocument/2006/relationships/hyperlink" Target="https://nconnect.nicmar.ac.in/storage/profile/ProfilePhoto_P25702026_459627.jpg" TargetMode="External"/><Relationship Id="rId_hyperlink_812" Type="http://schemas.openxmlformats.org/officeDocument/2006/relationships/hyperlink" Target="https://nconnect.nicmar.ac.in/storage/profile/ProfilePhoto_P25702027_156924.jpg" TargetMode="External"/><Relationship Id="rId_hyperlink_813" Type="http://schemas.openxmlformats.org/officeDocument/2006/relationships/hyperlink" Target="https://nconnect.nicmar.ac.in/storage/profile/ProfilePhoto_P25702028_937845.jpg" TargetMode="External"/><Relationship Id="rId_hyperlink_814" Type="http://schemas.openxmlformats.org/officeDocument/2006/relationships/hyperlink" Target="https://nconnect.nicmar.ac.in/storage/profile/ProfilePhoto_P25702029_478612.jpg" TargetMode="External"/><Relationship Id="rId_hyperlink_815" Type="http://schemas.openxmlformats.org/officeDocument/2006/relationships/hyperlink" Target="https://nconnect.nicmar.ac.in/storage/profile/ProfilePhoto_P25702030_594783.jpg" TargetMode="External"/><Relationship Id="rId_hyperlink_816" Type="http://schemas.openxmlformats.org/officeDocument/2006/relationships/hyperlink" Target="https://nconnect.nicmar.ac.in/storage/profile/ProfilePhoto_P25702031_539764.jpg" TargetMode="External"/><Relationship Id="rId_hyperlink_817" Type="http://schemas.openxmlformats.org/officeDocument/2006/relationships/hyperlink" Target="https://nconnect.nicmar.ac.in/storage/profile/ProfilePhoto_P25702032_856149.jpg" TargetMode="External"/><Relationship Id="rId_hyperlink_818" Type="http://schemas.openxmlformats.org/officeDocument/2006/relationships/hyperlink" Target="https://nconnect.nicmar.ac.in/storage/profile/ProfilePhoto_P25702033_792583.jpg" TargetMode="External"/><Relationship Id="rId_hyperlink_819" Type="http://schemas.openxmlformats.org/officeDocument/2006/relationships/hyperlink" Target="https://nconnect.nicmar.ac.in/storage/profile/ProfilePhoto_P25702034_732194.jpg" TargetMode="External"/><Relationship Id="rId_hyperlink_820" Type="http://schemas.openxmlformats.org/officeDocument/2006/relationships/hyperlink" Target="https://nconnect.nicmar.ac.in/storage/profile/ProfilePhoto_P25702035_359426.jpg" TargetMode="External"/><Relationship Id="rId_hyperlink_821" Type="http://schemas.openxmlformats.org/officeDocument/2006/relationships/hyperlink" Target="https://nconnect.nicmar.ac.in/storage/profile/ProfilePhoto_P25702036_658941.jpg" TargetMode="External"/><Relationship Id="rId_hyperlink_822" Type="http://schemas.openxmlformats.org/officeDocument/2006/relationships/hyperlink" Target="https://nconnect.nicmar.ac.in/storage/profile/ProfilePhoto_P25702037_783451.jpg" TargetMode="External"/><Relationship Id="rId_hyperlink_823" Type="http://schemas.openxmlformats.org/officeDocument/2006/relationships/hyperlink" Target="https://nconnect.nicmar.ac.in/storage/profile/ProfilePhoto_P25702038_746298.jpg" TargetMode="External"/><Relationship Id="rId_hyperlink_824" Type="http://schemas.openxmlformats.org/officeDocument/2006/relationships/hyperlink" Target="https://nconnect.nicmar.ac.in/storage/profile/ProfilePhoto_P25702039_538214.jpg" TargetMode="External"/><Relationship Id="rId_hyperlink_825" Type="http://schemas.openxmlformats.org/officeDocument/2006/relationships/hyperlink" Target="https://nconnect.nicmar.ac.in/storage/profile/ProfilePhoto_P25702040_591438.jpg" TargetMode="External"/><Relationship Id="rId_hyperlink_826" Type="http://schemas.openxmlformats.org/officeDocument/2006/relationships/hyperlink" Target="https://nconnect.nicmar.ac.in/storage/profile/ProfilePhoto_P25702041_289157.jpg" TargetMode="External"/><Relationship Id="rId_hyperlink_827" Type="http://schemas.openxmlformats.org/officeDocument/2006/relationships/hyperlink" Target="https://nconnect.nicmar.ac.in/storage/profile/ProfilePhoto_P25702042_592748.jpg" TargetMode="External"/><Relationship Id="rId_hyperlink_828" Type="http://schemas.openxmlformats.org/officeDocument/2006/relationships/hyperlink" Target="https://nconnect.nicmar.ac.in/storage/profile/ProfilePhoto_P25702043_481923.jpg" TargetMode="External"/><Relationship Id="rId_hyperlink_829" Type="http://schemas.openxmlformats.org/officeDocument/2006/relationships/hyperlink" Target="https://nconnect.nicmar.ac.in/storage/profile/ProfilePhoto_P25702044_783125.jpg" TargetMode="External"/><Relationship Id="rId_hyperlink_830" Type="http://schemas.openxmlformats.org/officeDocument/2006/relationships/hyperlink" Target="https://nconnect.nicmar.ac.in/storage/profile/ProfilePhoto_P25702045_132689.jpg" TargetMode="External"/><Relationship Id="rId_hyperlink_831" Type="http://schemas.openxmlformats.org/officeDocument/2006/relationships/hyperlink" Target="https://nconnect.nicmar.ac.in/storage/profile/ProfilePhoto_P25702046_835946.jpg" TargetMode="External"/><Relationship Id="rId_hyperlink_832" Type="http://schemas.openxmlformats.org/officeDocument/2006/relationships/hyperlink" Target="https://nconnect.nicmar.ac.in/storage/profile/ProfilePhoto_P25702048_294635.jpg" TargetMode="External"/><Relationship Id="rId_hyperlink_833" Type="http://schemas.openxmlformats.org/officeDocument/2006/relationships/hyperlink" Target="https://nconnect.nicmar.ac.in/storage/profile/ProfilePhoto_P25702049_725163.jpg" TargetMode="External"/><Relationship Id="rId_hyperlink_834" Type="http://schemas.openxmlformats.org/officeDocument/2006/relationships/hyperlink" Target="https://nconnect.nicmar.ac.in/storage/profile/ProfilePhoto_P25702050_734158.jpg" TargetMode="External"/><Relationship Id="rId_hyperlink_835" Type="http://schemas.openxmlformats.org/officeDocument/2006/relationships/hyperlink" Target="https://nconnect.nicmar.ac.in/storage/profile/ProfilePhoto_P25702051_167852.jpg" TargetMode="External"/><Relationship Id="rId_hyperlink_836" Type="http://schemas.openxmlformats.org/officeDocument/2006/relationships/hyperlink" Target="https://nconnect.nicmar.ac.in/storage/profile/ProfilePhoto_P25702052_983415.jpg" TargetMode="External"/><Relationship Id="rId_hyperlink_837" Type="http://schemas.openxmlformats.org/officeDocument/2006/relationships/hyperlink" Target="https://nconnect.nicmar.ac.in/storage/profile/ProfilePhoto_P25702053_548217.jpg" TargetMode="External"/><Relationship Id="rId_hyperlink_838" Type="http://schemas.openxmlformats.org/officeDocument/2006/relationships/hyperlink" Target="https://nconnect.nicmar.ac.in/storage/profile/ProfilePhoto_P25702054_231546.jpg" TargetMode="External"/><Relationship Id="rId_hyperlink_839" Type="http://schemas.openxmlformats.org/officeDocument/2006/relationships/hyperlink" Target="https://nconnect.nicmar.ac.in/storage/profile/ProfilePhoto_P25702055_726958.jpg" TargetMode="External"/><Relationship Id="rId_hyperlink_840" Type="http://schemas.openxmlformats.org/officeDocument/2006/relationships/hyperlink" Target="https://nconnect.nicmar.ac.in/storage/profile/ProfilePhoto_P25702056_163759.jpg" TargetMode="External"/><Relationship Id="rId_hyperlink_841" Type="http://schemas.openxmlformats.org/officeDocument/2006/relationships/hyperlink" Target="https://nconnect.nicmar.ac.in/storage/profile/ProfilePhoto_P25702057_789125.jpg" TargetMode="External"/><Relationship Id="rId_hyperlink_842" Type="http://schemas.openxmlformats.org/officeDocument/2006/relationships/hyperlink" Target="https://nconnect.nicmar.ac.in/storage/profile/ProfilePhoto_P25702058_624583.jpg" TargetMode="External"/><Relationship Id="rId_hyperlink_843" Type="http://schemas.openxmlformats.org/officeDocument/2006/relationships/hyperlink" Target="https://nconnect.nicmar.ac.in/storage/profile/ProfilePhoto_P25702059_864359.jpg" TargetMode="External"/><Relationship Id="rId_hyperlink_844" Type="http://schemas.openxmlformats.org/officeDocument/2006/relationships/hyperlink" Target="https://nconnect.nicmar.ac.in/storage/profile/ProfilePhoto_P25702060_829173.jpg" TargetMode="External"/><Relationship Id="rId_hyperlink_845" Type="http://schemas.openxmlformats.org/officeDocument/2006/relationships/hyperlink" Target="https://nconnect.nicmar.ac.in/storage/profile/ProfilePhoto_P25702061_731829.jpg" TargetMode="External"/><Relationship Id="rId_hyperlink_846" Type="http://schemas.openxmlformats.org/officeDocument/2006/relationships/hyperlink" Target="https://nconnect.nicmar.ac.in/storage/profile/ProfilePhoto_P25702062_861492.jpg" TargetMode="External"/><Relationship Id="rId_hyperlink_847" Type="http://schemas.openxmlformats.org/officeDocument/2006/relationships/hyperlink" Target="https://nconnect.nicmar.ac.in/storage/profile/ProfilePhoto_P25702063_125638.jpg" TargetMode="External"/><Relationship Id="rId_hyperlink_848" Type="http://schemas.openxmlformats.org/officeDocument/2006/relationships/hyperlink" Target="https://nconnect.nicmar.ac.in/storage/profile/ProfilePhoto_P25702064_159876.jpg" TargetMode="External"/><Relationship Id="rId_hyperlink_849" Type="http://schemas.openxmlformats.org/officeDocument/2006/relationships/hyperlink" Target="https://nconnect.nicmar.ac.in/storage/profile/ProfilePhoto_P25702065_917365.jpg" TargetMode="External"/><Relationship Id="rId_hyperlink_850" Type="http://schemas.openxmlformats.org/officeDocument/2006/relationships/hyperlink" Target="https://nconnect.nicmar.ac.in/storage/profile/ProfilePhoto_P25702066_973218.jpg" TargetMode="External"/><Relationship Id="rId_hyperlink_851" Type="http://schemas.openxmlformats.org/officeDocument/2006/relationships/hyperlink" Target="https://nconnect.nicmar.ac.in/storage/profile/ProfilePhoto_P25702067_257683.jpg" TargetMode="External"/><Relationship Id="rId_hyperlink_852" Type="http://schemas.openxmlformats.org/officeDocument/2006/relationships/hyperlink" Target="https://nconnect.nicmar.ac.in/storage/profile/ProfilePhoto_P25702068_328657.jpg" TargetMode="External"/><Relationship Id="rId_hyperlink_853" Type="http://schemas.openxmlformats.org/officeDocument/2006/relationships/hyperlink" Target="https://nconnect.nicmar.ac.in/storage/profile/ProfilePhoto_P25702069_148397.jpg" TargetMode="External"/><Relationship Id="rId_hyperlink_854" Type="http://schemas.openxmlformats.org/officeDocument/2006/relationships/hyperlink" Target="https://nconnect.nicmar.ac.in/storage/profile/ProfilePhoto_P25702070_546397.jpg" TargetMode="External"/><Relationship Id="rId_hyperlink_855" Type="http://schemas.openxmlformats.org/officeDocument/2006/relationships/hyperlink" Target="https://nconnect.nicmar.ac.in/storage/profile/ProfilePhoto_P25702071_618479.jpg" TargetMode="External"/><Relationship Id="rId_hyperlink_856" Type="http://schemas.openxmlformats.org/officeDocument/2006/relationships/hyperlink" Target="https://nconnect.nicmar.ac.in/storage/profile/ProfilePhoto_P25702072_513768.jpg" TargetMode="External"/><Relationship Id="rId_hyperlink_857" Type="http://schemas.openxmlformats.org/officeDocument/2006/relationships/hyperlink" Target="https://nconnect.nicmar.ac.in/storage/profile/ProfilePhoto_P25702073_278631.jpg" TargetMode="External"/><Relationship Id="rId_hyperlink_858" Type="http://schemas.openxmlformats.org/officeDocument/2006/relationships/hyperlink" Target="https://nconnect.nicmar.ac.in/storage/profile/ProfilePhoto_P25702074_418937.jpg" TargetMode="External"/><Relationship Id="rId_hyperlink_859" Type="http://schemas.openxmlformats.org/officeDocument/2006/relationships/hyperlink" Target="https://nconnect.nicmar.ac.in/storage/profile/ProfilePhoto_P25702075_348759.jpg" TargetMode="External"/><Relationship Id="rId_hyperlink_860" Type="http://schemas.openxmlformats.org/officeDocument/2006/relationships/hyperlink" Target="https://nconnect.nicmar.ac.in/storage/profile/ProfilePhoto_P25702076_298574.jpg" TargetMode="External"/><Relationship Id="rId_hyperlink_861" Type="http://schemas.openxmlformats.org/officeDocument/2006/relationships/hyperlink" Target="https://nconnect.nicmar.ac.in/storage/profile/ProfilePhoto_P25702077_746891.jpg" TargetMode="External"/><Relationship Id="rId_hyperlink_862" Type="http://schemas.openxmlformats.org/officeDocument/2006/relationships/hyperlink" Target="https://nconnect.nicmar.ac.in/storage/profile/ProfilePhoto_P25702078_395712.jpg" TargetMode="External"/><Relationship Id="rId_hyperlink_863" Type="http://schemas.openxmlformats.org/officeDocument/2006/relationships/hyperlink" Target="https://nconnect.nicmar.ac.in/storage/profile/ProfilePhoto_P25702079_346712.jpg" TargetMode="External"/><Relationship Id="rId_hyperlink_864" Type="http://schemas.openxmlformats.org/officeDocument/2006/relationships/hyperlink" Target="https://nconnect.nicmar.ac.in/storage/profile/ProfilePhoto_P25702081_536981.jpg" TargetMode="External"/><Relationship Id="rId_hyperlink_865" Type="http://schemas.openxmlformats.org/officeDocument/2006/relationships/hyperlink" Target="https://nconnect.nicmar.ac.in/storage/profile/ProfilePhoto_P25702082_524391.jpg" TargetMode="External"/><Relationship Id="rId_hyperlink_866" Type="http://schemas.openxmlformats.org/officeDocument/2006/relationships/hyperlink" Target="https://nconnect.nicmar.ac.in/storage/profile/ProfilePhoto_P25702083_496513.jpg" TargetMode="External"/><Relationship Id="rId_hyperlink_867" Type="http://schemas.openxmlformats.org/officeDocument/2006/relationships/hyperlink" Target="https://nconnect.nicmar.ac.in/storage/profile/ProfilePhoto_P25702084_327986.jpg" TargetMode="External"/><Relationship Id="rId_hyperlink_868" Type="http://schemas.openxmlformats.org/officeDocument/2006/relationships/hyperlink" Target="https://nconnect.nicmar.ac.in/storage/profile/ProfilePhoto_P25702085_675194.jpg" TargetMode="External"/><Relationship Id="rId_hyperlink_869" Type="http://schemas.openxmlformats.org/officeDocument/2006/relationships/hyperlink" Target="https://nconnect.nicmar.ac.in/storage/profile/ProfilePhoto_P25702086_972613.jpg" TargetMode="External"/><Relationship Id="rId_hyperlink_870" Type="http://schemas.openxmlformats.org/officeDocument/2006/relationships/hyperlink" Target="https://nconnect.nicmar.ac.in/storage/profile/ProfilePhoto_P25702089_483152.jpg" TargetMode="External"/><Relationship Id="rId_hyperlink_871" Type="http://schemas.openxmlformats.org/officeDocument/2006/relationships/hyperlink" Target="https://nconnect.nicmar.ac.in/storage/profile/ProfilePhoto_P25702090_671284.jpg" TargetMode="External"/><Relationship Id="rId_hyperlink_872" Type="http://schemas.openxmlformats.org/officeDocument/2006/relationships/hyperlink" Target="https://nconnect.nicmar.ac.in/storage/profile/ProfilePhoto_P25702091_429168.jpg" TargetMode="External"/><Relationship Id="rId_hyperlink_873" Type="http://schemas.openxmlformats.org/officeDocument/2006/relationships/hyperlink" Target="https://nconnect.nicmar.ac.in/storage/profile/ProfilePhoto_P25702093_491532.jpg" TargetMode="External"/><Relationship Id="rId_hyperlink_874" Type="http://schemas.openxmlformats.org/officeDocument/2006/relationships/hyperlink" Target="https://nconnect.nicmar.ac.in/storage/profile/ProfilePhoto_P25702094_982716.jpg" TargetMode="External"/><Relationship Id="rId_hyperlink_875" Type="http://schemas.openxmlformats.org/officeDocument/2006/relationships/hyperlink" Target="https://nconnect.nicmar.ac.in/storage/profile/ProfilePhoto_P25702095_238745.jpg" TargetMode="External"/><Relationship Id="rId_hyperlink_876" Type="http://schemas.openxmlformats.org/officeDocument/2006/relationships/hyperlink" Target="https://nconnect.nicmar.ac.in/storage/profile/ProfilePhoto_P25702096_761253.jpg" TargetMode="External"/><Relationship Id="rId_hyperlink_877" Type="http://schemas.openxmlformats.org/officeDocument/2006/relationships/hyperlink" Target="https://nconnect.nicmar.ac.in/storage/profile/ProfilePhoto_P25702097_962518.jpg" TargetMode="External"/><Relationship Id="rId_hyperlink_878" Type="http://schemas.openxmlformats.org/officeDocument/2006/relationships/hyperlink" Target="https://nconnect.nicmar.ac.in/storage/profile/ProfilePhoto_P25702098_927635.jpg" TargetMode="External"/><Relationship Id="rId_hyperlink_879" Type="http://schemas.openxmlformats.org/officeDocument/2006/relationships/hyperlink" Target="https://nconnect.nicmar.ac.in/storage/profile/ProfilePhoto_P25702099_245678.jpg" TargetMode="External"/><Relationship Id="rId_hyperlink_880" Type="http://schemas.openxmlformats.org/officeDocument/2006/relationships/hyperlink" Target="https://nconnect.nicmar.ac.in/storage/profile/ProfilePhoto_P25702101_631897.jpg" TargetMode="External"/><Relationship Id="rId_hyperlink_881" Type="http://schemas.openxmlformats.org/officeDocument/2006/relationships/hyperlink" Target="https://nconnect.nicmar.ac.in/storage/profile/ProfilePhoto_P25702102_857932.jpg" TargetMode="External"/><Relationship Id="rId_hyperlink_882" Type="http://schemas.openxmlformats.org/officeDocument/2006/relationships/hyperlink" Target="https://nconnect.nicmar.ac.in/storage/profile/ProfilePhoto_P25702103_359467.jpg" TargetMode="External"/><Relationship Id="rId_hyperlink_883" Type="http://schemas.openxmlformats.org/officeDocument/2006/relationships/hyperlink" Target="https://nconnect.nicmar.ac.in/storage/profile/ProfilePhoto_P25702104_392471.jpg" TargetMode="External"/><Relationship Id="rId_hyperlink_884" Type="http://schemas.openxmlformats.org/officeDocument/2006/relationships/hyperlink" Target="https://nconnect.nicmar.ac.in/storage/profile/ProfilePhoto_P25702105_781956.jpg" TargetMode="External"/><Relationship Id="rId_hyperlink_885" Type="http://schemas.openxmlformats.org/officeDocument/2006/relationships/hyperlink" Target="https://nconnect.nicmar.ac.in/storage/profile/ProfilePhoto_P25702106_365247.jpg" TargetMode="External"/><Relationship Id="rId_hyperlink_886" Type="http://schemas.openxmlformats.org/officeDocument/2006/relationships/hyperlink" Target="https://nconnect.nicmar.ac.in/storage/profile/ProfilePhoto_P25702108_273491.jpg" TargetMode="External"/><Relationship Id="rId_hyperlink_887" Type="http://schemas.openxmlformats.org/officeDocument/2006/relationships/hyperlink" Target="https://nconnect.nicmar.ac.in/storage/profile/ProfilePhoto_P25702109_526438.jpg" TargetMode="External"/><Relationship Id="rId_hyperlink_888" Type="http://schemas.openxmlformats.org/officeDocument/2006/relationships/hyperlink" Target="https://nconnect.nicmar.ac.in/storage/profile/ProfilePhoto_P25702110_367925.jpg" TargetMode="External"/><Relationship Id="rId_hyperlink_889" Type="http://schemas.openxmlformats.org/officeDocument/2006/relationships/hyperlink" Target="https://nconnect.nicmar.ac.in/storage/profile/ProfilePhoto_P25702111_231964.jpg" TargetMode="External"/><Relationship Id="rId_hyperlink_890" Type="http://schemas.openxmlformats.org/officeDocument/2006/relationships/hyperlink" Target="https://nconnect.nicmar.ac.in/storage/profile/ProfilePhoto_P25702113_891347.jpg" TargetMode="External"/><Relationship Id="rId_hyperlink_891" Type="http://schemas.openxmlformats.org/officeDocument/2006/relationships/hyperlink" Target="https://nconnect.nicmar.ac.in/storage/profile/ProfilePhoto_P25702114_395268.jpg" TargetMode="External"/><Relationship Id="rId_hyperlink_892" Type="http://schemas.openxmlformats.org/officeDocument/2006/relationships/hyperlink" Target="https://nconnect.nicmar.ac.in/storage/profile/ProfilePhoto_P25702115_316582.jpg" TargetMode="External"/><Relationship Id="rId_hyperlink_893" Type="http://schemas.openxmlformats.org/officeDocument/2006/relationships/hyperlink" Target="https://nconnect.nicmar.ac.in/storage/profile/ProfilePhoto_P25702116_867945.jpg" TargetMode="External"/><Relationship Id="rId_hyperlink_894" Type="http://schemas.openxmlformats.org/officeDocument/2006/relationships/hyperlink" Target="https://nconnect.nicmar.ac.in/storage/profile/ProfilePhoto_P25702117_738624.jpg" TargetMode="External"/><Relationship Id="rId_hyperlink_895" Type="http://schemas.openxmlformats.org/officeDocument/2006/relationships/hyperlink" Target="https://nconnect.nicmar.ac.in/storage/profile/ProfilePhoto_P25702119_651389.jpg" TargetMode="External"/><Relationship Id="rId_hyperlink_896" Type="http://schemas.openxmlformats.org/officeDocument/2006/relationships/hyperlink" Target="https://nconnect.nicmar.ac.in/storage/profile/ProfilePhoto_P25702120_279461.jpg" TargetMode="External"/><Relationship Id="rId_hyperlink_897" Type="http://schemas.openxmlformats.org/officeDocument/2006/relationships/hyperlink" Target="https://nconnect.nicmar.ac.in/storage/profile/ProfilePhoto_P25702121_187593.jpg" TargetMode="External"/><Relationship Id="rId_hyperlink_898" Type="http://schemas.openxmlformats.org/officeDocument/2006/relationships/hyperlink" Target="https://nconnect.nicmar.ac.in/storage/profile/ProfilePhoto_P25702122_472139.jpg" TargetMode="External"/><Relationship Id="rId_hyperlink_899" Type="http://schemas.openxmlformats.org/officeDocument/2006/relationships/hyperlink" Target="https://nconnect.nicmar.ac.in/storage/profile/ProfilePhoto_P25702123_324697.jpg" TargetMode="External"/><Relationship Id="rId_hyperlink_900" Type="http://schemas.openxmlformats.org/officeDocument/2006/relationships/hyperlink" Target="https://nconnect.nicmar.ac.in/storage/profile/ProfilePhoto_P25702124_236974.jpg" TargetMode="External"/><Relationship Id="rId_hyperlink_901" Type="http://schemas.openxmlformats.org/officeDocument/2006/relationships/hyperlink" Target="https://nconnect.nicmar.ac.in/storage/profile/ProfilePhoto_P25702125_416987.jpg" TargetMode="External"/><Relationship Id="rId_hyperlink_902" Type="http://schemas.openxmlformats.org/officeDocument/2006/relationships/hyperlink" Target="https://nconnect.nicmar.ac.in/storage/profile/ProfilePhoto_P25702126_789261.jpg" TargetMode="External"/><Relationship Id="rId_hyperlink_903" Type="http://schemas.openxmlformats.org/officeDocument/2006/relationships/hyperlink" Target="https://nconnect.nicmar.ac.in/storage/profile/ProfilePhoto_P25702127_783594.jpg" TargetMode="External"/><Relationship Id="rId_hyperlink_904" Type="http://schemas.openxmlformats.org/officeDocument/2006/relationships/hyperlink" Target="https://nconnect.nicmar.ac.in/storage/profile/ProfilePhoto_P25702128_617289.jpg" TargetMode="External"/><Relationship Id="rId_hyperlink_905" Type="http://schemas.openxmlformats.org/officeDocument/2006/relationships/hyperlink" Target="https://nconnect.nicmar.ac.in/storage/profile/ProfilePhoto_P25702129_946852.jpg" TargetMode="External"/><Relationship Id="rId_hyperlink_906" Type="http://schemas.openxmlformats.org/officeDocument/2006/relationships/hyperlink" Target="https://nconnect.nicmar.ac.in/storage/profile/ProfilePhoto_P25702130_924736.jpg" TargetMode="External"/><Relationship Id="rId_hyperlink_907" Type="http://schemas.openxmlformats.org/officeDocument/2006/relationships/hyperlink" Target="https://nconnect.nicmar.ac.in/storage/profile/ProfilePhoto_P25702131_683715.jpg" TargetMode="External"/><Relationship Id="rId_hyperlink_908" Type="http://schemas.openxmlformats.org/officeDocument/2006/relationships/hyperlink" Target="https://nconnect.nicmar.ac.in/storage/profile/ProfilePhoto_P25702132_826143.jpg" TargetMode="External"/><Relationship Id="rId_hyperlink_909" Type="http://schemas.openxmlformats.org/officeDocument/2006/relationships/hyperlink" Target="https://nconnect.nicmar.ac.in/storage/profile/ProfilePhoto_P25702133_154693.jpg" TargetMode="External"/><Relationship Id="rId_hyperlink_910" Type="http://schemas.openxmlformats.org/officeDocument/2006/relationships/hyperlink" Target="https://nconnect.nicmar.ac.in/storage/profile/ProfilePhoto_P25702134_543796.jpg" TargetMode="External"/><Relationship Id="rId_hyperlink_911" Type="http://schemas.openxmlformats.org/officeDocument/2006/relationships/hyperlink" Target="https://nconnect.nicmar.ac.in/storage/profile/ProfilePhoto_P25702136_837591.jpg" TargetMode="External"/><Relationship Id="rId_hyperlink_912" Type="http://schemas.openxmlformats.org/officeDocument/2006/relationships/hyperlink" Target="https://nconnect.nicmar.ac.in/storage/profile/ProfilePhoto_P25702137_819267.jpg" TargetMode="External"/><Relationship Id="rId_hyperlink_913" Type="http://schemas.openxmlformats.org/officeDocument/2006/relationships/hyperlink" Target="https://nconnect.nicmar.ac.in/storage/profile/ProfilePhoto_P25702138_785142.jpg" TargetMode="External"/><Relationship Id="rId_hyperlink_914" Type="http://schemas.openxmlformats.org/officeDocument/2006/relationships/hyperlink" Target="https://nconnect.nicmar.ac.in/storage/profile/ProfilePhoto_P25702139_653287.jpg" TargetMode="External"/><Relationship Id="rId_hyperlink_915" Type="http://schemas.openxmlformats.org/officeDocument/2006/relationships/hyperlink" Target="https://nconnect.nicmar.ac.in/storage/profile/ProfilePhoto_P25702140_617534.jpg" TargetMode="External"/><Relationship Id="rId_hyperlink_916" Type="http://schemas.openxmlformats.org/officeDocument/2006/relationships/hyperlink" Target="https://nconnect.nicmar.ac.in/storage/profile/ProfilePhoto_P25702141_791462.jpg" TargetMode="External"/><Relationship Id="rId_hyperlink_917" Type="http://schemas.openxmlformats.org/officeDocument/2006/relationships/hyperlink" Target="https://nconnect.nicmar.ac.in/storage/profile/ProfilePhoto_P25702142_975823.jpg" TargetMode="External"/><Relationship Id="rId_hyperlink_918" Type="http://schemas.openxmlformats.org/officeDocument/2006/relationships/hyperlink" Target="https://nconnect.nicmar.ac.in/storage/profile/ProfilePhoto_P25702143_642159.jpg" TargetMode="External"/><Relationship Id="rId_hyperlink_919" Type="http://schemas.openxmlformats.org/officeDocument/2006/relationships/hyperlink" Target="https://nconnect.nicmar.ac.in/storage/profile/ProfilePhoto_P25702144_513879.jpg" TargetMode="External"/><Relationship Id="rId_hyperlink_920" Type="http://schemas.openxmlformats.org/officeDocument/2006/relationships/hyperlink" Target="https://nconnect.nicmar.ac.in/storage/profile/ProfilePhoto_P25702145_537219.jpg" TargetMode="External"/><Relationship Id="rId_hyperlink_921" Type="http://schemas.openxmlformats.org/officeDocument/2006/relationships/hyperlink" Target="https://nconnect.nicmar.ac.in/storage/profile/ProfilePhoto_P25702146_286534.jpg" TargetMode="External"/><Relationship Id="rId_hyperlink_922" Type="http://schemas.openxmlformats.org/officeDocument/2006/relationships/hyperlink" Target="https://nconnect.nicmar.ac.in/storage/profile/ProfilePhoto_P25702147_251638.jpg" TargetMode="External"/><Relationship Id="rId_hyperlink_923" Type="http://schemas.openxmlformats.org/officeDocument/2006/relationships/hyperlink" Target="https://nconnect.nicmar.ac.in/storage/profile/ProfilePhoto_P25702148_256413.jpg" TargetMode="External"/><Relationship Id="rId_hyperlink_924" Type="http://schemas.openxmlformats.org/officeDocument/2006/relationships/hyperlink" Target="https://nconnect.nicmar.ac.in/storage/profile/ProfilePhoto_P25702150_823791.jpg" TargetMode="External"/><Relationship Id="rId_hyperlink_925" Type="http://schemas.openxmlformats.org/officeDocument/2006/relationships/hyperlink" Target="https://nconnect.nicmar.ac.in/storage/profile/ProfilePhoto_P25702151_527439.jpg" TargetMode="External"/><Relationship Id="rId_hyperlink_926" Type="http://schemas.openxmlformats.org/officeDocument/2006/relationships/hyperlink" Target="https://nconnect.nicmar.ac.in/storage/profile/ProfilePhoto_P25702152_836721.jpg" TargetMode="External"/><Relationship Id="rId_hyperlink_927" Type="http://schemas.openxmlformats.org/officeDocument/2006/relationships/hyperlink" Target="https://nconnect.nicmar.ac.in/storage/profile/ProfilePhoto_P25702153_428956.jpg" TargetMode="External"/><Relationship Id="rId_hyperlink_928" Type="http://schemas.openxmlformats.org/officeDocument/2006/relationships/hyperlink" Target="https://nconnect.nicmar.ac.in/storage/profile/ProfilePhoto_P2201001_514287.jpg" TargetMode="External"/><Relationship Id="rId_hyperlink_929" Type="http://schemas.openxmlformats.org/officeDocument/2006/relationships/hyperlink" Target="https://nconnect.nicmar.ac.in/storage/profile/ProfilePhoto_P2201002_875142.jpg" TargetMode="External"/><Relationship Id="rId_hyperlink_930" Type="http://schemas.openxmlformats.org/officeDocument/2006/relationships/hyperlink" Target="https://nconnect.nicmar.ac.in/storage/profile/ProfilePhoto_P2201003_674125.jpg" TargetMode="External"/><Relationship Id="rId_hyperlink_931" Type="http://schemas.openxmlformats.org/officeDocument/2006/relationships/hyperlink" Target="https://nconnect.nicmar.ac.in/storage/profile/ProfilePhoto_P2201006_126385.jpg" TargetMode="External"/><Relationship Id="rId_hyperlink_932" Type="http://schemas.openxmlformats.org/officeDocument/2006/relationships/hyperlink" Target="https://nconnect.nicmar.ac.in/storage/profile/ProfilePhoto_P2201007_873615.jpg" TargetMode="External"/><Relationship Id="rId_hyperlink_933" Type="http://schemas.openxmlformats.org/officeDocument/2006/relationships/hyperlink" Target="https://nconnect.nicmar.ac.in/storage/profile/ProfilePhoto_P2201008_187945.jpg" TargetMode="External"/><Relationship Id="rId_hyperlink_934" Type="http://schemas.openxmlformats.org/officeDocument/2006/relationships/hyperlink" Target="https://nconnect.nicmar.ac.in/storage/profile/ProfilePhoto_P2201010_518643.jpg" TargetMode="External"/><Relationship Id="rId_hyperlink_935" Type="http://schemas.openxmlformats.org/officeDocument/2006/relationships/hyperlink" Target="https://nconnect.nicmar.ac.in/storage/profile/ProfilePhoto_P25703001_183497.jpg" TargetMode="External"/><Relationship Id="rId_hyperlink_936" Type="http://schemas.openxmlformats.org/officeDocument/2006/relationships/hyperlink" Target="https://nconnect.nicmar.ac.in/storage/profile/ProfilePhoto_P25703002_482139.jpg" TargetMode="External"/><Relationship Id="rId_hyperlink_937" Type="http://schemas.openxmlformats.org/officeDocument/2006/relationships/hyperlink" Target="https://nconnect.nicmar.ac.in/storage/profile/ProfilePhoto_P25703003_426193.jpg" TargetMode="External"/><Relationship Id="rId_hyperlink_938" Type="http://schemas.openxmlformats.org/officeDocument/2006/relationships/hyperlink" Target="https://nconnect.nicmar.ac.in/storage/profile/ProfilePhoto_P25703004_138697.jpg" TargetMode="External"/><Relationship Id="rId_hyperlink_939" Type="http://schemas.openxmlformats.org/officeDocument/2006/relationships/hyperlink" Target="https://nconnect.nicmar.ac.in/storage/profile/ProfilePhoto_P25703005_859241.jpg" TargetMode="External"/><Relationship Id="rId_hyperlink_940" Type="http://schemas.openxmlformats.org/officeDocument/2006/relationships/hyperlink" Target="https://nconnect.nicmar.ac.in/storage/profile/ProfilePhoto_P25703006_431582.jpg" TargetMode="External"/><Relationship Id="rId_hyperlink_941" Type="http://schemas.openxmlformats.org/officeDocument/2006/relationships/hyperlink" Target="https://nconnect.nicmar.ac.in/storage/profile/ProfilePhoto_P25703007_257863.jpg" TargetMode="External"/><Relationship Id="rId_hyperlink_942" Type="http://schemas.openxmlformats.org/officeDocument/2006/relationships/hyperlink" Target="https://nconnect.nicmar.ac.in/storage/profile/ProfilePhoto_P25703008_815249.jpg" TargetMode="External"/><Relationship Id="rId_hyperlink_943" Type="http://schemas.openxmlformats.org/officeDocument/2006/relationships/hyperlink" Target="https://nconnect.nicmar.ac.in/storage/profile/ProfilePhoto_P25703009_857219.jpg" TargetMode="External"/><Relationship Id="rId_hyperlink_944" Type="http://schemas.openxmlformats.org/officeDocument/2006/relationships/hyperlink" Target="https://nconnect.nicmar.ac.in/storage/profile/ProfilePhoto_P25703010_526749.jpg" TargetMode="External"/><Relationship Id="rId_hyperlink_945" Type="http://schemas.openxmlformats.org/officeDocument/2006/relationships/hyperlink" Target="https://nconnect.nicmar.ac.in/storage/profile/ProfilePhoto_P25703011_825793.jpg" TargetMode="External"/><Relationship Id="rId_hyperlink_946" Type="http://schemas.openxmlformats.org/officeDocument/2006/relationships/hyperlink" Target="https://nconnect.nicmar.ac.in/storage/profile/ProfilePhoto_P25703014_598123.jpg" TargetMode="External"/><Relationship Id="rId_hyperlink_947" Type="http://schemas.openxmlformats.org/officeDocument/2006/relationships/hyperlink" Target="https://nconnect.nicmar.ac.in/storage/profile/ProfilePhoto_P25703015_461932.jpg" TargetMode="External"/><Relationship Id="rId_hyperlink_948" Type="http://schemas.openxmlformats.org/officeDocument/2006/relationships/hyperlink" Target="https://nconnect.nicmar.ac.in/storage/profile/ProfilePhoto_P25703016_352178.jpg" TargetMode="External"/><Relationship Id="rId_hyperlink_949" Type="http://schemas.openxmlformats.org/officeDocument/2006/relationships/hyperlink" Target="https://nconnect.nicmar.ac.in/storage/profile/ProfilePhoto_P25703017_348917.jpg" TargetMode="External"/><Relationship Id="rId_hyperlink_950" Type="http://schemas.openxmlformats.org/officeDocument/2006/relationships/hyperlink" Target="https://nconnect.nicmar.ac.in/storage/profile/ProfilePhoto_P25703020_189736.jpg" TargetMode="External"/><Relationship Id="rId_hyperlink_951" Type="http://schemas.openxmlformats.org/officeDocument/2006/relationships/hyperlink" Target="https://nconnect.nicmar.ac.in/storage/profile/ProfilePhoto_P25703021_349281.jpg" TargetMode="External"/><Relationship Id="rId_hyperlink_952" Type="http://schemas.openxmlformats.org/officeDocument/2006/relationships/hyperlink" Target="https://nconnect.nicmar.ac.in/storage/profile/ProfilePhoto_P25703022_834792.jpg" TargetMode="External"/><Relationship Id="rId_hyperlink_953" Type="http://schemas.openxmlformats.org/officeDocument/2006/relationships/hyperlink" Target="https://nconnect.nicmar.ac.in/storage/profile/ProfilePhoto_P25703023_618729.jpg" TargetMode="External"/><Relationship Id="rId_hyperlink_954" Type="http://schemas.openxmlformats.org/officeDocument/2006/relationships/hyperlink" Target="https://nconnect.nicmar.ac.in/storage/profile/ProfilePhoto_P25703024_753916.jpg" TargetMode="External"/><Relationship Id="rId_hyperlink_955" Type="http://schemas.openxmlformats.org/officeDocument/2006/relationships/hyperlink" Target="https://nconnect.nicmar.ac.in/storage/profile/ProfilePhoto_P25703025_329654.jpg" TargetMode="External"/><Relationship Id="rId_hyperlink_956" Type="http://schemas.openxmlformats.org/officeDocument/2006/relationships/hyperlink" Target="https://nconnect.nicmar.ac.in/storage/profile/ProfilePhoto_P25703026_473982.jpg" TargetMode="External"/><Relationship Id="rId_hyperlink_957" Type="http://schemas.openxmlformats.org/officeDocument/2006/relationships/hyperlink" Target="https://nconnect.nicmar.ac.in/storage/profile/ProfilePhoto_P25703027_638754.jpg" TargetMode="External"/><Relationship Id="rId_hyperlink_958" Type="http://schemas.openxmlformats.org/officeDocument/2006/relationships/hyperlink" Target="https://nconnect.nicmar.ac.in/storage/profile/ProfilePhoto_P25703028_281695.jpg" TargetMode="External"/><Relationship Id="rId_hyperlink_959" Type="http://schemas.openxmlformats.org/officeDocument/2006/relationships/hyperlink" Target="https://nconnect.nicmar.ac.in/storage/profile/ProfilePhoto_P25703029_945782.jpg" TargetMode="External"/><Relationship Id="rId_hyperlink_960" Type="http://schemas.openxmlformats.org/officeDocument/2006/relationships/hyperlink" Target="https://nconnect.nicmar.ac.in/storage/profile/ProfilePhoto_P25703030_982536.jpg" TargetMode="External"/><Relationship Id="rId_hyperlink_961" Type="http://schemas.openxmlformats.org/officeDocument/2006/relationships/hyperlink" Target="https://nconnect.nicmar.ac.in/storage/profile/ProfilePhoto_P25703031_654879.jpg" TargetMode="External"/><Relationship Id="rId_hyperlink_962" Type="http://schemas.openxmlformats.org/officeDocument/2006/relationships/hyperlink" Target="https://nconnect.nicmar.ac.in/storage/profile/ProfilePhoto_P25703032_493712.jpg" TargetMode="External"/><Relationship Id="rId_hyperlink_963" Type="http://schemas.openxmlformats.org/officeDocument/2006/relationships/hyperlink" Target="https://nconnect.nicmar.ac.in/storage/profile/ProfilePhoto_P25703033_265831.jpg" TargetMode="External"/><Relationship Id="rId_hyperlink_964" Type="http://schemas.openxmlformats.org/officeDocument/2006/relationships/hyperlink" Target="https://nconnect.nicmar.ac.in/storage/profile/ProfilePhoto_P25703034_743562.jpg" TargetMode="External"/><Relationship Id="rId_hyperlink_965" Type="http://schemas.openxmlformats.org/officeDocument/2006/relationships/hyperlink" Target="https://nconnect.nicmar.ac.in/storage/profile/ProfilePhoto_P25703035_583967.jpg" TargetMode="External"/><Relationship Id="rId_hyperlink_966" Type="http://schemas.openxmlformats.org/officeDocument/2006/relationships/hyperlink" Target="https://nconnect.nicmar.ac.in/storage/profile/ProfilePhoto_P25703037_975312.jpg" TargetMode="External"/><Relationship Id="rId_hyperlink_967" Type="http://schemas.openxmlformats.org/officeDocument/2006/relationships/hyperlink" Target="https://nconnect.nicmar.ac.in/storage/profile/ProfilePhoto_P25703038_123479.jpg" TargetMode="External"/><Relationship Id="rId_hyperlink_968" Type="http://schemas.openxmlformats.org/officeDocument/2006/relationships/hyperlink" Target="https://nconnect.nicmar.ac.in/storage/profile/ProfilePhoto_P25703039_812957.jpg" TargetMode="External"/><Relationship Id="rId_hyperlink_969" Type="http://schemas.openxmlformats.org/officeDocument/2006/relationships/hyperlink" Target="https://nconnect.nicmar.ac.in/storage/profile/ProfilePhoto_P25703040_795461.jpg" TargetMode="External"/><Relationship Id="rId_hyperlink_970" Type="http://schemas.openxmlformats.org/officeDocument/2006/relationships/hyperlink" Target="https://nconnect.nicmar.ac.in/storage/profile/ProfilePhoto_P25703041_689342.jpg" TargetMode="External"/><Relationship Id="rId_hyperlink_971" Type="http://schemas.openxmlformats.org/officeDocument/2006/relationships/hyperlink" Target="https://nconnect.nicmar.ac.in/storage/profile/ProfilePhoto_P25703042_139468.jpg" TargetMode="External"/><Relationship Id="rId_hyperlink_972" Type="http://schemas.openxmlformats.org/officeDocument/2006/relationships/hyperlink" Target="https://nconnect.nicmar.ac.in/storage/profile/ProfilePhoto_P25703043_964875.jpg" TargetMode="External"/><Relationship Id="rId_hyperlink_973" Type="http://schemas.openxmlformats.org/officeDocument/2006/relationships/hyperlink" Target="https://nconnect.nicmar.ac.in/storage/profile/ProfilePhoto_P25703044_175329.jpg" TargetMode="External"/><Relationship Id="rId_hyperlink_974" Type="http://schemas.openxmlformats.org/officeDocument/2006/relationships/hyperlink" Target="https://nconnect.nicmar.ac.in/storage/profile/ProfilePhoto_P25703045_971483.jpg" TargetMode="External"/><Relationship Id="rId_hyperlink_975" Type="http://schemas.openxmlformats.org/officeDocument/2006/relationships/hyperlink" Target="https://nconnect.nicmar.ac.in/storage/profile/ProfilePhoto_P25703046_682913.jpg" TargetMode="External"/><Relationship Id="rId_hyperlink_976" Type="http://schemas.openxmlformats.org/officeDocument/2006/relationships/hyperlink" Target="https://nconnect.nicmar.ac.in/storage/profile/ProfilePhoto_P25703047_245896.jpg" TargetMode="External"/><Relationship Id="rId_hyperlink_977" Type="http://schemas.openxmlformats.org/officeDocument/2006/relationships/hyperlink" Target="https://nconnect.nicmar.ac.in/storage/profile/ProfilePhoto_P25703048_983516.jpg" TargetMode="External"/><Relationship Id="rId_hyperlink_978" Type="http://schemas.openxmlformats.org/officeDocument/2006/relationships/hyperlink" Target="https://nconnect.nicmar.ac.in/storage/profile/ProfilePhoto_P25703049_251834.jpg" TargetMode="External"/><Relationship Id="rId_hyperlink_979" Type="http://schemas.openxmlformats.org/officeDocument/2006/relationships/hyperlink" Target="https://nconnect.nicmar.ac.in/storage/profile/ProfilePhoto_P25703050_934657.jpg" TargetMode="External"/><Relationship Id="rId_hyperlink_980" Type="http://schemas.openxmlformats.org/officeDocument/2006/relationships/hyperlink" Target="https://nconnect.nicmar.ac.in/storage/profile/ProfilePhoto_P25703051_276439.jpg" TargetMode="External"/><Relationship Id="rId_hyperlink_981" Type="http://schemas.openxmlformats.org/officeDocument/2006/relationships/hyperlink" Target="https://nconnect.nicmar.ac.in/storage/profile/ProfilePhoto_P25703052_721359.jpg" TargetMode="External"/><Relationship Id="rId_hyperlink_982" Type="http://schemas.openxmlformats.org/officeDocument/2006/relationships/hyperlink" Target="https://nconnect.nicmar.ac.in/storage/profile/ProfilePhoto_P25703053_389456.jpg" TargetMode="External"/><Relationship Id="rId_hyperlink_983" Type="http://schemas.openxmlformats.org/officeDocument/2006/relationships/hyperlink" Target="https://nconnect.nicmar.ac.in/storage/profile/ProfilePhoto_P25703054_851264.jpg" TargetMode="External"/><Relationship Id="rId_hyperlink_984" Type="http://schemas.openxmlformats.org/officeDocument/2006/relationships/hyperlink" Target="https://nconnect.nicmar.ac.in/storage/profile/ProfilePhoto_P25703055_376895.jpg" TargetMode="External"/><Relationship Id="rId_hyperlink_985" Type="http://schemas.openxmlformats.org/officeDocument/2006/relationships/hyperlink" Target="https://nconnect.nicmar.ac.in/storage/profile/ProfilePhoto_P25703056_384126.jpg" TargetMode="External"/><Relationship Id="rId_hyperlink_986" Type="http://schemas.openxmlformats.org/officeDocument/2006/relationships/hyperlink" Target="https://nconnect.nicmar.ac.in/storage/profile/ProfilePhoto_P25703057_537942.jpg" TargetMode="External"/><Relationship Id="rId_hyperlink_987" Type="http://schemas.openxmlformats.org/officeDocument/2006/relationships/hyperlink" Target="https://nconnect.nicmar.ac.in/storage/profile/ProfilePhoto_P25703058_486527.jpg" TargetMode="External"/><Relationship Id="rId_hyperlink_988" Type="http://schemas.openxmlformats.org/officeDocument/2006/relationships/hyperlink" Target="https://nconnect.nicmar.ac.in/storage/profile/ProfilePhoto_P25703059_751834.jpg" TargetMode="External"/><Relationship Id="rId_hyperlink_989" Type="http://schemas.openxmlformats.org/officeDocument/2006/relationships/hyperlink" Target="https://nconnect.nicmar.ac.in/storage/profile/ProfilePhoto_P25703060_274865.jpg" TargetMode="External"/><Relationship Id="rId_hyperlink_990" Type="http://schemas.openxmlformats.org/officeDocument/2006/relationships/hyperlink" Target="https://nconnect.nicmar.ac.in/storage/profile/ProfilePhoto_P25703061_518749.jpg" TargetMode="External"/><Relationship Id="rId_hyperlink_991" Type="http://schemas.openxmlformats.org/officeDocument/2006/relationships/hyperlink" Target="https://nconnect.nicmar.ac.in/storage/profile/ProfilePhoto_P25703062_538147.jpg" TargetMode="External"/><Relationship Id="rId_hyperlink_992" Type="http://schemas.openxmlformats.org/officeDocument/2006/relationships/hyperlink" Target="https://nconnect.nicmar.ac.in/storage/profile/ProfilePhoto_P25703063_326758.jpg" TargetMode="External"/><Relationship Id="rId_hyperlink_993" Type="http://schemas.openxmlformats.org/officeDocument/2006/relationships/hyperlink" Target="https://nconnect.nicmar.ac.in/storage/profile/ProfilePhoto_P25703064_951836.jpg" TargetMode="External"/><Relationship Id="rId_hyperlink_994" Type="http://schemas.openxmlformats.org/officeDocument/2006/relationships/hyperlink" Target="https://nconnect.nicmar.ac.in/storage/profile/ProfilePhoto_P25703065_946527.jpg" TargetMode="External"/><Relationship Id="rId_hyperlink_995" Type="http://schemas.openxmlformats.org/officeDocument/2006/relationships/hyperlink" Target="https://nconnect.nicmar.ac.in/storage/profile/ProfilePhoto_P25703066_498361.jpg" TargetMode="External"/><Relationship Id="rId_hyperlink_996" Type="http://schemas.openxmlformats.org/officeDocument/2006/relationships/hyperlink" Target="https://nconnect.nicmar.ac.in/storage/profile/ProfilePhoto_P25703067_814359.jpg" TargetMode="External"/><Relationship Id="rId_hyperlink_997" Type="http://schemas.openxmlformats.org/officeDocument/2006/relationships/hyperlink" Target="https://nconnect.nicmar.ac.in/storage/profile/ProfilePhoto_P25703069_368529.jpg" TargetMode="External"/><Relationship Id="rId_hyperlink_998" Type="http://schemas.openxmlformats.org/officeDocument/2006/relationships/hyperlink" Target="https://nconnect.nicmar.ac.in/storage/profile/ProfilePhoto_P25703070_916348.jpg" TargetMode="External"/><Relationship Id="rId_hyperlink_999" Type="http://schemas.openxmlformats.org/officeDocument/2006/relationships/hyperlink" Target="https://nconnect.nicmar.ac.in/storage/profile/ProfilePhoto_P25703071_927836.jpg" TargetMode="External"/><Relationship Id="rId_hyperlink_1000" Type="http://schemas.openxmlformats.org/officeDocument/2006/relationships/hyperlink" Target="https://nconnect.nicmar.ac.in/storage/profile/ProfilePhoto_P25703072_791563.jpg" TargetMode="External"/><Relationship Id="rId_hyperlink_1001" Type="http://schemas.openxmlformats.org/officeDocument/2006/relationships/hyperlink" Target="https://nconnect.nicmar.ac.in/storage/profile/ProfilePhoto_P25703073_853419.jpg" TargetMode="External"/><Relationship Id="rId_hyperlink_1002" Type="http://schemas.openxmlformats.org/officeDocument/2006/relationships/hyperlink" Target="https://nconnect.nicmar.ac.in/storage/profile/ProfilePhoto_P25703075_735968.jpg" TargetMode="External"/><Relationship Id="rId_hyperlink_1003" Type="http://schemas.openxmlformats.org/officeDocument/2006/relationships/hyperlink" Target="https://nconnect.nicmar.ac.in/storage/profile/ProfilePhoto_P25703076_758314.jpg" TargetMode="External"/><Relationship Id="rId_hyperlink_1004" Type="http://schemas.openxmlformats.org/officeDocument/2006/relationships/hyperlink" Target="https://nconnect.nicmar.ac.in/storage/profile/ProfilePhoto_P25703077_591873.jpg" TargetMode="External"/><Relationship Id="rId_hyperlink_1005" Type="http://schemas.openxmlformats.org/officeDocument/2006/relationships/hyperlink" Target="https://nconnect.nicmar.ac.in/storage/profile/ProfilePhoto_P25703078_978462.jpg" TargetMode="External"/><Relationship Id="rId_hyperlink_1006" Type="http://schemas.openxmlformats.org/officeDocument/2006/relationships/hyperlink" Target="https://nconnect.nicmar.ac.in/storage/profile/ProfilePhoto_P25703080_396475.jpg" TargetMode="External"/><Relationship Id="rId_hyperlink_1007" Type="http://schemas.openxmlformats.org/officeDocument/2006/relationships/hyperlink" Target="https://nconnect.nicmar.ac.in/storage/profile/ProfilePhoto_P25703036_347852.jpg" TargetMode="External"/><Relationship Id="rId_hyperlink_1008" Type="http://schemas.openxmlformats.org/officeDocument/2006/relationships/hyperlink" Target="https://nconnect.nicmar.ac.in/storage/profile/ProfilePhoto_P25707001_689247.jpg" TargetMode="External"/><Relationship Id="rId_hyperlink_1009" Type="http://schemas.openxmlformats.org/officeDocument/2006/relationships/hyperlink" Target="https://nconnect.nicmar.ac.in/storage/profile/ProfilePhoto_P25707002_857632.jpg" TargetMode="External"/><Relationship Id="rId_hyperlink_1010" Type="http://schemas.openxmlformats.org/officeDocument/2006/relationships/hyperlink" Target="https://nconnect.nicmar.ac.in/storage/profile/ProfilePhoto_P25707003_426789.jpg" TargetMode="External"/><Relationship Id="rId_hyperlink_1011" Type="http://schemas.openxmlformats.org/officeDocument/2006/relationships/hyperlink" Target="https://nconnect.nicmar.ac.in/storage/profile/ProfilePhoto_P25707004_475816.jpg" TargetMode="External"/><Relationship Id="rId_hyperlink_1012" Type="http://schemas.openxmlformats.org/officeDocument/2006/relationships/hyperlink" Target="https://nconnect.nicmar.ac.in/storage/profile/ProfilePhoto_P25707005_192873.jpg" TargetMode="External"/><Relationship Id="rId_hyperlink_1013" Type="http://schemas.openxmlformats.org/officeDocument/2006/relationships/hyperlink" Target="https://nconnect.nicmar.ac.in/storage/profile/ProfilePhoto_P25707007_687459.jpg" TargetMode="External"/><Relationship Id="rId_hyperlink_1014" Type="http://schemas.openxmlformats.org/officeDocument/2006/relationships/hyperlink" Target="https://nconnect.nicmar.ac.in/storage/profile/ProfilePhoto_P25707008_267589.jpg" TargetMode="External"/><Relationship Id="rId_hyperlink_1015" Type="http://schemas.openxmlformats.org/officeDocument/2006/relationships/hyperlink" Target="https://nconnect.nicmar.ac.in/storage/profile/ProfilePhoto_P25707011_829531.jpg" TargetMode="External"/><Relationship Id="rId_hyperlink_1016" Type="http://schemas.openxmlformats.org/officeDocument/2006/relationships/hyperlink" Target="https://nconnect.nicmar.ac.in/storage/profile/ProfilePhoto_P25707012_126357.jpg" TargetMode="External"/><Relationship Id="rId_hyperlink_1017" Type="http://schemas.openxmlformats.org/officeDocument/2006/relationships/hyperlink" Target="https://nconnect.nicmar.ac.in/storage/profile/ProfilePhoto_P25707013_359281.jpg" TargetMode="External"/><Relationship Id="rId_hyperlink_1018" Type="http://schemas.openxmlformats.org/officeDocument/2006/relationships/hyperlink" Target="https://nconnect.nicmar.ac.in/storage/profile/ProfilePhoto_P25707014_759148.jpg" TargetMode="External"/><Relationship Id="rId_hyperlink_1019" Type="http://schemas.openxmlformats.org/officeDocument/2006/relationships/hyperlink" Target="https://nconnect.nicmar.ac.in/storage/profile/ProfilePhoto_P25707015_275148.jpg" TargetMode="External"/><Relationship Id="rId_hyperlink_1020" Type="http://schemas.openxmlformats.org/officeDocument/2006/relationships/hyperlink" Target="https://nconnect.nicmar.ac.in/storage/profile/ProfilePhoto_P25707016_126584.jpg" TargetMode="External"/><Relationship Id="rId_hyperlink_1021" Type="http://schemas.openxmlformats.org/officeDocument/2006/relationships/hyperlink" Target="https://nconnect.nicmar.ac.in/storage/profile/ProfilePhoto_P25707017_492153.jpg" TargetMode="External"/><Relationship Id="rId_hyperlink_1022" Type="http://schemas.openxmlformats.org/officeDocument/2006/relationships/hyperlink" Target="https://nconnect.nicmar.ac.in/storage/profile/ProfilePhoto_P25707018_314526.jpg" TargetMode="External"/><Relationship Id="rId_hyperlink_1023" Type="http://schemas.openxmlformats.org/officeDocument/2006/relationships/hyperlink" Target="https://nconnect.nicmar.ac.in/storage/profile/ProfilePhoto_P25707021_512496.jpg" TargetMode="External"/><Relationship Id="rId_hyperlink_1024" Type="http://schemas.openxmlformats.org/officeDocument/2006/relationships/hyperlink" Target="https://nconnect.nicmar.ac.in/storage/profile/ProfilePhoto_P25707022_251376.jpg" TargetMode="External"/><Relationship Id="rId_hyperlink_1025" Type="http://schemas.openxmlformats.org/officeDocument/2006/relationships/hyperlink" Target="https://nconnect.nicmar.ac.in/storage/profile/ProfilePhoto_P25707023_842739.jpg" TargetMode="External"/><Relationship Id="rId_hyperlink_1026" Type="http://schemas.openxmlformats.org/officeDocument/2006/relationships/hyperlink" Target="https://nconnect.nicmar.ac.in/storage/profile/ProfilePhoto_P25707024_269347.jpg" TargetMode="External"/><Relationship Id="rId_hyperlink_1027" Type="http://schemas.openxmlformats.org/officeDocument/2006/relationships/hyperlink" Target="https://nconnect.nicmar.ac.in/storage/profile/ProfilePhoto_P25707025_542186.jpg" TargetMode="External"/><Relationship Id="rId_hyperlink_1028" Type="http://schemas.openxmlformats.org/officeDocument/2006/relationships/hyperlink" Target="https://nconnect.nicmar.ac.in/storage/profile/ProfilePhoto_P25707026_581379.jpg" TargetMode="External"/><Relationship Id="rId_hyperlink_1029" Type="http://schemas.openxmlformats.org/officeDocument/2006/relationships/hyperlink" Target="https://nconnect.nicmar.ac.in/storage/profile/ProfilePhoto_P25707027_184539.jpg" TargetMode="External"/><Relationship Id="rId_hyperlink_1030" Type="http://schemas.openxmlformats.org/officeDocument/2006/relationships/hyperlink" Target="https://nconnect.nicmar.ac.in/storage/profile/ProfilePhoto_P25707028_695231.jpg" TargetMode="External"/><Relationship Id="rId_hyperlink_1031" Type="http://schemas.openxmlformats.org/officeDocument/2006/relationships/hyperlink" Target="https://nconnect.nicmar.ac.in/storage/profile/ProfilePhoto_P25707029_139628.jpg" TargetMode="External"/><Relationship Id="rId_hyperlink_1032" Type="http://schemas.openxmlformats.org/officeDocument/2006/relationships/hyperlink" Target="https://nconnect.nicmar.ac.in/storage/profile/ProfilePhoto_P25707030_263785.jpg" TargetMode="External"/><Relationship Id="rId_hyperlink_1033" Type="http://schemas.openxmlformats.org/officeDocument/2006/relationships/hyperlink" Target="https://nconnect.nicmar.ac.in/storage/profile/ProfilePhoto_P25707031_731429.jpg" TargetMode="External"/><Relationship Id="rId_hyperlink_1034" Type="http://schemas.openxmlformats.org/officeDocument/2006/relationships/hyperlink" Target="https://nconnect.nicmar.ac.in/storage/profile/ProfilePhoto_P25707033_857492.jpg" TargetMode="External"/><Relationship Id="rId_hyperlink_1035" Type="http://schemas.openxmlformats.org/officeDocument/2006/relationships/hyperlink" Target="https://nconnect.nicmar.ac.in/storage/profile/ProfilePhoto_P25707034_398276.jpg" TargetMode="External"/><Relationship Id="rId_hyperlink_1036" Type="http://schemas.openxmlformats.org/officeDocument/2006/relationships/hyperlink" Target="https://nconnect.nicmar.ac.in/storage/profile/ProfilePhoto_P25707035_892731.jpg" TargetMode="External"/><Relationship Id="rId_hyperlink_1037" Type="http://schemas.openxmlformats.org/officeDocument/2006/relationships/hyperlink" Target="https://nconnect.nicmar.ac.in/storage/profile/ProfilePhoto_P25707036_319574.jpg" TargetMode="External"/><Relationship Id="rId_hyperlink_1038" Type="http://schemas.openxmlformats.org/officeDocument/2006/relationships/hyperlink" Target="https://nconnect.nicmar.ac.in/storage/profile/ProfilePhoto_P25707037_629387.jpg" TargetMode="External"/><Relationship Id="rId_hyperlink_1039" Type="http://schemas.openxmlformats.org/officeDocument/2006/relationships/hyperlink" Target="https://nconnect.nicmar.ac.in/storage/profile/ProfilePhoto_P25707038_634579.jpg" TargetMode="External"/><Relationship Id="rId_hyperlink_1040" Type="http://schemas.openxmlformats.org/officeDocument/2006/relationships/hyperlink" Target="https://nconnect.nicmar.ac.in/storage/profile/ProfilePhoto_P25707039_752349.jpg" TargetMode="External"/><Relationship Id="rId_hyperlink_1041" Type="http://schemas.openxmlformats.org/officeDocument/2006/relationships/hyperlink" Target="https://nconnect.nicmar.ac.in/storage/profile/ProfilePhoto_P25706001_497368.jpg" TargetMode="External"/><Relationship Id="rId_hyperlink_1042" Type="http://schemas.openxmlformats.org/officeDocument/2006/relationships/hyperlink" Target="https://nconnect.nicmar.ac.in/storage/profile/ProfilePhoto_P25706002_764851.jpg" TargetMode="External"/><Relationship Id="rId_hyperlink_1043" Type="http://schemas.openxmlformats.org/officeDocument/2006/relationships/hyperlink" Target="https://nconnect.nicmar.ac.in/storage/profile/ProfilePhoto_P25706003_729314.jpg" TargetMode="External"/><Relationship Id="rId_hyperlink_1044" Type="http://schemas.openxmlformats.org/officeDocument/2006/relationships/hyperlink" Target="https://nconnect.nicmar.ac.in/storage/profile/ProfilePhoto_P25706004_745293.jpg" TargetMode="External"/><Relationship Id="rId_hyperlink_1045" Type="http://schemas.openxmlformats.org/officeDocument/2006/relationships/hyperlink" Target="https://nconnect.nicmar.ac.in/storage/profile/ProfilePhoto_P25706005_369741.jpg" TargetMode="External"/><Relationship Id="rId_hyperlink_1046" Type="http://schemas.openxmlformats.org/officeDocument/2006/relationships/hyperlink" Target="https://nconnect.nicmar.ac.in/storage/profile/ProfilePhoto_P25706006_148672.jpg" TargetMode="External"/><Relationship Id="rId_hyperlink_1047" Type="http://schemas.openxmlformats.org/officeDocument/2006/relationships/hyperlink" Target="https://nconnect.nicmar.ac.in/storage/profile/ProfilePhoto_P25706007_459328.jpg" TargetMode="External"/><Relationship Id="rId_hyperlink_1048" Type="http://schemas.openxmlformats.org/officeDocument/2006/relationships/hyperlink" Target="https://nconnect.nicmar.ac.in/storage/profile/ProfilePhoto_P25706008_824173.jpg" TargetMode="External"/><Relationship Id="rId_hyperlink_1049" Type="http://schemas.openxmlformats.org/officeDocument/2006/relationships/hyperlink" Target="https://nconnect.nicmar.ac.in/storage/profile/ProfilePhoto_P25706009_795423.jpg" TargetMode="External"/><Relationship Id="rId_hyperlink_1050" Type="http://schemas.openxmlformats.org/officeDocument/2006/relationships/hyperlink" Target="https://nconnect.nicmar.ac.in/storage/profile/ProfilePhoto_P25706010_137249.jpg" TargetMode="External"/><Relationship Id="rId_hyperlink_1051" Type="http://schemas.openxmlformats.org/officeDocument/2006/relationships/hyperlink" Target="https://nconnect.nicmar.ac.in/storage/profile/ProfilePhoto_P25706011_687321.jpg" TargetMode="External"/><Relationship Id="rId_hyperlink_1052" Type="http://schemas.openxmlformats.org/officeDocument/2006/relationships/hyperlink" Target="https://nconnect.nicmar.ac.in/storage/profile/ProfilePhoto_P25706012_485726.jpg" TargetMode="External"/><Relationship Id="rId_hyperlink_1053" Type="http://schemas.openxmlformats.org/officeDocument/2006/relationships/hyperlink" Target="https://nconnect.nicmar.ac.in/storage/profile/ProfilePhoto_P25706013_549263.jpg" TargetMode="External"/><Relationship Id="rId_hyperlink_1054" Type="http://schemas.openxmlformats.org/officeDocument/2006/relationships/hyperlink" Target="https://nconnect.nicmar.ac.in/storage/profile/ProfilePhoto_P25706014_412957.jpg" TargetMode="External"/><Relationship Id="rId_hyperlink_1055" Type="http://schemas.openxmlformats.org/officeDocument/2006/relationships/hyperlink" Target="https://nconnect.nicmar.ac.in/storage/profile/ProfilePhoto_P25706015_614758.jpg" TargetMode="External"/><Relationship Id="rId_hyperlink_1056" Type="http://schemas.openxmlformats.org/officeDocument/2006/relationships/hyperlink" Target="https://nconnect.nicmar.ac.in/storage/profile/ProfilePhoto_P25706016_356284.jpg" TargetMode="External"/><Relationship Id="rId_hyperlink_1057" Type="http://schemas.openxmlformats.org/officeDocument/2006/relationships/hyperlink" Target="https://nconnect.nicmar.ac.in/storage/profile/ProfilePhoto_P25706017_423976.jpg" TargetMode="External"/><Relationship Id="rId_hyperlink_1058" Type="http://schemas.openxmlformats.org/officeDocument/2006/relationships/hyperlink" Target="https://nconnect.nicmar.ac.in/storage/profile/ProfilePhoto_P25706018_657438.jpg" TargetMode="External"/><Relationship Id="rId_hyperlink_1059" Type="http://schemas.openxmlformats.org/officeDocument/2006/relationships/hyperlink" Target="https://nconnect.nicmar.ac.in/storage/profile/ProfilePhoto_P25706019_479825.jpg" TargetMode="External"/><Relationship Id="rId_hyperlink_1060" Type="http://schemas.openxmlformats.org/officeDocument/2006/relationships/hyperlink" Target="https://nconnect.nicmar.ac.in/storage/profile/ProfilePhoto_P25706020_473619.jpg" TargetMode="External"/><Relationship Id="rId_hyperlink_1061" Type="http://schemas.openxmlformats.org/officeDocument/2006/relationships/hyperlink" Target="https://nconnect.nicmar.ac.in/storage/profile/ProfilePhoto_P25706021_165279.jpg" TargetMode="External"/><Relationship Id="rId_hyperlink_1062" Type="http://schemas.openxmlformats.org/officeDocument/2006/relationships/hyperlink" Target="https://nconnect.nicmar.ac.in/storage/profile/ProfilePhoto_P25706022_813754.jpg" TargetMode="External"/><Relationship Id="rId_hyperlink_1063" Type="http://schemas.openxmlformats.org/officeDocument/2006/relationships/hyperlink" Target="https://nconnect.nicmar.ac.in/storage/profile/ProfilePhoto_P25706023_352879.jpg" TargetMode="External"/><Relationship Id="rId_hyperlink_1064" Type="http://schemas.openxmlformats.org/officeDocument/2006/relationships/hyperlink" Target="https://nconnect.nicmar.ac.in/storage/profile/ProfilePhoto_P25706024_261895.jpg" TargetMode="External"/><Relationship Id="rId_hyperlink_1065" Type="http://schemas.openxmlformats.org/officeDocument/2006/relationships/hyperlink" Target="https://nconnect.nicmar.ac.in/storage/profile/ProfilePhoto_P25706025_139682.jpg" TargetMode="External"/><Relationship Id="rId_hyperlink_1066" Type="http://schemas.openxmlformats.org/officeDocument/2006/relationships/hyperlink" Target="https://nconnect.nicmar.ac.in/storage/profile/ProfilePhoto_P25706026_736918.jpg" TargetMode="External"/><Relationship Id="rId_hyperlink_1067" Type="http://schemas.openxmlformats.org/officeDocument/2006/relationships/hyperlink" Target="https://nconnect.nicmar.ac.in/storage/profile/ProfilePhoto_P25701001_763985.jpg" TargetMode="External"/><Relationship Id="rId_hyperlink_1068" Type="http://schemas.openxmlformats.org/officeDocument/2006/relationships/hyperlink" Target="https://nconnect.nicmar.ac.in/storage/profile/ProfilePhoto_P25701002_568417.jpg" TargetMode="External"/><Relationship Id="rId_hyperlink_1069" Type="http://schemas.openxmlformats.org/officeDocument/2006/relationships/hyperlink" Target="https://nconnect.nicmar.ac.in/storage/profile/ProfilePhoto_P25701003_852167.jpg" TargetMode="External"/><Relationship Id="rId_hyperlink_1070" Type="http://schemas.openxmlformats.org/officeDocument/2006/relationships/hyperlink" Target="https://nconnect.nicmar.ac.in/storage/profile/ProfilePhoto_P25701004_384192.jpg" TargetMode="External"/><Relationship Id="rId_hyperlink_1071" Type="http://schemas.openxmlformats.org/officeDocument/2006/relationships/hyperlink" Target="https://nconnect.nicmar.ac.in/storage/profile/ProfilePhoto_P25701005_496138.jpg" TargetMode="External"/><Relationship Id="rId_hyperlink_1072" Type="http://schemas.openxmlformats.org/officeDocument/2006/relationships/hyperlink" Target="https://nconnect.nicmar.ac.in/storage/profile/ProfilePhoto_P25701007_349827.jpg" TargetMode="External"/><Relationship Id="rId_hyperlink_1073" Type="http://schemas.openxmlformats.org/officeDocument/2006/relationships/hyperlink" Target="https://nconnect.nicmar.ac.in/storage/profile/ProfilePhoto_P25701008_873691.jpg" TargetMode="External"/><Relationship Id="rId_hyperlink_1074" Type="http://schemas.openxmlformats.org/officeDocument/2006/relationships/hyperlink" Target="https://nconnect.nicmar.ac.in/storage/profile/ProfilePhoto_P25701009_968471.jpg" TargetMode="External"/><Relationship Id="rId_hyperlink_1075" Type="http://schemas.openxmlformats.org/officeDocument/2006/relationships/hyperlink" Target="https://nconnect.nicmar.ac.in/storage/profile/ProfilePhoto_P25701010_479156.jpg" TargetMode="External"/><Relationship Id="rId_hyperlink_1076" Type="http://schemas.openxmlformats.org/officeDocument/2006/relationships/hyperlink" Target="https://nconnect.nicmar.ac.in/storage/profile/ProfilePhoto_P25701011_932476.jpg" TargetMode="External"/><Relationship Id="rId_hyperlink_1077" Type="http://schemas.openxmlformats.org/officeDocument/2006/relationships/hyperlink" Target="https://nconnect.nicmar.ac.in/storage/profile/ProfilePhoto_P25701013_148267.jpg" TargetMode="External"/><Relationship Id="rId_hyperlink_1078" Type="http://schemas.openxmlformats.org/officeDocument/2006/relationships/hyperlink" Target="https://nconnect.nicmar.ac.in/storage/profile/ProfilePhoto_P25701014_782496.jpg" TargetMode="External"/><Relationship Id="rId_hyperlink_1079" Type="http://schemas.openxmlformats.org/officeDocument/2006/relationships/hyperlink" Target="https://nconnect.nicmar.ac.in/storage/profile/ProfilePhoto_P25701015_578136.jpg" TargetMode="External"/><Relationship Id="rId_hyperlink_1080" Type="http://schemas.openxmlformats.org/officeDocument/2006/relationships/hyperlink" Target="https://nconnect.nicmar.ac.in/storage/profile/ProfilePhoto_P25701016_248953.jpg" TargetMode="External"/><Relationship Id="rId_hyperlink_1081" Type="http://schemas.openxmlformats.org/officeDocument/2006/relationships/hyperlink" Target="https://nconnect.nicmar.ac.in/storage/profile/ProfilePhoto_P25701017_283697.jpg" TargetMode="External"/><Relationship Id="rId_hyperlink_1082" Type="http://schemas.openxmlformats.org/officeDocument/2006/relationships/hyperlink" Target="https://nconnect.nicmar.ac.in/storage/profile/ProfilePhoto_P25701018_163478.jpg" TargetMode="External"/><Relationship Id="rId_hyperlink_1083" Type="http://schemas.openxmlformats.org/officeDocument/2006/relationships/hyperlink" Target="https://nconnect.nicmar.ac.in/storage/profile/ProfilePhoto_P25701020_926453.jpg" TargetMode="External"/><Relationship Id="rId_hyperlink_1084" Type="http://schemas.openxmlformats.org/officeDocument/2006/relationships/hyperlink" Target="https://nconnect.nicmar.ac.in/storage/profile/ProfilePhoto_P25701021_792318.jpg" TargetMode="External"/><Relationship Id="rId_hyperlink_1085" Type="http://schemas.openxmlformats.org/officeDocument/2006/relationships/hyperlink" Target="https://nconnect.nicmar.ac.in/storage/profile/ProfilePhoto_P25701022_635789.jpg" TargetMode="External"/><Relationship Id="rId_hyperlink_1086" Type="http://schemas.openxmlformats.org/officeDocument/2006/relationships/hyperlink" Target="https://nconnect.nicmar.ac.in/storage/profile/ProfilePhoto_P25701024_187362.jpg" TargetMode="External"/><Relationship Id="rId_hyperlink_1087" Type="http://schemas.openxmlformats.org/officeDocument/2006/relationships/hyperlink" Target="https://nconnect.nicmar.ac.in/storage/profile/ProfilePhoto_P25701025_745183.jpg" TargetMode="External"/><Relationship Id="rId_hyperlink_1088" Type="http://schemas.openxmlformats.org/officeDocument/2006/relationships/hyperlink" Target="https://nconnect.nicmar.ac.in/storage/profile/ProfilePhoto_P25701026_834126.jpg" TargetMode="External"/><Relationship Id="rId_hyperlink_1089" Type="http://schemas.openxmlformats.org/officeDocument/2006/relationships/hyperlink" Target="https://nconnect.nicmar.ac.in/storage/profile/ProfilePhoto_P25701027_634982.jpg" TargetMode="External"/><Relationship Id="rId_hyperlink_1090" Type="http://schemas.openxmlformats.org/officeDocument/2006/relationships/hyperlink" Target="https://nconnect.nicmar.ac.in/storage/profile/ProfilePhoto_P25701028_358741.jpg" TargetMode="External"/><Relationship Id="rId_hyperlink_1091" Type="http://schemas.openxmlformats.org/officeDocument/2006/relationships/hyperlink" Target="https://nconnect.nicmar.ac.in/storage/profile/ProfilePhoto_P25701029_843927.jpg" TargetMode="External"/><Relationship Id="rId_hyperlink_1092" Type="http://schemas.openxmlformats.org/officeDocument/2006/relationships/hyperlink" Target="https://nconnect.nicmar.ac.in/storage/profile/ProfilePhoto_P25701030_785132.jpg" TargetMode="External"/><Relationship Id="rId_hyperlink_1093" Type="http://schemas.openxmlformats.org/officeDocument/2006/relationships/hyperlink" Target="https://nconnect.nicmar.ac.in/storage/profile/ProfilePhoto_P25701031_957842.jpg" TargetMode="External"/><Relationship Id="rId_hyperlink_1094" Type="http://schemas.openxmlformats.org/officeDocument/2006/relationships/hyperlink" Target="https://nconnect.nicmar.ac.in/storage/profile/ProfilePhoto_P25701032_539862.jpg" TargetMode="External"/><Relationship Id="rId_hyperlink_1095" Type="http://schemas.openxmlformats.org/officeDocument/2006/relationships/hyperlink" Target="https://nconnect.nicmar.ac.in/storage/profile/ProfilePhoto_P25701033_941258.jpg" TargetMode="External"/><Relationship Id="rId_hyperlink_1096" Type="http://schemas.openxmlformats.org/officeDocument/2006/relationships/hyperlink" Target="https://nconnect.nicmar.ac.in/storage/profile/ProfilePhoto_P25701034_463527.jpg" TargetMode="External"/><Relationship Id="rId_hyperlink_1097" Type="http://schemas.openxmlformats.org/officeDocument/2006/relationships/hyperlink" Target="https://nconnect.nicmar.ac.in/storage/profile/ProfilePhoto_P25701035_827956.jpg" TargetMode="External"/><Relationship Id="rId_hyperlink_1098" Type="http://schemas.openxmlformats.org/officeDocument/2006/relationships/hyperlink" Target="https://nconnect.nicmar.ac.in/storage/profile/ProfilePhoto_P25701036_451738.jpg" TargetMode="External"/><Relationship Id="rId_hyperlink_1099" Type="http://schemas.openxmlformats.org/officeDocument/2006/relationships/hyperlink" Target="https://nconnect.nicmar.ac.in/storage/profile/ProfilePhoto_P25701037_823671.jpg" TargetMode="External"/><Relationship Id="rId_hyperlink_1100" Type="http://schemas.openxmlformats.org/officeDocument/2006/relationships/hyperlink" Target="https://nconnect.nicmar.ac.in/storage/profile/ProfilePhoto_P25701038_647513.jpg" TargetMode="External"/><Relationship Id="rId_hyperlink_1101" Type="http://schemas.openxmlformats.org/officeDocument/2006/relationships/hyperlink" Target="https://nconnect.nicmar.ac.in/storage/profile/ProfilePhoto_P25701040_275319.jpg" TargetMode="External"/><Relationship Id="rId_hyperlink_1102" Type="http://schemas.openxmlformats.org/officeDocument/2006/relationships/hyperlink" Target="https://nconnect.nicmar.ac.in/storage/profile/ProfilePhoto_P25701041_738129.jpg" TargetMode="External"/><Relationship Id="rId_hyperlink_1103" Type="http://schemas.openxmlformats.org/officeDocument/2006/relationships/hyperlink" Target="https://nconnect.nicmar.ac.in/storage/profile/ProfilePhoto_P25701042_567892.jpg" TargetMode="External"/><Relationship Id="rId_hyperlink_1104" Type="http://schemas.openxmlformats.org/officeDocument/2006/relationships/hyperlink" Target="https://nconnect.nicmar.ac.in/storage/profile/ProfilePhoto_P25701043_584167.jpg" TargetMode="External"/><Relationship Id="rId_hyperlink_1105" Type="http://schemas.openxmlformats.org/officeDocument/2006/relationships/hyperlink" Target="https://nconnect.nicmar.ac.in/storage/profile/ProfilePhoto_P25701044_378594.jpg" TargetMode="External"/><Relationship Id="rId_hyperlink_1106" Type="http://schemas.openxmlformats.org/officeDocument/2006/relationships/hyperlink" Target="https://nconnect.nicmar.ac.in/storage/profile/ProfilePhoto_P25701045_798341.jpg" TargetMode="External"/><Relationship Id="rId_hyperlink_1107" Type="http://schemas.openxmlformats.org/officeDocument/2006/relationships/hyperlink" Target="https://nconnect.nicmar.ac.in/storage/profile/ProfilePhoto_P25701047_179582.jpg" TargetMode="External"/><Relationship Id="rId_hyperlink_1108" Type="http://schemas.openxmlformats.org/officeDocument/2006/relationships/hyperlink" Target="https://nconnect.nicmar.ac.in/storage/profile/ProfilePhoto_P25701048_947136.jpg" TargetMode="External"/><Relationship Id="rId_hyperlink_1109" Type="http://schemas.openxmlformats.org/officeDocument/2006/relationships/hyperlink" Target="https://nconnect.nicmar.ac.in/storage/profile/ProfilePhoto_P25701049_942516.jpg" TargetMode="External"/><Relationship Id="rId_hyperlink_1110" Type="http://schemas.openxmlformats.org/officeDocument/2006/relationships/hyperlink" Target="https://nconnect.nicmar.ac.in/storage/profile/ProfilePhoto_P25701050_146523.jpg" TargetMode="External"/><Relationship Id="rId_hyperlink_1111" Type="http://schemas.openxmlformats.org/officeDocument/2006/relationships/hyperlink" Target="https://nconnect.nicmar.ac.in/storage/profile/ProfilePhoto_P25701051_864915.jpg" TargetMode="External"/><Relationship Id="rId_hyperlink_1112" Type="http://schemas.openxmlformats.org/officeDocument/2006/relationships/hyperlink" Target="https://nconnect.nicmar.ac.in/storage/profile/ProfilePhoto_P25701052_917684.jpg" TargetMode="External"/><Relationship Id="rId_hyperlink_1113" Type="http://schemas.openxmlformats.org/officeDocument/2006/relationships/hyperlink" Target="https://nconnect.nicmar.ac.in/storage/profile/ProfilePhoto_P25701053_372945.jpg" TargetMode="External"/><Relationship Id="rId_hyperlink_1114" Type="http://schemas.openxmlformats.org/officeDocument/2006/relationships/hyperlink" Target="https://nconnect.nicmar.ac.in/storage/profile/ProfilePhoto_P25701054_928375.jpg" TargetMode="External"/><Relationship Id="rId_hyperlink_1115" Type="http://schemas.openxmlformats.org/officeDocument/2006/relationships/hyperlink" Target="https://nconnect.nicmar.ac.in/storage/profile/ProfilePhoto_P25701055_348719.jpg" TargetMode="External"/><Relationship Id="rId_hyperlink_1116" Type="http://schemas.openxmlformats.org/officeDocument/2006/relationships/hyperlink" Target="https://nconnect.nicmar.ac.in/storage/profile/ProfilePhoto_P25701056_321589.jpg" TargetMode="External"/><Relationship Id="rId_hyperlink_1117" Type="http://schemas.openxmlformats.org/officeDocument/2006/relationships/hyperlink" Target="https://nconnect.nicmar.ac.in/storage/profile/ProfilePhoto_P25701057_742385.jpg" TargetMode="External"/><Relationship Id="rId_hyperlink_1118" Type="http://schemas.openxmlformats.org/officeDocument/2006/relationships/hyperlink" Target="https://nconnect.nicmar.ac.in/storage/profile/ProfilePhoto_P25701058_382415.jpg" TargetMode="External"/><Relationship Id="rId_hyperlink_1119" Type="http://schemas.openxmlformats.org/officeDocument/2006/relationships/hyperlink" Target="https://nconnect.nicmar.ac.in/storage/profile/ProfilePhoto_P25701059_618749.jpg" TargetMode="External"/><Relationship Id="rId_hyperlink_1120" Type="http://schemas.openxmlformats.org/officeDocument/2006/relationships/hyperlink" Target="https://nconnect.nicmar.ac.in/storage/profile/ProfilePhoto_P25701060_532694.jpg" TargetMode="External"/><Relationship Id="rId_hyperlink_1121" Type="http://schemas.openxmlformats.org/officeDocument/2006/relationships/hyperlink" Target="https://nconnect.nicmar.ac.in/storage/profile/ProfilePhoto_P25701061_738146.jpg" TargetMode="External"/><Relationship Id="rId_hyperlink_1122" Type="http://schemas.openxmlformats.org/officeDocument/2006/relationships/hyperlink" Target="https://nconnect.nicmar.ac.in/storage/profile/ProfilePhoto_P25701062_418765.jpg" TargetMode="External"/><Relationship Id="rId_hyperlink_1123" Type="http://schemas.openxmlformats.org/officeDocument/2006/relationships/hyperlink" Target="https://nconnect.nicmar.ac.in/storage/profile/ProfilePhoto_P25701063_213945.jpg" TargetMode="External"/><Relationship Id="rId_hyperlink_1124" Type="http://schemas.openxmlformats.org/officeDocument/2006/relationships/hyperlink" Target="https://nconnect.nicmar.ac.in/storage/profile/ProfilePhoto_P25701064_689127.jpg" TargetMode="External"/><Relationship Id="rId_hyperlink_1125" Type="http://schemas.openxmlformats.org/officeDocument/2006/relationships/hyperlink" Target="https://nconnect.nicmar.ac.in/storage/profile/ProfilePhoto_P25701065_158739.jpg" TargetMode="External"/><Relationship Id="rId_hyperlink_1126" Type="http://schemas.openxmlformats.org/officeDocument/2006/relationships/hyperlink" Target="https://nconnect.nicmar.ac.in/storage/profile/ProfilePhoto_P25701066_926834.jpg" TargetMode="External"/><Relationship Id="rId_hyperlink_1127" Type="http://schemas.openxmlformats.org/officeDocument/2006/relationships/hyperlink" Target="https://nconnect.nicmar.ac.in/storage/profile/ProfilePhoto_P25701067_261389.jpg" TargetMode="External"/><Relationship Id="rId_hyperlink_1128" Type="http://schemas.openxmlformats.org/officeDocument/2006/relationships/hyperlink" Target="https://nconnect.nicmar.ac.in/storage/profile/ProfilePhoto_P25701068_489276.jpg" TargetMode="External"/><Relationship Id="rId_hyperlink_1129" Type="http://schemas.openxmlformats.org/officeDocument/2006/relationships/hyperlink" Target="https://nconnect.nicmar.ac.in/storage/profile/ProfilePhoto_P25701070_249536.jpg" TargetMode="External"/><Relationship Id="rId_hyperlink_1130" Type="http://schemas.openxmlformats.org/officeDocument/2006/relationships/hyperlink" Target="https://nconnect.nicmar.ac.in/storage/profile/ProfilePhoto_P25701071_961527.jpg" TargetMode="External"/><Relationship Id="rId_hyperlink_1131" Type="http://schemas.openxmlformats.org/officeDocument/2006/relationships/hyperlink" Target="https://nconnect.nicmar.ac.in/storage/profile/ProfilePhoto_P25701073_431986.jpg" TargetMode="External"/><Relationship Id="rId_hyperlink_1132" Type="http://schemas.openxmlformats.org/officeDocument/2006/relationships/hyperlink" Target="https://nconnect.nicmar.ac.in/storage/profile/ProfilePhoto_P25701074_918327.jpg" TargetMode="External"/><Relationship Id="rId_hyperlink_1133" Type="http://schemas.openxmlformats.org/officeDocument/2006/relationships/hyperlink" Target="https://nconnect.nicmar.ac.in/storage/profile/ProfilePhoto_P25701075_871349.jpg" TargetMode="External"/><Relationship Id="rId_hyperlink_1134" Type="http://schemas.openxmlformats.org/officeDocument/2006/relationships/hyperlink" Target="https://nconnect.nicmar.ac.in/storage/profile/ProfilePhoto_P25701076_837462.jpg" TargetMode="External"/><Relationship Id="rId_hyperlink_1135" Type="http://schemas.openxmlformats.org/officeDocument/2006/relationships/hyperlink" Target="https://nconnect.nicmar.ac.in/storage/profile/ProfilePhoto_P25701077_254678.jpg" TargetMode="External"/><Relationship Id="rId_hyperlink_1136" Type="http://schemas.openxmlformats.org/officeDocument/2006/relationships/hyperlink" Target="https://nconnect.nicmar.ac.in/storage/profile/ProfilePhoto_P25701078_946752.jpg" TargetMode="External"/><Relationship Id="rId_hyperlink_1137" Type="http://schemas.openxmlformats.org/officeDocument/2006/relationships/hyperlink" Target="https://nconnect.nicmar.ac.in/storage/profile/ProfilePhoto_P25701080_291384.jpg" TargetMode="External"/><Relationship Id="rId_hyperlink_1138" Type="http://schemas.openxmlformats.org/officeDocument/2006/relationships/hyperlink" Target="https://nconnect.nicmar.ac.in/storage/profile/ProfilePhoto_P25701082_517926.jpg" TargetMode="External"/><Relationship Id="rId_hyperlink_1139" Type="http://schemas.openxmlformats.org/officeDocument/2006/relationships/hyperlink" Target="https://nconnect.nicmar.ac.in/storage/profile/ProfilePhoto_P25701083_263178.jpg" TargetMode="External"/><Relationship Id="rId_hyperlink_1140" Type="http://schemas.openxmlformats.org/officeDocument/2006/relationships/hyperlink" Target="https://nconnect.nicmar.ac.in/storage/profile/ProfilePhoto_P25701084_612374.jpg" TargetMode="External"/><Relationship Id="rId_hyperlink_1141" Type="http://schemas.openxmlformats.org/officeDocument/2006/relationships/hyperlink" Target="https://nconnect.nicmar.ac.in/storage/profile/ProfilePhoto_P25701085_372584.jpg" TargetMode="External"/><Relationship Id="rId_hyperlink_1142" Type="http://schemas.openxmlformats.org/officeDocument/2006/relationships/hyperlink" Target="https://nconnect.nicmar.ac.in/storage/profile/ProfilePhoto_P25701087_365981.jpg" TargetMode="External"/><Relationship Id="rId_hyperlink_1143" Type="http://schemas.openxmlformats.org/officeDocument/2006/relationships/hyperlink" Target="https://nconnect.nicmar.ac.in/storage/profile/ProfilePhoto_P25701088_378519.jpg" TargetMode="External"/><Relationship Id="rId_hyperlink_1144" Type="http://schemas.openxmlformats.org/officeDocument/2006/relationships/hyperlink" Target="https://nconnect.nicmar.ac.in/storage/profile/ProfilePhoto_P25701089_251937.jpg" TargetMode="External"/><Relationship Id="rId_hyperlink_1145" Type="http://schemas.openxmlformats.org/officeDocument/2006/relationships/hyperlink" Target="https://nconnect.nicmar.ac.in/storage/profile/ProfilePhoto_P25701090_859126.jpg" TargetMode="External"/><Relationship Id="rId_hyperlink_1146" Type="http://schemas.openxmlformats.org/officeDocument/2006/relationships/hyperlink" Target="https://nconnect.nicmar.ac.in/storage/profile/ProfilePhoto_P25701091_628517.jpg" TargetMode="External"/><Relationship Id="rId_hyperlink_1147" Type="http://schemas.openxmlformats.org/officeDocument/2006/relationships/hyperlink" Target="https://nconnect.nicmar.ac.in/storage/profile/ProfilePhoto_P25701092_936487.jpg" TargetMode="External"/><Relationship Id="rId_hyperlink_1148" Type="http://schemas.openxmlformats.org/officeDocument/2006/relationships/hyperlink" Target="https://nconnect.nicmar.ac.in/storage/profile/ProfilePhoto_P25701093_486973.jpg" TargetMode="External"/><Relationship Id="rId_hyperlink_1149" Type="http://schemas.openxmlformats.org/officeDocument/2006/relationships/hyperlink" Target="https://nconnect.nicmar.ac.in/storage/profile/ProfilePhoto_P25701094_546218.jpg" TargetMode="External"/><Relationship Id="rId_hyperlink_1150" Type="http://schemas.openxmlformats.org/officeDocument/2006/relationships/hyperlink" Target="https://nconnect.nicmar.ac.in/storage/profile/ProfilePhoto_P25701095_712486.jpg" TargetMode="External"/><Relationship Id="rId_hyperlink_1151" Type="http://schemas.openxmlformats.org/officeDocument/2006/relationships/hyperlink" Target="https://nconnect.nicmar.ac.in/storage/profile/ProfilePhoto_P25701097_691845.jpg" TargetMode="External"/><Relationship Id="rId_hyperlink_1152" Type="http://schemas.openxmlformats.org/officeDocument/2006/relationships/hyperlink" Target="https://nconnect.nicmar.ac.in/storage/profile/ProfilePhoto_P25701098_726394.jpg" TargetMode="External"/><Relationship Id="rId_hyperlink_1153" Type="http://schemas.openxmlformats.org/officeDocument/2006/relationships/hyperlink" Target="https://nconnect.nicmar.ac.in/storage/profile/ProfilePhoto_P25701099_675183.jpg" TargetMode="External"/><Relationship Id="rId_hyperlink_1154" Type="http://schemas.openxmlformats.org/officeDocument/2006/relationships/hyperlink" Target="https://nconnect.nicmar.ac.in/storage/profile/ProfilePhoto_P25701100_954627.jpg" TargetMode="External"/><Relationship Id="rId_hyperlink_1155" Type="http://schemas.openxmlformats.org/officeDocument/2006/relationships/hyperlink" Target="https://nconnect.nicmar.ac.in/storage/profile/ProfilePhoto_P25701101_637518.jpg" TargetMode="External"/><Relationship Id="rId_hyperlink_1156" Type="http://schemas.openxmlformats.org/officeDocument/2006/relationships/hyperlink" Target="https://nconnect.nicmar.ac.in/storage/profile/ProfilePhoto_P25701102_496235.jpg" TargetMode="External"/><Relationship Id="rId_hyperlink_1157" Type="http://schemas.openxmlformats.org/officeDocument/2006/relationships/hyperlink" Target="https://nconnect.nicmar.ac.in/storage/profile/ProfilePhoto_P25701106_756483.jpg" TargetMode="External"/><Relationship Id="rId_hyperlink_1158" Type="http://schemas.openxmlformats.org/officeDocument/2006/relationships/hyperlink" Target="https://nconnect.nicmar.ac.in/storage/profile/ProfilePhoto_P25701107_574683.jpg" TargetMode="External"/><Relationship Id="rId_hyperlink_1159" Type="http://schemas.openxmlformats.org/officeDocument/2006/relationships/hyperlink" Target="https://nconnect.nicmar.ac.in/storage/profile/ProfilePhoto_P25701108_691235.jpg" TargetMode="External"/><Relationship Id="rId_hyperlink_1160" Type="http://schemas.openxmlformats.org/officeDocument/2006/relationships/hyperlink" Target="https://nconnect.nicmar.ac.in/storage/profile/ProfilePhoto_P25701109_872635.jpg" TargetMode="External"/><Relationship Id="rId_hyperlink_1161" Type="http://schemas.openxmlformats.org/officeDocument/2006/relationships/hyperlink" Target="https://nconnect.nicmar.ac.in/storage/profile/ProfilePhoto_P25701110_927538.jpg" TargetMode="External"/><Relationship Id="rId_hyperlink_1162" Type="http://schemas.openxmlformats.org/officeDocument/2006/relationships/hyperlink" Target="https://nconnect.nicmar.ac.in/storage/profile/ProfilePhoto_P25701111_263478.jpg" TargetMode="External"/><Relationship Id="rId_hyperlink_1163" Type="http://schemas.openxmlformats.org/officeDocument/2006/relationships/hyperlink" Target="https://nconnect.nicmar.ac.in/storage/profile/ProfilePhoto_P25701112_923457.jpg" TargetMode="External"/><Relationship Id="rId_hyperlink_1164" Type="http://schemas.openxmlformats.org/officeDocument/2006/relationships/hyperlink" Target="https://nconnect.nicmar.ac.in/storage/profile/ProfilePhoto_P25701113_867329.jpg" TargetMode="External"/><Relationship Id="rId_hyperlink_1165" Type="http://schemas.openxmlformats.org/officeDocument/2006/relationships/hyperlink" Target="https://nconnect.nicmar.ac.in/storage/profile/ProfilePhoto_P25701114_583712.jpg" TargetMode="External"/><Relationship Id="rId_hyperlink_1166" Type="http://schemas.openxmlformats.org/officeDocument/2006/relationships/hyperlink" Target="https://nconnect.nicmar.ac.in/storage/profile/ProfilePhoto_P25701115_284369.jpg" TargetMode="External"/><Relationship Id="rId_hyperlink_1167" Type="http://schemas.openxmlformats.org/officeDocument/2006/relationships/hyperlink" Target="https://nconnect.nicmar.ac.in/storage/profile/ProfilePhoto_P25701116_873219.jpg" TargetMode="External"/><Relationship Id="rId_hyperlink_1168" Type="http://schemas.openxmlformats.org/officeDocument/2006/relationships/hyperlink" Target="https://nconnect.nicmar.ac.in/storage/profile/ProfilePhoto_P25701117_619824.jpg" TargetMode="External"/><Relationship Id="rId_hyperlink_1169" Type="http://schemas.openxmlformats.org/officeDocument/2006/relationships/hyperlink" Target="https://nconnect.nicmar.ac.in/storage/profile/ProfilePhoto_P25701118_392456.jpg" TargetMode="External"/><Relationship Id="rId_hyperlink_1170" Type="http://schemas.openxmlformats.org/officeDocument/2006/relationships/hyperlink" Target="https://nconnect.nicmar.ac.in/storage/profile/ProfilePhoto_P25701119_274135.jpg" TargetMode="External"/><Relationship Id="rId_hyperlink_1171" Type="http://schemas.openxmlformats.org/officeDocument/2006/relationships/hyperlink" Target="https://nconnect.nicmar.ac.in/storage/profile/ProfilePhoto_P25701120_461395.jpg" TargetMode="External"/><Relationship Id="rId_hyperlink_1172" Type="http://schemas.openxmlformats.org/officeDocument/2006/relationships/hyperlink" Target="https://nconnect.nicmar.ac.in/storage/profile/ProfilePhoto_P25701121_753814.jpg" TargetMode="External"/><Relationship Id="rId_hyperlink_1173" Type="http://schemas.openxmlformats.org/officeDocument/2006/relationships/hyperlink" Target="https://nconnect.nicmar.ac.in/storage/profile/ProfilePhoto_P25701122_936541.jpg" TargetMode="External"/><Relationship Id="rId_hyperlink_1174" Type="http://schemas.openxmlformats.org/officeDocument/2006/relationships/hyperlink" Target="https://nconnect.nicmar.ac.in/storage/profile/ProfilePhoto_P25701123_957821.jpg" TargetMode="External"/><Relationship Id="rId_hyperlink_1175" Type="http://schemas.openxmlformats.org/officeDocument/2006/relationships/hyperlink" Target="https://nconnect.nicmar.ac.in/storage/profile/ProfilePhoto_P25701124_429365.jpg" TargetMode="External"/><Relationship Id="rId_hyperlink_1176" Type="http://schemas.openxmlformats.org/officeDocument/2006/relationships/hyperlink" Target="https://nconnect.nicmar.ac.in/storage/profile/ProfilePhoto_P25701125_465728.jpg" TargetMode="External"/><Relationship Id="rId_hyperlink_1177" Type="http://schemas.openxmlformats.org/officeDocument/2006/relationships/hyperlink" Target="https://nconnect.nicmar.ac.in/storage/profile/ProfilePhoto_P25701126_826341.jpg" TargetMode="External"/><Relationship Id="rId_hyperlink_1178" Type="http://schemas.openxmlformats.org/officeDocument/2006/relationships/hyperlink" Target="https://nconnect.nicmar.ac.in/storage/profile/ProfilePhoto_P25701127_942376.jpg" TargetMode="External"/><Relationship Id="rId_hyperlink_1179" Type="http://schemas.openxmlformats.org/officeDocument/2006/relationships/hyperlink" Target="https://nconnect.nicmar.ac.in/storage/profile/ProfilePhoto_P25701128_269574.jpg" TargetMode="External"/><Relationship Id="rId_hyperlink_1180" Type="http://schemas.openxmlformats.org/officeDocument/2006/relationships/hyperlink" Target="https://nconnect.nicmar.ac.in/storage/profile/ProfilePhoto_P25701129_129463.jpg" TargetMode="External"/><Relationship Id="rId_hyperlink_1181" Type="http://schemas.openxmlformats.org/officeDocument/2006/relationships/hyperlink" Target="https://nconnect.nicmar.ac.in/storage/profile/ProfilePhoto_P25701130_516472.jpg" TargetMode="External"/><Relationship Id="rId_hyperlink_1182" Type="http://schemas.openxmlformats.org/officeDocument/2006/relationships/hyperlink" Target="https://nconnect.nicmar.ac.in/storage/profile/ProfilePhoto_P25701131_359184.jpg" TargetMode="External"/><Relationship Id="rId_hyperlink_1183" Type="http://schemas.openxmlformats.org/officeDocument/2006/relationships/hyperlink" Target="https://nconnect.nicmar.ac.in/storage/profile/ProfilePhoto_P25701132_857361.jpg" TargetMode="External"/><Relationship Id="rId_hyperlink_1184" Type="http://schemas.openxmlformats.org/officeDocument/2006/relationships/hyperlink" Target="https://nconnect.nicmar.ac.in/storage/profile/ProfilePhoto_P25701133_312596.jpg" TargetMode="External"/><Relationship Id="rId_hyperlink_1185" Type="http://schemas.openxmlformats.org/officeDocument/2006/relationships/hyperlink" Target="https://nconnect.nicmar.ac.in/storage/profile/ProfilePhoto_P25701134_183274.jpg" TargetMode="External"/><Relationship Id="rId_hyperlink_1186" Type="http://schemas.openxmlformats.org/officeDocument/2006/relationships/hyperlink" Target="https://nconnect.nicmar.ac.in/storage/profile/ProfilePhoto_P25701135_748916.jpg" TargetMode="External"/><Relationship Id="rId_hyperlink_1187" Type="http://schemas.openxmlformats.org/officeDocument/2006/relationships/hyperlink" Target="https://nconnect.nicmar.ac.in/storage/profile/ProfilePhoto_P25701136_172468.jpg" TargetMode="External"/><Relationship Id="rId_hyperlink_1188" Type="http://schemas.openxmlformats.org/officeDocument/2006/relationships/hyperlink" Target="https://nconnect.nicmar.ac.in/storage/profile/ProfilePhoto_P25701137_312786.jpg" TargetMode="External"/><Relationship Id="rId_hyperlink_1189" Type="http://schemas.openxmlformats.org/officeDocument/2006/relationships/hyperlink" Target="https://nconnect.nicmar.ac.in/storage/profile/ProfilePhoto_P25701138_614237.jpg" TargetMode="External"/><Relationship Id="rId_hyperlink_1190" Type="http://schemas.openxmlformats.org/officeDocument/2006/relationships/hyperlink" Target="https://nconnect.nicmar.ac.in/storage/profile/ProfilePhoto_P25701139_685329.jpg" TargetMode="External"/><Relationship Id="rId_hyperlink_1191" Type="http://schemas.openxmlformats.org/officeDocument/2006/relationships/hyperlink" Target="https://nconnect.nicmar.ac.in/storage/profile/ProfilePhoto_P25701140_987256.jpg" TargetMode="External"/><Relationship Id="rId_hyperlink_1192" Type="http://schemas.openxmlformats.org/officeDocument/2006/relationships/hyperlink" Target="https://nconnect.nicmar.ac.in/storage/profile/ProfilePhoto_P25701141_658723.jpg" TargetMode="External"/><Relationship Id="rId_hyperlink_1193" Type="http://schemas.openxmlformats.org/officeDocument/2006/relationships/hyperlink" Target="https://nconnect.nicmar.ac.in/storage/profile/ProfilePhoto_P25701142_867349.jpg" TargetMode="External"/><Relationship Id="rId_hyperlink_1194" Type="http://schemas.openxmlformats.org/officeDocument/2006/relationships/hyperlink" Target="https://nconnect.nicmar.ac.in/storage/profile/ProfilePhoto_P25701143_256148.jpg" TargetMode="External"/><Relationship Id="rId_hyperlink_1195" Type="http://schemas.openxmlformats.org/officeDocument/2006/relationships/hyperlink" Target="https://nconnect.nicmar.ac.in/storage/profile/ProfilePhoto_P25701144_961284.jpg" TargetMode="External"/><Relationship Id="rId_hyperlink_1196" Type="http://schemas.openxmlformats.org/officeDocument/2006/relationships/hyperlink" Target="https://nconnect.nicmar.ac.in/storage/profile/ProfilePhoto_P25701145_172436.jpg" TargetMode="External"/><Relationship Id="rId_hyperlink_1197" Type="http://schemas.openxmlformats.org/officeDocument/2006/relationships/hyperlink" Target="https://nconnect.nicmar.ac.in/storage/profile/ProfilePhoto_P25701147_438629.jpg" TargetMode="External"/><Relationship Id="rId_hyperlink_1198" Type="http://schemas.openxmlformats.org/officeDocument/2006/relationships/hyperlink" Target="https://nconnect.nicmar.ac.in/storage/profile/ProfilePhoto_P25701148_372981.jpg" TargetMode="External"/><Relationship Id="rId_hyperlink_1199" Type="http://schemas.openxmlformats.org/officeDocument/2006/relationships/hyperlink" Target="https://nconnect.nicmar.ac.in/storage/profile/ProfilePhoto_P25701149_837291.jpg" TargetMode="External"/><Relationship Id="rId_hyperlink_1200" Type="http://schemas.openxmlformats.org/officeDocument/2006/relationships/hyperlink" Target="https://nconnect.nicmar.ac.in/storage/profile/ProfilePhoto_P25701151_132857.jpg" TargetMode="External"/><Relationship Id="rId_hyperlink_1201" Type="http://schemas.openxmlformats.org/officeDocument/2006/relationships/hyperlink" Target="https://nconnect.nicmar.ac.in/storage/profile/ProfilePhoto_P25701152_148367.jpg" TargetMode="External"/><Relationship Id="rId_hyperlink_1202" Type="http://schemas.openxmlformats.org/officeDocument/2006/relationships/hyperlink" Target="https://nconnect.nicmar.ac.in/storage/profile/ProfilePhoto_P25701103_576182.jpg" TargetMode="External"/><Relationship Id="rId_hyperlink_1203" Type="http://schemas.openxmlformats.org/officeDocument/2006/relationships/hyperlink" Target="https://nconnect.nicmar.ac.in/storage/profile/ProfilePhoto_P25701104_261935.jpg" TargetMode="External"/><Relationship Id="rId_hyperlink_1204" Type="http://schemas.openxmlformats.org/officeDocument/2006/relationships/hyperlink" Target="https://nconnect.nicmar.ac.in/storage/profile/ProfilePhoto_P25704001_327986.jpg" TargetMode="External"/><Relationship Id="rId_hyperlink_1205" Type="http://schemas.openxmlformats.org/officeDocument/2006/relationships/hyperlink" Target="https://nconnect.nicmar.ac.in/storage/profile/ProfilePhoto_P25704004_981675.jpg" TargetMode="External"/><Relationship Id="rId_hyperlink_1206" Type="http://schemas.openxmlformats.org/officeDocument/2006/relationships/hyperlink" Target="https://nconnect.nicmar.ac.in/storage/profile/ProfilePhoto_P25704005_592674.jpg" TargetMode="External"/><Relationship Id="rId_hyperlink_1207" Type="http://schemas.openxmlformats.org/officeDocument/2006/relationships/hyperlink" Target="https://nconnect.nicmar.ac.in/storage/profile/ProfilePhoto_P25704006_537618.jpg" TargetMode="External"/><Relationship Id="rId_hyperlink_1208" Type="http://schemas.openxmlformats.org/officeDocument/2006/relationships/hyperlink" Target="https://nconnect.nicmar.ac.in/storage/profile/ProfilePhoto_P25704007_382496.jpg" TargetMode="External"/><Relationship Id="rId_hyperlink_1209" Type="http://schemas.openxmlformats.org/officeDocument/2006/relationships/hyperlink" Target="https://nconnect.nicmar.ac.in/storage/profile/ProfilePhoto_P25704008_732964.jpg" TargetMode="External"/><Relationship Id="rId_hyperlink_1210" Type="http://schemas.openxmlformats.org/officeDocument/2006/relationships/hyperlink" Target="https://nconnect.nicmar.ac.in/storage/profile/ProfilePhoto_P25704010_926485.jpg" TargetMode="External"/><Relationship Id="rId_hyperlink_1211" Type="http://schemas.openxmlformats.org/officeDocument/2006/relationships/hyperlink" Target="https://nconnect.nicmar.ac.in/storage/profile/ProfilePhoto_P25704011_741839.jpg" TargetMode="External"/><Relationship Id="rId_hyperlink_1212" Type="http://schemas.openxmlformats.org/officeDocument/2006/relationships/hyperlink" Target="https://nconnect.nicmar.ac.in/storage/profile/ProfilePhoto_P25704012_517239.jpg" TargetMode="External"/><Relationship Id="rId_hyperlink_1213" Type="http://schemas.openxmlformats.org/officeDocument/2006/relationships/hyperlink" Target="https://nconnect.nicmar.ac.in/storage/profile/ProfilePhoto_P25704014_271968.jpg" TargetMode="External"/><Relationship Id="rId_hyperlink_1214" Type="http://schemas.openxmlformats.org/officeDocument/2006/relationships/hyperlink" Target="https://nconnect.nicmar.ac.in/storage/profile/ProfilePhoto_P25704015_271856.jpg" TargetMode="External"/><Relationship Id="rId_hyperlink_1215" Type="http://schemas.openxmlformats.org/officeDocument/2006/relationships/hyperlink" Target="https://nconnect.nicmar.ac.in/storage/profile/ProfilePhoto_P25704016_615842.jpg" TargetMode="External"/><Relationship Id="rId_hyperlink_1216" Type="http://schemas.openxmlformats.org/officeDocument/2006/relationships/hyperlink" Target="https://nconnect.nicmar.ac.in/storage/profile/ProfilePhoto_P25704017_891326.jpg" TargetMode="External"/><Relationship Id="rId_hyperlink_1217" Type="http://schemas.openxmlformats.org/officeDocument/2006/relationships/hyperlink" Target="https://nconnect.nicmar.ac.in/storage/profile/ProfilePhoto_P25704018_982543.jpg" TargetMode="External"/><Relationship Id="rId_hyperlink_1218" Type="http://schemas.openxmlformats.org/officeDocument/2006/relationships/hyperlink" Target="https://nconnect.nicmar.ac.in/storage/profile/ProfilePhoto_P25704019_593674.jpg" TargetMode="External"/><Relationship Id="rId_hyperlink_1219" Type="http://schemas.openxmlformats.org/officeDocument/2006/relationships/hyperlink" Target="https://nconnect.nicmar.ac.in/storage/profile/ProfilePhoto_P25704020_278361.jpg" TargetMode="External"/><Relationship Id="rId_hyperlink_1220" Type="http://schemas.openxmlformats.org/officeDocument/2006/relationships/hyperlink" Target="https://nconnect.nicmar.ac.in/storage/profile/ProfilePhoto_P25704021_426987.jpg" TargetMode="External"/><Relationship Id="rId_hyperlink_1221" Type="http://schemas.openxmlformats.org/officeDocument/2006/relationships/hyperlink" Target="https://nconnect.nicmar.ac.in/storage/profile/ProfilePhoto_P25704022_561872.jpg" TargetMode="External"/><Relationship Id="rId_hyperlink_1222" Type="http://schemas.openxmlformats.org/officeDocument/2006/relationships/hyperlink" Target="https://nconnect.nicmar.ac.in/storage/profile/ProfilePhoto_P25704023_534962.jpg" TargetMode="External"/><Relationship Id="rId_hyperlink_1223" Type="http://schemas.openxmlformats.org/officeDocument/2006/relationships/hyperlink" Target="https://nconnect.nicmar.ac.in/storage/profile/ProfilePhoto_P25704024_853971.jpg" TargetMode="External"/><Relationship Id="rId_hyperlink_1224" Type="http://schemas.openxmlformats.org/officeDocument/2006/relationships/hyperlink" Target="https://nconnect.nicmar.ac.in/storage/profile/ProfilePhoto_P25704025_279518.jpg" TargetMode="External"/><Relationship Id="rId_hyperlink_1225" Type="http://schemas.openxmlformats.org/officeDocument/2006/relationships/hyperlink" Target="https://nconnect.nicmar.ac.in/storage/profile/ProfilePhoto_P25704026_986524.jpg" TargetMode="External"/><Relationship Id="rId_hyperlink_1226" Type="http://schemas.openxmlformats.org/officeDocument/2006/relationships/hyperlink" Target="https://nconnect.nicmar.ac.in/storage/profile/ProfilePhoto_P25704027_845267.jpg" TargetMode="External"/><Relationship Id="rId_hyperlink_1227" Type="http://schemas.openxmlformats.org/officeDocument/2006/relationships/hyperlink" Target="https://nconnect.nicmar.ac.in/storage/profile/ProfilePhoto_P25704028_759214.jpg" TargetMode="External"/><Relationship Id="rId_hyperlink_1228" Type="http://schemas.openxmlformats.org/officeDocument/2006/relationships/hyperlink" Target="https://nconnect.nicmar.ac.in/storage/profile/ProfilePhoto_P25704029_425917.jpg" TargetMode="External"/><Relationship Id="rId_hyperlink_1229" Type="http://schemas.openxmlformats.org/officeDocument/2006/relationships/hyperlink" Target="https://nconnect.nicmar.ac.in/storage/profile/ProfilePhoto_P25704030_279351.jpg" TargetMode="External"/><Relationship Id="rId_hyperlink_1230" Type="http://schemas.openxmlformats.org/officeDocument/2006/relationships/hyperlink" Target="https://nconnect.nicmar.ac.in/storage/profile/ProfilePhoto_P25704032_987163.jpg" TargetMode="External"/><Relationship Id="rId_hyperlink_1231" Type="http://schemas.openxmlformats.org/officeDocument/2006/relationships/hyperlink" Target="https://nconnect.nicmar.ac.in/storage/profile/ProfilePhoto_P25704033_491638.jpg" TargetMode="External"/><Relationship Id="rId_hyperlink_1232" Type="http://schemas.openxmlformats.org/officeDocument/2006/relationships/hyperlink" Target="https://nconnect.nicmar.ac.in/storage/profile/ProfilePhoto_P25704034_924785.jpg" TargetMode="External"/><Relationship Id="rId_hyperlink_1233" Type="http://schemas.openxmlformats.org/officeDocument/2006/relationships/hyperlink" Target="https://nconnect.nicmar.ac.in/storage/profile/ProfilePhoto_P25704035_451867.jpg" TargetMode="External"/><Relationship Id="rId_hyperlink_1234" Type="http://schemas.openxmlformats.org/officeDocument/2006/relationships/hyperlink" Target="https://nconnect.nicmar.ac.in/storage/profile/ProfilePhoto_P25704036_238451.jpg" TargetMode="External"/><Relationship Id="rId_hyperlink_1235" Type="http://schemas.openxmlformats.org/officeDocument/2006/relationships/hyperlink" Target="https://nconnect.nicmar.ac.in/storage/profile/ProfilePhoto_P25704038_832517.jp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R1241"/>
  <sheetViews>
    <sheetView tabSelected="1" workbookViewId="0" showGridLines="true" showRowColHeaders="1">
      <pane ySplit="1" topLeftCell="A2" activePane="bottomLeft" state="frozen"/>
      <selection pane="bottomLeft" activeCell="BR2" sqref="BR2:BR1241"/>
    </sheetView>
  </sheetViews>
  <sheetFormatPr defaultRowHeight="14.4" outlineLevelRow="0" outlineLevelCol="0"/>
  <cols>
    <col min="1" max="1" width="12.568" bestFit="true" customWidth="true" style="0"/>
    <col min="2" max="2" width="11.711" bestFit="true" customWidth="true" style="0"/>
    <col min="3" max="3" width="17.71" bestFit="true" customWidth="true" style="0"/>
    <col min="4" max="4" width="23.423" bestFit="true" customWidth="true" style="0"/>
    <col min="5" max="5" width="17.71" bestFit="true" customWidth="true" style="0"/>
    <col min="6" max="6" width="23.423" bestFit="true" customWidth="true" style="0"/>
    <col min="7" max="7" width="43.561" bestFit="true" customWidth="true" style="0"/>
    <col min="8" max="8" width="42.418" bestFit="true" customWidth="true" style="0"/>
    <col min="9" max="9" width="36.42" bestFit="true" customWidth="true" style="0"/>
    <col min="10" max="10" width="12.854" bestFit="true" customWidth="true" style="0"/>
    <col min="11" max="11" width="11.283" bestFit="true" customWidth="true" style="0"/>
    <col min="12" max="12" width="13.997" bestFit="true" customWidth="true" style="0"/>
    <col min="13" max="13" width="21.566" bestFit="true" customWidth="true" style="0"/>
    <col min="14" max="14" width="82.408" bestFit="true" customWidth="true" style="0"/>
    <col min="15" max="15" width="235.8" bestFit="true" customWidth="true" style="0"/>
    <col min="16" max="16" width="17.71" bestFit="true" customWidth="true" style="0"/>
    <col min="17" max="17" width="20.281" bestFit="true" customWidth="true" style="0"/>
    <col min="18" max="18" width="41.133" bestFit="true" customWidth="true" style="0"/>
    <col min="19" max="19" width="20.281" bestFit="true" customWidth="true" style="0"/>
    <col min="20" max="20" width="74.268" bestFit="true" customWidth="true" style="0"/>
    <col min="21" max="21" width="39.99" bestFit="true" customWidth="true" style="0"/>
    <col min="22" max="22" width="20.281" bestFit="true" customWidth="true" style="0"/>
    <col min="23" max="23" width="84.836" bestFit="true" customWidth="true" style="0"/>
    <col min="24" max="24" width="196.952" bestFit="true" customWidth="true" style="0"/>
    <col min="25" max="25" width="23.423" bestFit="true" customWidth="true" style="0"/>
    <col min="26" max="26" width="19.995" bestFit="true" customWidth="true" style="0"/>
    <col min="27" max="27" width="196.952" bestFit="true" customWidth="true" style="0"/>
    <col min="28" max="28" width="27.993" bestFit="true" customWidth="true" style="0"/>
    <col min="29" max="29" width="29.421" bestFit="true" customWidth="true" style="0"/>
    <col min="30" max="30" width="19.138" bestFit="true" customWidth="true" style="0"/>
    <col min="31" max="31" width="12.568" bestFit="true" customWidth="true" style="0"/>
    <col min="32" max="32" width="106.117" bestFit="true" customWidth="true" style="0"/>
    <col min="33" max="33" width="162.675" bestFit="true" customWidth="true" style="0"/>
    <col min="34" max="34" width="24.28" bestFit="true" customWidth="true" style="0"/>
    <col min="35" max="35" width="24.28" bestFit="true" customWidth="true" style="0"/>
    <col min="36" max="36" width="15.139" bestFit="true" customWidth="true" style="0"/>
    <col min="37" max="37" width="13.997" bestFit="true" customWidth="true" style="0"/>
    <col min="38" max="38" width="139.109" bestFit="true" customWidth="true" style="0"/>
    <col min="39" max="39" width="126.112" bestFit="true" customWidth="true" style="0"/>
    <col min="40" max="40" width="24.28" bestFit="true" customWidth="true" style="0"/>
    <col min="41" max="41" width="24.28" bestFit="true" customWidth="true" style="0"/>
    <col min="42" max="42" width="15.139" bestFit="true" customWidth="true" style="0"/>
    <col min="43" max="43" width="13.997" bestFit="true" customWidth="true" style="0"/>
    <col min="44" max="44" width="55.272" bestFit="true" customWidth="true" style="0"/>
    <col min="45" max="45" width="104.832" bestFit="true" customWidth="true" style="0"/>
    <col min="46" max="46" width="29.421" bestFit="true" customWidth="true" style="0"/>
    <col min="47" max="47" width="29.421" bestFit="true" customWidth="true" style="0"/>
    <col min="48" max="48" width="20.281" bestFit="true" customWidth="true" style="0"/>
    <col min="49" max="49" width="19.138" bestFit="true" customWidth="true" style="0"/>
    <col min="50" max="50" width="117.828" bestFit="true" customWidth="true" style="0"/>
    <col min="51" max="51" width="128.54" bestFit="true" customWidth="true" style="0"/>
    <col min="52" max="52" width="33.135" bestFit="true" customWidth="true" style="0"/>
    <col min="53" max="53" width="33.135" bestFit="true" customWidth="true" style="0"/>
    <col min="54" max="54" width="24.28" bestFit="true" customWidth="true" style="0"/>
    <col min="55" max="55" width="22.852" bestFit="true" customWidth="true" style="0"/>
    <col min="56" max="56" width="88.407" bestFit="true" customWidth="true" style="0"/>
    <col min="57" max="57" width="52.987" bestFit="true" customWidth="true" style="0"/>
    <col min="58" max="58" width="39.705" bestFit="true" customWidth="true" style="0"/>
    <col min="59" max="59" width="39.705" bestFit="true" customWidth="true" style="0"/>
    <col min="60" max="60" width="30.564" bestFit="true" customWidth="true" style="0"/>
    <col min="61" max="61" width="29.421" bestFit="true" customWidth="true" style="0"/>
    <col min="62" max="62" width="301.926" bestFit="true" customWidth="true" style="0"/>
    <col min="63" max="63" width="389.191" bestFit="true" customWidth="true" style="0"/>
    <col min="64" max="64" width="24.28" bestFit="true" customWidth="true" style="0"/>
    <col min="65" max="65" width="346.773" bestFit="true" customWidth="true" style="0"/>
    <col min="66" max="66" width="19.138" bestFit="true" customWidth="true" style="0"/>
    <col min="67" max="67" width="300.784" bestFit="true" customWidth="true" style="0"/>
    <col min="68" max="68" width="22.852" bestFit="true" customWidth="true" style="0"/>
    <col min="69" max="69" width="21.566" bestFit="true" customWidth="true" style="0"/>
    <col min="70" max="70" width="17.71" bestFit="true" customWidth="true" style="0"/>
  </cols>
  <sheetData>
    <row r="1" spans="1:70" customHeight="1" ht="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row>
    <row r="2" spans="1:70">
      <c r="A2" s="1" t="s">
        <v>70</v>
      </c>
      <c r="B2" s="1" t="s">
        <v>71</v>
      </c>
      <c r="C2" s="1" t="s">
        <v>72</v>
      </c>
      <c r="D2" s="1" t="s">
        <v>73</v>
      </c>
      <c r="E2" s="1" t="s">
        <v>74</v>
      </c>
      <c r="F2" s="1" t="s">
        <v>75</v>
      </c>
      <c r="G2" s="1" t="s">
        <v>76</v>
      </c>
      <c r="H2" s="1" t="s">
        <v>77</v>
      </c>
      <c r="I2" s="1" t="s">
        <v>78</v>
      </c>
      <c r="J2" s="1">
        <v>7397934069</v>
      </c>
      <c r="K2" s="1" t="s">
        <v>79</v>
      </c>
      <c r="L2" s="1" t="s">
        <v>80</v>
      </c>
      <c r="M2" s="1" t="s">
        <v>81</v>
      </c>
      <c r="N2" s="1" t="s">
        <v>82</v>
      </c>
      <c r="O2" s="1" t="s">
        <v>83</v>
      </c>
      <c r="P2" s="1" t="s">
        <v>84</v>
      </c>
      <c r="Q2" s="1" t="s">
        <v>85</v>
      </c>
      <c r="R2" s="1" t="s">
        <v>86</v>
      </c>
      <c r="S2" s="1">
        <v>9422230619</v>
      </c>
      <c r="T2" s="1" t="s">
        <v>87</v>
      </c>
      <c r="U2" s="1" t="s">
        <v>88</v>
      </c>
      <c r="V2" s="1">
        <v>9423653241</v>
      </c>
      <c r="W2" s="1" t="s">
        <v>89</v>
      </c>
      <c r="X2" s="1" t="s">
        <v>90</v>
      </c>
      <c r="Y2" s="1" t="s">
        <v>91</v>
      </c>
      <c r="Z2" s="1" t="s">
        <v>92</v>
      </c>
      <c r="AA2" s="1" t="s">
        <v>90</v>
      </c>
      <c r="AB2" s="1" t="s">
        <v>91</v>
      </c>
      <c r="AC2" s="1" t="s">
        <v>92</v>
      </c>
      <c r="AD2" s="1" t="s">
        <v>93</v>
      </c>
      <c r="AE2" s="1" t="s">
        <v>93</v>
      </c>
      <c r="AF2" s="1" t="s">
        <v>94</v>
      </c>
      <c r="AG2" s="1" t="s">
        <v>95</v>
      </c>
      <c r="AH2" s="1" t="s">
        <v>96</v>
      </c>
      <c r="AI2" s="1" t="s">
        <v>97</v>
      </c>
      <c r="AJ2" s="1">
        <v>79.8</v>
      </c>
      <c r="AK2" s="1"/>
      <c r="AL2" s="1"/>
      <c r="AM2" s="1"/>
      <c r="AN2" s="1"/>
      <c r="AO2" s="1"/>
      <c r="AP2" s="1"/>
      <c r="AQ2" s="1"/>
      <c r="AR2" s="1" t="s">
        <v>98</v>
      </c>
      <c r="AS2" s="1" t="s">
        <v>99</v>
      </c>
      <c r="AT2" s="1" t="s">
        <v>100</v>
      </c>
      <c r="AU2" s="1" t="s">
        <v>101</v>
      </c>
      <c r="AV2" s="1">
        <v>60.06</v>
      </c>
      <c r="AW2" s="1"/>
      <c r="AX2" s="1" t="s">
        <v>102</v>
      </c>
      <c r="AY2" s="1" t="s">
        <v>103</v>
      </c>
      <c r="AZ2" s="1" t="s">
        <v>104</v>
      </c>
      <c r="BA2" s="1" t="s">
        <v>105</v>
      </c>
      <c r="BB2" s="1">
        <v>82.27</v>
      </c>
      <c r="BC2" s="1"/>
      <c r="BD2" s="1"/>
      <c r="BE2" s="1"/>
      <c r="BF2" s="1"/>
      <c r="BG2" s="1"/>
      <c r="BH2" s="1"/>
      <c r="BI2" s="1"/>
      <c r="BJ2" s="1" t="s">
        <v>106</v>
      </c>
      <c r="BK2" s="1"/>
      <c r="BL2" s="1"/>
      <c r="BM2" s="1" t="s">
        <v>107</v>
      </c>
      <c r="BN2" s="1">
        <v>12</v>
      </c>
      <c r="BO2" s="1" t="s">
        <v>108</v>
      </c>
      <c r="BP2" s="1" t="str">
        <f>HYPERLINK("https://nconnect.nicmar.ac.in/storage/profile/6a186e8559d6d.png","Download")</f>
        <v>0</v>
      </c>
      <c r="BQ2" s="3"/>
      <c r="BR2" s="3"/>
    </row>
    <row r="3" spans="1:70">
      <c r="A3" s="1" t="s">
        <v>70</v>
      </c>
      <c r="B3" s="1" t="s">
        <v>71</v>
      </c>
      <c r="C3" s="1" t="s">
        <v>109</v>
      </c>
      <c r="D3" s="1" t="s">
        <v>110</v>
      </c>
      <c r="E3" s="1" t="s">
        <v>111</v>
      </c>
      <c r="F3" s="1" t="s">
        <v>112</v>
      </c>
      <c r="G3" s="1" t="s">
        <v>113</v>
      </c>
      <c r="H3" s="1" t="s">
        <v>114</v>
      </c>
      <c r="I3" s="1" t="s">
        <v>114</v>
      </c>
      <c r="J3" s="1">
        <v>9656425242</v>
      </c>
      <c r="K3" s="1" t="s">
        <v>79</v>
      </c>
      <c r="L3" s="1" t="s">
        <v>115</v>
      </c>
      <c r="M3" s="1" t="s">
        <v>81</v>
      </c>
      <c r="N3" s="1" t="s">
        <v>116</v>
      </c>
      <c r="O3" s="1" t="s">
        <v>83</v>
      </c>
      <c r="P3" s="1" t="s">
        <v>117</v>
      </c>
      <c r="Q3" s="1" t="s">
        <v>118</v>
      </c>
      <c r="R3" s="1" t="s">
        <v>119</v>
      </c>
      <c r="S3" s="1">
        <v>9495845773</v>
      </c>
      <c r="T3" s="1" t="s">
        <v>120</v>
      </c>
      <c r="U3" s="1" t="s">
        <v>121</v>
      </c>
      <c r="V3" s="1">
        <v>9562891610</v>
      </c>
      <c r="W3" s="1" t="s">
        <v>122</v>
      </c>
      <c r="X3" s="1" t="s">
        <v>123</v>
      </c>
      <c r="Y3" s="1" t="s">
        <v>124</v>
      </c>
      <c r="Z3" s="1" t="s">
        <v>125</v>
      </c>
      <c r="AA3" s="1" t="s">
        <v>123</v>
      </c>
      <c r="AB3" s="1" t="s">
        <v>124</v>
      </c>
      <c r="AC3" s="1" t="s">
        <v>125</v>
      </c>
      <c r="AD3" s="1" t="s">
        <v>93</v>
      </c>
      <c r="AE3" s="1" t="s">
        <v>93</v>
      </c>
      <c r="AF3" s="1" t="s">
        <v>126</v>
      </c>
      <c r="AG3" s="1" t="s">
        <v>127</v>
      </c>
      <c r="AH3" s="1" t="s">
        <v>128</v>
      </c>
      <c r="AI3" s="1" t="s">
        <v>129</v>
      </c>
      <c r="AJ3" s="1">
        <v>93.1</v>
      </c>
      <c r="AK3" s="1">
        <v>9.8</v>
      </c>
      <c r="AL3" s="1" t="s">
        <v>126</v>
      </c>
      <c r="AM3" s="1" t="s">
        <v>127</v>
      </c>
      <c r="AN3" s="1" t="s">
        <v>130</v>
      </c>
      <c r="AO3" s="1" t="s">
        <v>131</v>
      </c>
      <c r="AP3" s="1">
        <v>91</v>
      </c>
      <c r="AQ3" s="1"/>
      <c r="AR3" s="1"/>
      <c r="AS3" s="1"/>
      <c r="AT3" s="1"/>
      <c r="AU3" s="1"/>
      <c r="AV3" s="1"/>
      <c r="AW3" s="1"/>
      <c r="AX3" s="1" t="s">
        <v>132</v>
      </c>
      <c r="AY3" s="1" t="s">
        <v>133</v>
      </c>
      <c r="AZ3" s="1" t="s">
        <v>134</v>
      </c>
      <c r="BA3" s="1" t="s">
        <v>135</v>
      </c>
      <c r="BB3" s="1">
        <v>72.2</v>
      </c>
      <c r="BC3" s="1">
        <v>7.22</v>
      </c>
      <c r="BD3" s="1" t="s">
        <v>132</v>
      </c>
      <c r="BE3" s="1" t="s">
        <v>133</v>
      </c>
      <c r="BF3" s="1" t="s">
        <v>134</v>
      </c>
      <c r="BG3" s="1" t="s">
        <v>135</v>
      </c>
      <c r="BH3" s="1">
        <v>72.2</v>
      </c>
      <c r="BI3" s="1">
        <v>7.22</v>
      </c>
      <c r="BJ3" s="1" t="s">
        <v>136</v>
      </c>
      <c r="BK3" s="1" t="s">
        <v>137</v>
      </c>
      <c r="BL3" s="1" t="s">
        <v>138</v>
      </c>
      <c r="BM3" s="1" t="s">
        <v>139</v>
      </c>
      <c r="BN3" s="1">
        <v>8</v>
      </c>
      <c r="BO3" s="1" t="s">
        <v>140</v>
      </c>
      <c r="BP3" s="1" t="str">
        <f>HYPERLINK("https://nconnect.nicmar.ac.in/storage/profile/6a196fd27d491.png","Download")</f>
        <v>0</v>
      </c>
      <c r="BQ3" s="3"/>
      <c r="BR3" s="3"/>
    </row>
    <row r="4" spans="1:70">
      <c r="A4" s="1" t="s">
        <v>70</v>
      </c>
      <c r="B4" s="1" t="s">
        <v>71</v>
      </c>
      <c r="C4" s="1" t="s">
        <v>141</v>
      </c>
      <c r="D4" s="1" t="s">
        <v>142</v>
      </c>
      <c r="E4" s="1" t="s">
        <v>143</v>
      </c>
      <c r="F4" s="1" t="s">
        <v>144</v>
      </c>
      <c r="G4" s="1" t="s">
        <v>145</v>
      </c>
      <c r="H4" s="1" t="s">
        <v>146</v>
      </c>
      <c r="I4" s="1" t="s">
        <v>147</v>
      </c>
      <c r="J4" s="1">
        <v>9325534311</v>
      </c>
      <c r="K4" s="1" t="s">
        <v>148</v>
      </c>
      <c r="L4" s="1" t="s">
        <v>149</v>
      </c>
      <c r="M4" s="1" t="s">
        <v>150</v>
      </c>
      <c r="N4" s="1" t="s">
        <v>151</v>
      </c>
      <c r="O4" s="1" t="s">
        <v>152</v>
      </c>
      <c r="P4" s="1" t="s">
        <v>117</v>
      </c>
      <c r="Q4" s="1" t="s">
        <v>153</v>
      </c>
      <c r="R4" s="1" t="s">
        <v>144</v>
      </c>
      <c r="S4" s="1">
        <v>9922217792</v>
      </c>
      <c r="T4" s="1" t="s">
        <v>154</v>
      </c>
      <c r="U4" s="1" t="s">
        <v>155</v>
      </c>
      <c r="V4" s="1">
        <v>7499066533</v>
      </c>
      <c r="W4" s="1" t="s">
        <v>156</v>
      </c>
      <c r="X4" s="1" t="s">
        <v>157</v>
      </c>
      <c r="Y4" s="1" t="s">
        <v>158</v>
      </c>
      <c r="Z4" s="1" t="s">
        <v>92</v>
      </c>
      <c r="AA4" s="1" t="s">
        <v>157</v>
      </c>
      <c r="AB4" s="1" t="s">
        <v>158</v>
      </c>
      <c r="AC4" s="1" t="s">
        <v>92</v>
      </c>
      <c r="AD4" s="1" t="s">
        <v>93</v>
      </c>
      <c r="AE4" s="1" t="s">
        <v>93</v>
      </c>
      <c r="AF4" s="1" t="s">
        <v>159</v>
      </c>
      <c r="AG4" s="1" t="s">
        <v>160</v>
      </c>
      <c r="AH4" s="1" t="s">
        <v>161</v>
      </c>
      <c r="AI4" s="1" t="s">
        <v>162</v>
      </c>
      <c r="AJ4" s="1">
        <v>80.4</v>
      </c>
      <c r="AK4" s="1"/>
      <c r="AL4" s="1" t="s">
        <v>163</v>
      </c>
      <c r="AM4" s="1" t="s">
        <v>164</v>
      </c>
      <c r="AN4" s="1" t="s">
        <v>165</v>
      </c>
      <c r="AO4" s="1" t="s">
        <v>166</v>
      </c>
      <c r="AP4" s="1">
        <v>51.54</v>
      </c>
      <c r="AQ4" s="1"/>
      <c r="AR4" s="1" t="s">
        <v>167</v>
      </c>
      <c r="AS4" s="1" t="s">
        <v>168</v>
      </c>
      <c r="AT4" s="1" t="s">
        <v>169</v>
      </c>
      <c r="AU4" s="1" t="s">
        <v>170</v>
      </c>
      <c r="AV4" s="1">
        <v>83.89</v>
      </c>
      <c r="AW4" s="1"/>
      <c r="AX4" s="1" t="s">
        <v>171</v>
      </c>
      <c r="AY4" s="1" t="s">
        <v>172</v>
      </c>
      <c r="AZ4" s="1" t="s">
        <v>173</v>
      </c>
      <c r="BA4" s="1" t="s">
        <v>174</v>
      </c>
      <c r="BB4" s="1">
        <v>79.18</v>
      </c>
      <c r="BC4" s="1">
        <v>9.17</v>
      </c>
      <c r="BD4" s="1"/>
      <c r="BE4" s="1"/>
      <c r="BF4" s="1"/>
      <c r="BG4" s="1"/>
      <c r="BH4" s="1"/>
      <c r="BI4" s="1"/>
      <c r="BJ4" s="1" t="s">
        <v>175</v>
      </c>
      <c r="BK4" s="1"/>
      <c r="BL4" s="1"/>
      <c r="BM4" s="1" t="s">
        <v>176</v>
      </c>
      <c r="BN4" s="1">
        <v>8</v>
      </c>
      <c r="BO4" s="1" t="s">
        <v>177</v>
      </c>
      <c r="BP4" s="1" t="str">
        <f>HYPERLINK("https://nconnect.nicmar.ac.in/storage/profile/6a1ad19432c21.png","Download")</f>
        <v>0</v>
      </c>
      <c r="BQ4" s="3"/>
      <c r="BR4" s="3"/>
    </row>
    <row r="5" spans="1:70">
      <c r="A5" s="1" t="s">
        <v>70</v>
      </c>
      <c r="B5" s="1" t="s">
        <v>71</v>
      </c>
      <c r="C5" s="1" t="s">
        <v>178</v>
      </c>
      <c r="D5" s="1" t="s">
        <v>179</v>
      </c>
      <c r="E5" s="1" t="s">
        <v>180</v>
      </c>
      <c r="F5" s="1" t="s">
        <v>181</v>
      </c>
      <c r="G5" s="1" t="s">
        <v>182</v>
      </c>
      <c r="H5" s="1" t="s">
        <v>183</v>
      </c>
      <c r="I5" s="1" t="s">
        <v>183</v>
      </c>
      <c r="J5" s="1">
        <v>9765175253</v>
      </c>
      <c r="K5" s="1" t="s">
        <v>79</v>
      </c>
      <c r="L5" s="1" t="s">
        <v>184</v>
      </c>
      <c r="M5" s="1" t="s">
        <v>81</v>
      </c>
      <c r="N5" s="1" t="s">
        <v>185</v>
      </c>
      <c r="O5" s="1" t="s">
        <v>186</v>
      </c>
      <c r="P5" s="1" t="s">
        <v>84</v>
      </c>
      <c r="Q5" s="1" t="s">
        <v>187</v>
      </c>
      <c r="R5" s="1" t="s">
        <v>188</v>
      </c>
      <c r="S5" s="1">
        <v>9890083484</v>
      </c>
      <c r="T5" s="1" t="s">
        <v>154</v>
      </c>
      <c r="U5" s="1" t="s">
        <v>189</v>
      </c>
      <c r="V5" s="1">
        <v>9890083484</v>
      </c>
      <c r="W5" s="1" t="s">
        <v>156</v>
      </c>
      <c r="X5" s="1" t="s">
        <v>190</v>
      </c>
      <c r="Y5" s="1" t="s">
        <v>191</v>
      </c>
      <c r="Z5" s="1" t="s">
        <v>92</v>
      </c>
      <c r="AA5" s="1" t="s">
        <v>192</v>
      </c>
      <c r="AB5" s="1" t="s">
        <v>191</v>
      </c>
      <c r="AC5" s="1" t="s">
        <v>92</v>
      </c>
      <c r="AD5" s="1" t="s">
        <v>93</v>
      </c>
      <c r="AE5" s="1" t="s">
        <v>93</v>
      </c>
      <c r="AF5" s="1" t="s">
        <v>193</v>
      </c>
      <c r="AG5" s="1" t="s">
        <v>194</v>
      </c>
      <c r="AH5" s="1" t="s">
        <v>162</v>
      </c>
      <c r="AI5" s="1" t="s">
        <v>195</v>
      </c>
      <c r="AJ5" s="1">
        <v>85.8</v>
      </c>
      <c r="AK5" s="1"/>
      <c r="AL5" s="1" t="s">
        <v>196</v>
      </c>
      <c r="AM5" s="1" t="s">
        <v>197</v>
      </c>
      <c r="AN5" s="1" t="s">
        <v>101</v>
      </c>
      <c r="AO5" s="1" t="s">
        <v>198</v>
      </c>
      <c r="AP5" s="1">
        <v>62.92</v>
      </c>
      <c r="AQ5" s="1"/>
      <c r="AR5" s="1"/>
      <c r="AS5" s="1"/>
      <c r="AT5" s="1"/>
      <c r="AU5" s="1"/>
      <c r="AV5" s="1"/>
      <c r="AW5" s="1"/>
      <c r="AX5" s="1" t="s">
        <v>199</v>
      </c>
      <c r="AY5" s="1" t="s">
        <v>200</v>
      </c>
      <c r="AZ5" s="1" t="s">
        <v>201</v>
      </c>
      <c r="BA5" s="1" t="s">
        <v>202</v>
      </c>
      <c r="BB5" s="1">
        <v>68.8</v>
      </c>
      <c r="BC5" s="1">
        <v>7.63</v>
      </c>
      <c r="BD5" s="1"/>
      <c r="BE5" s="1"/>
      <c r="BF5" s="1"/>
      <c r="BG5" s="1"/>
      <c r="BH5" s="1"/>
      <c r="BI5" s="1"/>
      <c r="BJ5" s="1" t="s">
        <v>203</v>
      </c>
      <c r="BK5" s="1"/>
      <c r="BL5" s="1"/>
      <c r="BM5" s="1" t="s">
        <v>204</v>
      </c>
      <c r="BN5" s="1">
        <v>40</v>
      </c>
      <c r="BO5" s="1" t="s">
        <v>205</v>
      </c>
      <c r="BP5" s="1" t="str">
        <f>HYPERLINK("https://nconnect.nicmar.ac.in/storage/profile/6a1d16cec8cd8.png","Download")</f>
        <v>0</v>
      </c>
      <c r="BQ5" s="3"/>
      <c r="BR5" s="3"/>
    </row>
    <row r="6" spans="1:70">
      <c r="A6" s="1" t="s">
        <v>70</v>
      </c>
      <c r="B6" s="1" t="s">
        <v>71</v>
      </c>
      <c r="C6" s="1" t="s">
        <v>206</v>
      </c>
      <c r="D6" s="1" t="s">
        <v>207</v>
      </c>
      <c r="E6" s="1" t="s">
        <v>208</v>
      </c>
      <c r="F6" s="1" t="s">
        <v>209</v>
      </c>
      <c r="G6" s="1" t="s">
        <v>210</v>
      </c>
      <c r="H6" s="1" t="s">
        <v>211</v>
      </c>
      <c r="I6" s="1" t="s">
        <v>211</v>
      </c>
      <c r="J6" s="1">
        <v>9545075998</v>
      </c>
      <c r="K6" s="1" t="s">
        <v>79</v>
      </c>
      <c r="L6" s="1" t="s">
        <v>212</v>
      </c>
      <c r="M6" s="1" t="s">
        <v>81</v>
      </c>
      <c r="N6" s="1" t="s">
        <v>213</v>
      </c>
      <c r="O6" s="1" t="s">
        <v>186</v>
      </c>
      <c r="P6" s="1" t="s">
        <v>214</v>
      </c>
      <c r="Q6" s="1" t="s">
        <v>215</v>
      </c>
      <c r="R6" s="1" t="s">
        <v>208</v>
      </c>
      <c r="S6" s="1">
        <v>9890983062</v>
      </c>
      <c r="T6" s="1" t="s">
        <v>216</v>
      </c>
      <c r="U6" s="1" t="s">
        <v>217</v>
      </c>
      <c r="V6" s="1">
        <v>8888661835</v>
      </c>
      <c r="W6" s="1" t="s">
        <v>216</v>
      </c>
      <c r="X6" s="1" t="s">
        <v>218</v>
      </c>
      <c r="Y6" s="1" t="s">
        <v>219</v>
      </c>
      <c r="Z6" s="1" t="s">
        <v>92</v>
      </c>
      <c r="AA6" s="1" t="s">
        <v>220</v>
      </c>
      <c r="AB6" s="1" t="s">
        <v>191</v>
      </c>
      <c r="AC6" s="1" t="s">
        <v>92</v>
      </c>
      <c r="AD6" s="1" t="s">
        <v>93</v>
      </c>
      <c r="AE6" s="1" t="s">
        <v>93</v>
      </c>
      <c r="AF6" s="1" t="s">
        <v>221</v>
      </c>
      <c r="AG6" s="1" t="s">
        <v>222</v>
      </c>
      <c r="AH6" s="1" t="s">
        <v>162</v>
      </c>
      <c r="AI6" s="1" t="s">
        <v>165</v>
      </c>
      <c r="AJ6" s="1">
        <v>81.8</v>
      </c>
      <c r="AK6" s="1"/>
      <c r="AL6" s="1"/>
      <c r="AM6" s="1"/>
      <c r="AN6" s="1"/>
      <c r="AO6" s="1"/>
      <c r="AP6" s="1"/>
      <c r="AQ6" s="1"/>
      <c r="AR6" s="1" t="s">
        <v>223</v>
      </c>
      <c r="AS6" s="1" t="s">
        <v>224</v>
      </c>
      <c r="AT6" s="1" t="s">
        <v>225</v>
      </c>
      <c r="AU6" s="1" t="s">
        <v>170</v>
      </c>
      <c r="AV6" s="1">
        <v>86.95</v>
      </c>
      <c r="AW6" s="1"/>
      <c r="AX6" s="1" t="s">
        <v>226</v>
      </c>
      <c r="AY6" s="1" t="s">
        <v>227</v>
      </c>
      <c r="AZ6" s="1" t="s">
        <v>228</v>
      </c>
      <c r="BA6" s="1" t="s">
        <v>229</v>
      </c>
      <c r="BB6" s="1">
        <v>80.66</v>
      </c>
      <c r="BC6" s="1">
        <v>9.36</v>
      </c>
      <c r="BD6" s="1"/>
      <c r="BE6" s="1"/>
      <c r="BF6" s="1"/>
      <c r="BG6" s="1"/>
      <c r="BH6" s="1"/>
      <c r="BI6" s="1"/>
      <c r="BJ6" s="1" t="s">
        <v>230</v>
      </c>
      <c r="BK6" s="1"/>
      <c r="BL6" s="1"/>
      <c r="BM6" s="1" t="s">
        <v>231</v>
      </c>
      <c r="BN6" s="1">
        <v>79</v>
      </c>
      <c r="BO6" s="1" t="s">
        <v>232</v>
      </c>
      <c r="BP6" s="1" t="str">
        <f>HYPERLINK("https://nconnect.nicmar.ac.in/storage/profile/6a1d1c679672f.png","Download")</f>
        <v>0</v>
      </c>
      <c r="BQ6" s="3"/>
      <c r="BR6" s="3"/>
    </row>
    <row r="7" spans="1:70">
      <c r="A7" s="1" t="s">
        <v>70</v>
      </c>
      <c r="B7" s="1" t="s">
        <v>71</v>
      </c>
      <c r="C7" s="1" t="s">
        <v>233</v>
      </c>
      <c r="D7" s="1" t="s">
        <v>234</v>
      </c>
      <c r="E7" s="1" t="s">
        <v>235</v>
      </c>
      <c r="F7" s="1" t="s">
        <v>236</v>
      </c>
      <c r="G7" s="1" t="s">
        <v>237</v>
      </c>
      <c r="H7" s="1" t="s">
        <v>238</v>
      </c>
      <c r="I7" s="1" t="s">
        <v>239</v>
      </c>
      <c r="J7" s="1">
        <v>8390278328</v>
      </c>
      <c r="K7" s="1" t="s">
        <v>79</v>
      </c>
      <c r="L7" s="1" t="s">
        <v>240</v>
      </c>
      <c r="M7" s="1" t="s">
        <v>81</v>
      </c>
      <c r="N7" s="1" t="s">
        <v>241</v>
      </c>
      <c r="O7" s="1" t="s">
        <v>152</v>
      </c>
      <c r="P7" s="1" t="s">
        <v>214</v>
      </c>
      <c r="Q7" s="1" t="s">
        <v>242</v>
      </c>
      <c r="R7" s="1" t="s">
        <v>243</v>
      </c>
      <c r="S7" s="1">
        <v>9604519865</v>
      </c>
      <c r="T7" s="1" t="s">
        <v>154</v>
      </c>
      <c r="U7" s="1" t="s">
        <v>244</v>
      </c>
      <c r="V7" s="1">
        <v>9370154343</v>
      </c>
      <c r="W7" s="1" t="s">
        <v>156</v>
      </c>
      <c r="X7" s="1" t="s">
        <v>245</v>
      </c>
      <c r="Y7" s="1" t="s">
        <v>246</v>
      </c>
      <c r="Z7" s="1" t="s">
        <v>92</v>
      </c>
      <c r="AA7" s="1" t="s">
        <v>245</v>
      </c>
      <c r="AB7" s="1" t="s">
        <v>246</v>
      </c>
      <c r="AC7" s="1" t="s">
        <v>92</v>
      </c>
      <c r="AD7" s="1" t="s">
        <v>93</v>
      </c>
      <c r="AE7" s="1" t="s">
        <v>93</v>
      </c>
      <c r="AF7" s="1" t="s">
        <v>247</v>
      </c>
      <c r="AG7" s="1" t="s">
        <v>248</v>
      </c>
      <c r="AH7" s="1" t="s">
        <v>249</v>
      </c>
      <c r="AI7" s="1" t="s">
        <v>96</v>
      </c>
      <c r="AJ7" s="1">
        <v>76</v>
      </c>
      <c r="AK7" s="1"/>
      <c r="AL7" s="1"/>
      <c r="AM7" s="1"/>
      <c r="AN7" s="1"/>
      <c r="AO7" s="1"/>
      <c r="AP7" s="1"/>
      <c r="AQ7" s="1"/>
      <c r="AR7" s="1" t="s">
        <v>250</v>
      </c>
      <c r="AS7" s="1" t="s">
        <v>251</v>
      </c>
      <c r="AT7" s="1" t="s">
        <v>252</v>
      </c>
      <c r="AU7" s="1" t="s">
        <v>165</v>
      </c>
      <c r="AV7" s="1">
        <v>77.53</v>
      </c>
      <c r="AW7" s="1"/>
      <c r="AX7" s="1" t="s">
        <v>253</v>
      </c>
      <c r="AY7" s="1" t="s">
        <v>254</v>
      </c>
      <c r="AZ7" s="1" t="s">
        <v>225</v>
      </c>
      <c r="BA7" s="1" t="s">
        <v>170</v>
      </c>
      <c r="BB7" s="1">
        <v>71.9</v>
      </c>
      <c r="BC7" s="1"/>
      <c r="BD7" s="1"/>
      <c r="BE7" s="1"/>
      <c r="BF7" s="1"/>
      <c r="BG7" s="1"/>
      <c r="BH7" s="1"/>
      <c r="BI7" s="1"/>
      <c r="BJ7" s="1" t="s">
        <v>255</v>
      </c>
      <c r="BK7" s="1" t="s">
        <v>256</v>
      </c>
      <c r="BL7" s="1" t="s">
        <v>138</v>
      </c>
      <c r="BM7" s="1" t="s">
        <v>257</v>
      </c>
      <c r="BN7" s="1">
        <v>17</v>
      </c>
      <c r="BO7" s="1" t="s">
        <v>258</v>
      </c>
      <c r="BP7" s="1" t="str">
        <f>HYPERLINK("https://nconnect.nicmar.ac.in/storage/profile/6a1b1b9e21425.png","Download")</f>
        <v>0</v>
      </c>
      <c r="BQ7" s="3"/>
      <c r="BR7" s="3"/>
    </row>
    <row r="8" spans="1:70">
      <c r="A8" s="1" t="s">
        <v>70</v>
      </c>
      <c r="B8" s="1" t="s">
        <v>71</v>
      </c>
      <c r="C8" s="1" t="s">
        <v>259</v>
      </c>
      <c r="D8" s="1" t="s">
        <v>260</v>
      </c>
      <c r="E8" s="1" t="s">
        <v>261</v>
      </c>
      <c r="F8" s="1" t="s">
        <v>262</v>
      </c>
      <c r="G8" s="1" t="s">
        <v>263</v>
      </c>
      <c r="H8" s="1" t="s">
        <v>264</v>
      </c>
      <c r="I8" s="1" t="s">
        <v>265</v>
      </c>
      <c r="J8" s="1">
        <v>6304174925</v>
      </c>
      <c r="K8" s="1" t="s">
        <v>79</v>
      </c>
      <c r="L8" s="1" t="s">
        <v>266</v>
      </c>
      <c r="M8" s="1" t="s">
        <v>81</v>
      </c>
      <c r="N8" s="1" t="s">
        <v>267</v>
      </c>
      <c r="O8" s="1" t="s">
        <v>268</v>
      </c>
      <c r="P8" s="1" t="s">
        <v>214</v>
      </c>
      <c r="Q8" s="1" t="s">
        <v>269</v>
      </c>
      <c r="R8" s="1" t="s">
        <v>270</v>
      </c>
      <c r="S8" s="1">
        <v>9949131676</v>
      </c>
      <c r="T8" s="1" t="s">
        <v>271</v>
      </c>
      <c r="U8" s="1" t="s">
        <v>272</v>
      </c>
      <c r="V8" s="1">
        <v>9133954535</v>
      </c>
      <c r="W8" s="1" t="s">
        <v>273</v>
      </c>
      <c r="X8" s="1" t="s">
        <v>274</v>
      </c>
      <c r="Y8" s="1" t="s">
        <v>275</v>
      </c>
      <c r="Z8" s="1" t="s">
        <v>276</v>
      </c>
      <c r="AA8" s="1" t="s">
        <v>274</v>
      </c>
      <c r="AB8" s="1" t="s">
        <v>275</v>
      </c>
      <c r="AC8" s="1" t="s">
        <v>276</v>
      </c>
      <c r="AD8" s="1" t="s">
        <v>93</v>
      </c>
      <c r="AE8" s="1" t="s">
        <v>93</v>
      </c>
      <c r="AF8" s="1" t="s">
        <v>277</v>
      </c>
      <c r="AG8" s="1" t="s">
        <v>278</v>
      </c>
      <c r="AH8" s="1" t="s">
        <v>161</v>
      </c>
      <c r="AI8" s="1" t="s">
        <v>279</v>
      </c>
      <c r="AJ8" s="1">
        <v>93.0</v>
      </c>
      <c r="AK8" s="1">
        <v>9.3</v>
      </c>
      <c r="AL8" s="1" t="s">
        <v>280</v>
      </c>
      <c r="AM8" s="1" t="s">
        <v>278</v>
      </c>
      <c r="AN8" s="1" t="s">
        <v>162</v>
      </c>
      <c r="AO8" s="1" t="s">
        <v>281</v>
      </c>
      <c r="AP8" s="1">
        <v>92.6</v>
      </c>
      <c r="AQ8" s="1"/>
      <c r="AR8" s="1"/>
      <c r="AS8" s="1"/>
      <c r="AT8" s="1"/>
      <c r="AU8" s="1"/>
      <c r="AV8" s="1"/>
      <c r="AW8" s="1"/>
      <c r="AX8" s="1" t="s">
        <v>282</v>
      </c>
      <c r="AY8" s="1" t="s">
        <v>283</v>
      </c>
      <c r="AZ8" s="1" t="s">
        <v>169</v>
      </c>
      <c r="BA8" s="1" t="s">
        <v>284</v>
      </c>
      <c r="BB8" s="1">
        <v>68.0</v>
      </c>
      <c r="BC8" s="1">
        <v>6.8</v>
      </c>
      <c r="BD8" s="1"/>
      <c r="BE8" s="1"/>
      <c r="BF8" s="1"/>
      <c r="BG8" s="1"/>
      <c r="BH8" s="1"/>
      <c r="BI8" s="1"/>
      <c r="BJ8" s="1" t="s">
        <v>285</v>
      </c>
      <c r="BK8" s="1" t="s">
        <v>286</v>
      </c>
      <c r="BL8" s="1" t="s">
        <v>287</v>
      </c>
      <c r="BM8" s="1" t="s">
        <v>288</v>
      </c>
      <c r="BN8" s="1">
        <v>8</v>
      </c>
      <c r="BO8" s="1" t="s">
        <v>289</v>
      </c>
      <c r="BP8" s="1" t="str">
        <f>HYPERLINK("https://nconnect.nicmar.ac.in/storage/profile/6a1bc2191055c.png","Download")</f>
        <v>0</v>
      </c>
      <c r="BQ8" s="3"/>
      <c r="BR8" s="3"/>
    </row>
    <row r="9" spans="1:70">
      <c r="A9" s="1" t="s">
        <v>70</v>
      </c>
      <c r="B9" s="1" t="s">
        <v>71</v>
      </c>
      <c r="C9" s="1" t="s">
        <v>290</v>
      </c>
      <c r="D9" s="1" t="s">
        <v>291</v>
      </c>
      <c r="E9" s="1"/>
      <c r="F9" s="1" t="s">
        <v>292</v>
      </c>
      <c r="G9" s="1" t="s">
        <v>293</v>
      </c>
      <c r="H9" s="1" t="s">
        <v>294</v>
      </c>
      <c r="I9" s="1" t="s">
        <v>295</v>
      </c>
      <c r="J9" s="1">
        <v>7666585576</v>
      </c>
      <c r="K9" s="1" t="s">
        <v>79</v>
      </c>
      <c r="L9" s="1" t="s">
        <v>296</v>
      </c>
      <c r="M9" s="1" t="s">
        <v>81</v>
      </c>
      <c r="N9" s="1" t="s">
        <v>297</v>
      </c>
      <c r="O9" s="1" t="s">
        <v>152</v>
      </c>
      <c r="P9" s="1" t="s">
        <v>214</v>
      </c>
      <c r="Q9" s="1" t="s">
        <v>298</v>
      </c>
      <c r="R9" s="1" t="s">
        <v>299</v>
      </c>
      <c r="S9" s="1">
        <v>8459914145</v>
      </c>
      <c r="T9" s="1" t="s">
        <v>300</v>
      </c>
      <c r="U9" s="1" t="s">
        <v>301</v>
      </c>
      <c r="V9" s="1">
        <v>9422974725</v>
      </c>
      <c r="W9" s="1" t="s">
        <v>302</v>
      </c>
      <c r="X9" s="1" t="s">
        <v>303</v>
      </c>
      <c r="Y9" s="1" t="s">
        <v>304</v>
      </c>
      <c r="Z9" s="1" t="s">
        <v>92</v>
      </c>
      <c r="AA9" s="1" t="s">
        <v>305</v>
      </c>
      <c r="AB9" s="1" t="s">
        <v>191</v>
      </c>
      <c r="AC9" s="1" t="s">
        <v>92</v>
      </c>
      <c r="AD9" s="1" t="s">
        <v>93</v>
      </c>
      <c r="AE9" s="1" t="s">
        <v>93</v>
      </c>
      <c r="AF9" s="1" t="s">
        <v>306</v>
      </c>
      <c r="AG9" s="1" t="s">
        <v>307</v>
      </c>
      <c r="AH9" s="1" t="s">
        <v>162</v>
      </c>
      <c r="AI9" s="1" t="s">
        <v>165</v>
      </c>
      <c r="AJ9" s="1">
        <v>84.8</v>
      </c>
      <c r="AK9" s="1">
        <v>9.2</v>
      </c>
      <c r="AL9" s="1" t="s">
        <v>306</v>
      </c>
      <c r="AM9" s="1" t="s">
        <v>307</v>
      </c>
      <c r="AN9" s="1" t="s">
        <v>101</v>
      </c>
      <c r="AO9" s="1" t="s">
        <v>308</v>
      </c>
      <c r="AP9" s="1">
        <v>71.8</v>
      </c>
      <c r="AQ9" s="1"/>
      <c r="AR9" s="1"/>
      <c r="AS9" s="1"/>
      <c r="AT9" s="1"/>
      <c r="AU9" s="1"/>
      <c r="AV9" s="1"/>
      <c r="AW9" s="1"/>
      <c r="AX9" s="1" t="s">
        <v>199</v>
      </c>
      <c r="AY9" s="1" t="s">
        <v>309</v>
      </c>
      <c r="AZ9" s="1" t="s">
        <v>310</v>
      </c>
      <c r="BA9" s="1" t="s">
        <v>202</v>
      </c>
      <c r="BB9" s="1">
        <v>63.81</v>
      </c>
      <c r="BC9" s="1">
        <v>7.17</v>
      </c>
      <c r="BD9" s="1"/>
      <c r="BE9" s="1"/>
      <c r="BF9" s="1"/>
      <c r="BG9" s="1"/>
      <c r="BH9" s="1"/>
      <c r="BI9" s="1"/>
      <c r="BJ9" s="1" t="s">
        <v>311</v>
      </c>
      <c r="BK9" s="1"/>
      <c r="BL9" s="1"/>
      <c r="BM9" s="1" t="s">
        <v>312</v>
      </c>
      <c r="BN9" s="1">
        <v>33</v>
      </c>
      <c r="BO9" s="1"/>
      <c r="BP9" s="1" t="str">
        <f>HYPERLINK("https://nconnect.nicmar.ac.in/storage/profile/6a1bc683727f9.png","Download")</f>
        <v>0</v>
      </c>
      <c r="BQ9" s="3"/>
      <c r="BR9" s="3"/>
    </row>
    <row r="10" spans="1:70">
      <c r="A10" s="1" t="s">
        <v>70</v>
      </c>
      <c r="B10" s="1" t="s">
        <v>71</v>
      </c>
      <c r="C10" s="1" t="s">
        <v>313</v>
      </c>
      <c r="D10" s="1" t="s">
        <v>314</v>
      </c>
      <c r="E10" s="1" t="s">
        <v>315</v>
      </c>
      <c r="F10" s="1" t="s">
        <v>316</v>
      </c>
      <c r="G10" s="1" t="s">
        <v>317</v>
      </c>
      <c r="H10" s="1" t="s">
        <v>318</v>
      </c>
      <c r="I10" s="1" t="s">
        <v>319</v>
      </c>
      <c r="J10" s="1">
        <v>8830758744</v>
      </c>
      <c r="K10" s="1" t="s">
        <v>79</v>
      </c>
      <c r="L10" s="1" t="s">
        <v>320</v>
      </c>
      <c r="M10" s="1" t="s">
        <v>81</v>
      </c>
      <c r="N10" s="1" t="s">
        <v>321</v>
      </c>
      <c r="O10" s="1" t="s">
        <v>322</v>
      </c>
      <c r="P10" s="1" t="s">
        <v>117</v>
      </c>
      <c r="Q10" s="1" t="s">
        <v>323</v>
      </c>
      <c r="R10" s="1" t="s">
        <v>324</v>
      </c>
      <c r="S10" s="1">
        <v>9579766668</v>
      </c>
      <c r="T10" s="1" t="s">
        <v>325</v>
      </c>
      <c r="U10" s="1" t="s">
        <v>326</v>
      </c>
      <c r="V10" s="1">
        <v>9579766668</v>
      </c>
      <c r="W10" s="1" t="s">
        <v>156</v>
      </c>
      <c r="X10" s="1" t="s">
        <v>327</v>
      </c>
      <c r="Y10" s="1" t="s">
        <v>328</v>
      </c>
      <c r="Z10" s="1" t="s">
        <v>92</v>
      </c>
      <c r="AA10" s="1" t="s">
        <v>327</v>
      </c>
      <c r="AB10" s="1" t="s">
        <v>328</v>
      </c>
      <c r="AC10" s="1" t="s">
        <v>92</v>
      </c>
      <c r="AD10" s="1" t="s">
        <v>93</v>
      </c>
      <c r="AE10" s="1" t="s">
        <v>93</v>
      </c>
      <c r="AF10" s="1" t="s">
        <v>329</v>
      </c>
      <c r="AG10" s="1" t="s">
        <v>330</v>
      </c>
      <c r="AH10" s="1" t="s">
        <v>331</v>
      </c>
      <c r="AI10" s="1" t="s">
        <v>332</v>
      </c>
      <c r="AJ10" s="1">
        <v>69.82</v>
      </c>
      <c r="AK10" s="1"/>
      <c r="AL10" s="1"/>
      <c r="AM10" s="1"/>
      <c r="AN10" s="1"/>
      <c r="AO10" s="1"/>
      <c r="AP10" s="1"/>
      <c r="AQ10" s="1"/>
      <c r="AR10" s="1" t="s">
        <v>98</v>
      </c>
      <c r="AS10" s="1" t="s">
        <v>333</v>
      </c>
      <c r="AT10" s="1" t="s">
        <v>334</v>
      </c>
      <c r="AU10" s="1" t="s">
        <v>161</v>
      </c>
      <c r="AV10" s="1">
        <v>60.68</v>
      </c>
      <c r="AW10" s="1"/>
      <c r="AX10" s="1" t="s">
        <v>335</v>
      </c>
      <c r="AY10" s="1" t="s">
        <v>336</v>
      </c>
      <c r="AZ10" s="1" t="s">
        <v>337</v>
      </c>
      <c r="BA10" s="1" t="s">
        <v>228</v>
      </c>
      <c r="BB10" s="1">
        <v>84.88</v>
      </c>
      <c r="BC10" s="1"/>
      <c r="BD10" s="1"/>
      <c r="BE10" s="1"/>
      <c r="BF10" s="1"/>
      <c r="BG10" s="1"/>
      <c r="BH10" s="1"/>
      <c r="BI10" s="1"/>
      <c r="BJ10" s="1" t="s">
        <v>338</v>
      </c>
      <c r="BK10" s="1" t="s">
        <v>339</v>
      </c>
      <c r="BL10" s="1" t="s">
        <v>340</v>
      </c>
      <c r="BM10" s="1" t="s">
        <v>341</v>
      </c>
      <c r="BN10" s="1">
        <v>8</v>
      </c>
      <c r="BO10" s="1"/>
      <c r="BP10" s="1" t="str">
        <f>HYPERLINK("https://nconnect.nicmar.ac.in/storage/profile/6a1c1d386b69b.png","Download")</f>
        <v>0</v>
      </c>
      <c r="BQ10" s="3"/>
      <c r="BR10" s="3"/>
    </row>
    <row r="11" spans="1:70">
      <c r="A11" s="1" t="s">
        <v>70</v>
      </c>
      <c r="B11" s="1" t="s">
        <v>71</v>
      </c>
      <c r="C11" s="1" t="s">
        <v>342</v>
      </c>
      <c r="D11" s="1" t="s">
        <v>343</v>
      </c>
      <c r="E11" s="1" t="s">
        <v>344</v>
      </c>
      <c r="F11" s="1" t="s">
        <v>345</v>
      </c>
      <c r="G11" s="1" t="s">
        <v>346</v>
      </c>
      <c r="H11" s="1" t="s">
        <v>347</v>
      </c>
      <c r="I11" s="1" t="s">
        <v>348</v>
      </c>
      <c r="J11" s="1">
        <v>9156060835</v>
      </c>
      <c r="K11" s="1" t="s">
        <v>79</v>
      </c>
      <c r="L11" s="1" t="s">
        <v>349</v>
      </c>
      <c r="M11" s="1" t="s">
        <v>81</v>
      </c>
      <c r="N11" s="1" t="s">
        <v>350</v>
      </c>
      <c r="O11" s="1" t="s">
        <v>152</v>
      </c>
      <c r="P11" s="1" t="s">
        <v>351</v>
      </c>
      <c r="Q11" s="1" t="s">
        <v>352</v>
      </c>
      <c r="R11" s="1" t="s">
        <v>344</v>
      </c>
      <c r="S11" s="1">
        <v>9766563605</v>
      </c>
      <c r="T11" s="1" t="s">
        <v>154</v>
      </c>
      <c r="U11" s="1" t="s">
        <v>353</v>
      </c>
      <c r="V11" s="1">
        <v>8308962991</v>
      </c>
      <c r="W11" s="1" t="s">
        <v>156</v>
      </c>
      <c r="X11" s="1" t="s">
        <v>354</v>
      </c>
      <c r="Y11" s="1" t="s">
        <v>158</v>
      </c>
      <c r="Z11" s="1" t="s">
        <v>92</v>
      </c>
      <c r="AA11" s="1" t="s">
        <v>354</v>
      </c>
      <c r="AB11" s="1" t="s">
        <v>158</v>
      </c>
      <c r="AC11" s="1" t="s">
        <v>92</v>
      </c>
      <c r="AD11" s="1" t="s">
        <v>93</v>
      </c>
      <c r="AE11" s="1" t="s">
        <v>93</v>
      </c>
      <c r="AF11" s="1" t="s">
        <v>355</v>
      </c>
      <c r="AG11" s="1" t="s">
        <v>356</v>
      </c>
      <c r="AH11" s="1" t="s">
        <v>165</v>
      </c>
      <c r="AI11" s="1" t="s">
        <v>281</v>
      </c>
      <c r="AJ11" s="1">
        <v>86.0</v>
      </c>
      <c r="AK11" s="1"/>
      <c r="AL11" s="1" t="s">
        <v>357</v>
      </c>
      <c r="AM11" s="1" t="s">
        <v>358</v>
      </c>
      <c r="AN11" s="1" t="s">
        <v>359</v>
      </c>
      <c r="AO11" s="1" t="s">
        <v>360</v>
      </c>
      <c r="AP11" s="1">
        <v>78.77</v>
      </c>
      <c r="AQ11" s="1"/>
      <c r="AR11" s="1"/>
      <c r="AS11" s="1"/>
      <c r="AT11" s="1"/>
      <c r="AU11" s="1"/>
      <c r="AV11" s="1"/>
      <c r="AW11" s="1"/>
      <c r="AX11" s="1" t="s">
        <v>361</v>
      </c>
      <c r="AY11" s="1" t="s">
        <v>362</v>
      </c>
      <c r="AZ11" s="1" t="s">
        <v>363</v>
      </c>
      <c r="BA11" s="1" t="s">
        <v>202</v>
      </c>
      <c r="BB11" s="1">
        <v>63.7</v>
      </c>
      <c r="BC11" s="1">
        <v>7.12</v>
      </c>
      <c r="BD11" s="1"/>
      <c r="BE11" s="1"/>
      <c r="BF11" s="1"/>
      <c r="BG11" s="1"/>
      <c r="BH11" s="1"/>
      <c r="BI11" s="1"/>
      <c r="BJ11" s="1" t="s">
        <v>364</v>
      </c>
      <c r="BK11" s="1"/>
      <c r="BL11" s="1"/>
      <c r="BM11" s="1" t="s">
        <v>365</v>
      </c>
      <c r="BN11" s="1">
        <v>8</v>
      </c>
      <c r="BO11" s="1"/>
      <c r="BP11" s="1" t="str">
        <f>HYPERLINK("https://nconnect.nicmar.ac.in/storage/profile/6a1c40dde72e1.png","Download")</f>
        <v>0</v>
      </c>
      <c r="BQ11" s="3"/>
      <c r="BR11" s="3"/>
    </row>
    <row r="12" spans="1:70">
      <c r="A12" s="1" t="s">
        <v>70</v>
      </c>
      <c r="B12" s="1" t="s">
        <v>71</v>
      </c>
      <c r="C12" s="1" t="s">
        <v>366</v>
      </c>
      <c r="D12" s="1" t="s">
        <v>367</v>
      </c>
      <c r="E12" s="1" t="s">
        <v>368</v>
      </c>
      <c r="F12" s="1" t="s">
        <v>369</v>
      </c>
      <c r="G12" s="1" t="s">
        <v>370</v>
      </c>
      <c r="H12" s="1" t="s">
        <v>371</v>
      </c>
      <c r="I12" s="1" t="s">
        <v>372</v>
      </c>
      <c r="J12" s="1">
        <v>8830517806</v>
      </c>
      <c r="K12" s="1" t="s">
        <v>79</v>
      </c>
      <c r="L12" s="1" t="s">
        <v>373</v>
      </c>
      <c r="M12" s="1" t="s">
        <v>81</v>
      </c>
      <c r="N12" s="1" t="s">
        <v>374</v>
      </c>
      <c r="O12" s="1" t="s">
        <v>375</v>
      </c>
      <c r="P12" s="1" t="s">
        <v>117</v>
      </c>
      <c r="Q12" s="1" t="s">
        <v>376</v>
      </c>
      <c r="R12" s="1" t="s">
        <v>368</v>
      </c>
      <c r="S12" s="1">
        <v>8208685186</v>
      </c>
      <c r="T12" s="1" t="s">
        <v>377</v>
      </c>
      <c r="U12" s="1" t="s">
        <v>217</v>
      </c>
      <c r="V12" s="1">
        <v>9767132068</v>
      </c>
      <c r="W12" s="1" t="s">
        <v>273</v>
      </c>
      <c r="X12" s="1" t="s">
        <v>378</v>
      </c>
      <c r="Y12" s="1" t="s">
        <v>379</v>
      </c>
      <c r="Z12" s="1" t="s">
        <v>92</v>
      </c>
      <c r="AA12" s="1" t="s">
        <v>378</v>
      </c>
      <c r="AB12" s="1" t="s">
        <v>379</v>
      </c>
      <c r="AC12" s="1" t="s">
        <v>92</v>
      </c>
      <c r="AD12" s="1" t="s">
        <v>93</v>
      </c>
      <c r="AE12" s="1" t="s">
        <v>93</v>
      </c>
      <c r="AF12" s="1" t="s">
        <v>380</v>
      </c>
      <c r="AG12" s="1" t="s">
        <v>381</v>
      </c>
      <c r="AH12" s="1" t="s">
        <v>162</v>
      </c>
      <c r="AI12" s="1" t="s">
        <v>165</v>
      </c>
      <c r="AJ12" s="1">
        <v>68.6</v>
      </c>
      <c r="AK12" s="1">
        <v>7.6</v>
      </c>
      <c r="AL12" s="1"/>
      <c r="AM12" s="1"/>
      <c r="AN12" s="1"/>
      <c r="AO12" s="1"/>
      <c r="AP12" s="1"/>
      <c r="AQ12" s="1"/>
      <c r="AR12" s="1" t="s">
        <v>223</v>
      </c>
      <c r="AS12" s="1" t="s">
        <v>382</v>
      </c>
      <c r="AT12" s="1" t="s">
        <v>383</v>
      </c>
      <c r="AU12" s="1" t="s">
        <v>173</v>
      </c>
      <c r="AV12" s="1">
        <v>85.32</v>
      </c>
      <c r="AW12" s="1"/>
      <c r="AX12" s="1" t="s">
        <v>384</v>
      </c>
      <c r="AY12" s="1" t="s">
        <v>385</v>
      </c>
      <c r="AZ12" s="1" t="s">
        <v>173</v>
      </c>
      <c r="BA12" s="1" t="s">
        <v>386</v>
      </c>
      <c r="BB12" s="1">
        <v>78.3</v>
      </c>
      <c r="BC12" s="1">
        <v>8.33</v>
      </c>
      <c r="BD12" s="1"/>
      <c r="BE12" s="1"/>
      <c r="BF12" s="1"/>
      <c r="BG12" s="1"/>
      <c r="BH12" s="1"/>
      <c r="BI12" s="1"/>
      <c r="BJ12" s="1" t="s">
        <v>387</v>
      </c>
      <c r="BK12" s="1"/>
      <c r="BL12" s="1"/>
      <c r="BM12" s="1" t="s">
        <v>388</v>
      </c>
      <c r="BN12" s="1">
        <v>60</v>
      </c>
      <c r="BO12" s="1" t="s">
        <v>389</v>
      </c>
      <c r="BP12" s="1" t="str">
        <f>HYPERLINK("https://nconnect.nicmar.ac.in/storage/profile/6a1c46dc90bab.png","Download")</f>
        <v>0</v>
      </c>
      <c r="BQ12" s="3"/>
      <c r="BR12" s="3"/>
    </row>
    <row r="13" spans="1:70">
      <c r="A13" s="1" t="s">
        <v>70</v>
      </c>
      <c r="B13" s="1" t="s">
        <v>71</v>
      </c>
      <c r="C13" s="1" t="s">
        <v>390</v>
      </c>
      <c r="D13" s="1" t="s">
        <v>391</v>
      </c>
      <c r="E13" s="1" t="s">
        <v>392</v>
      </c>
      <c r="F13" s="1" t="s">
        <v>393</v>
      </c>
      <c r="G13" s="1" t="s">
        <v>394</v>
      </c>
      <c r="H13" s="1" t="s">
        <v>395</v>
      </c>
      <c r="I13" s="1" t="s">
        <v>396</v>
      </c>
      <c r="J13" s="1">
        <v>8237843172</v>
      </c>
      <c r="K13" s="1" t="s">
        <v>79</v>
      </c>
      <c r="L13" s="1" t="s">
        <v>397</v>
      </c>
      <c r="M13" s="1" t="s">
        <v>81</v>
      </c>
      <c r="N13" s="1" t="s">
        <v>398</v>
      </c>
      <c r="O13" s="1" t="s">
        <v>399</v>
      </c>
      <c r="P13" s="1" t="s">
        <v>84</v>
      </c>
      <c r="Q13" s="1" t="s">
        <v>400</v>
      </c>
      <c r="R13" s="1" t="s">
        <v>401</v>
      </c>
      <c r="S13" s="1">
        <v>9822204403</v>
      </c>
      <c r="T13" s="1" t="s">
        <v>402</v>
      </c>
      <c r="U13" s="1" t="s">
        <v>403</v>
      </c>
      <c r="V13" s="1">
        <v>9822429888</v>
      </c>
      <c r="W13" s="1" t="s">
        <v>156</v>
      </c>
      <c r="X13" s="1" t="s">
        <v>404</v>
      </c>
      <c r="Y13" s="1" t="s">
        <v>405</v>
      </c>
      <c r="Z13" s="1" t="s">
        <v>92</v>
      </c>
      <c r="AA13" s="1" t="s">
        <v>404</v>
      </c>
      <c r="AB13" s="1" t="s">
        <v>405</v>
      </c>
      <c r="AC13" s="1" t="s">
        <v>92</v>
      </c>
      <c r="AD13" s="1" t="s">
        <v>93</v>
      </c>
      <c r="AE13" s="1" t="s">
        <v>93</v>
      </c>
      <c r="AF13" s="1" t="s">
        <v>406</v>
      </c>
      <c r="AG13" s="1" t="s">
        <v>407</v>
      </c>
      <c r="AH13" s="1" t="s">
        <v>195</v>
      </c>
      <c r="AI13" s="1" t="s">
        <v>281</v>
      </c>
      <c r="AJ13" s="1">
        <v>74.8</v>
      </c>
      <c r="AK13" s="1"/>
      <c r="AL13" s="1" t="s">
        <v>408</v>
      </c>
      <c r="AM13" s="1" t="s">
        <v>407</v>
      </c>
      <c r="AN13" s="1" t="s">
        <v>409</v>
      </c>
      <c r="AO13" s="1" t="s">
        <v>360</v>
      </c>
      <c r="AP13" s="1">
        <v>71.8</v>
      </c>
      <c r="AQ13" s="1"/>
      <c r="AR13" s="1"/>
      <c r="AS13" s="1"/>
      <c r="AT13" s="1"/>
      <c r="AU13" s="1"/>
      <c r="AV13" s="1"/>
      <c r="AW13" s="1"/>
      <c r="AX13" s="1" t="s">
        <v>410</v>
      </c>
      <c r="AY13" s="1" t="s">
        <v>411</v>
      </c>
      <c r="AZ13" s="1" t="s">
        <v>412</v>
      </c>
      <c r="BA13" s="1" t="s">
        <v>413</v>
      </c>
      <c r="BB13" s="1">
        <v>64.4</v>
      </c>
      <c r="BC13" s="1">
        <v>7.19</v>
      </c>
      <c r="BD13" s="1"/>
      <c r="BE13" s="1"/>
      <c r="BF13" s="1"/>
      <c r="BG13" s="1"/>
      <c r="BH13" s="1"/>
      <c r="BI13" s="1"/>
      <c r="BJ13" s="1" t="s">
        <v>414</v>
      </c>
      <c r="BK13" s="1"/>
      <c r="BL13" s="1"/>
      <c r="BM13" s="1" t="s">
        <v>415</v>
      </c>
      <c r="BN13" s="1">
        <v>24</v>
      </c>
      <c r="BO13" s="1"/>
      <c r="BP13" s="1" t="str">
        <f>HYPERLINK("https://nconnect.nicmar.ac.in/storage/profile/6a1c4c4fce923.png","Download")</f>
        <v>0</v>
      </c>
      <c r="BQ13" s="3"/>
      <c r="BR13" s="3"/>
    </row>
    <row r="14" spans="1:70">
      <c r="A14" s="1" t="s">
        <v>70</v>
      </c>
      <c r="B14" s="1" t="s">
        <v>71</v>
      </c>
      <c r="C14" s="1" t="s">
        <v>416</v>
      </c>
      <c r="D14" s="1" t="s">
        <v>417</v>
      </c>
      <c r="E14" s="1" t="s">
        <v>418</v>
      </c>
      <c r="F14" s="1" t="s">
        <v>419</v>
      </c>
      <c r="G14" s="1" t="s">
        <v>420</v>
      </c>
      <c r="H14" s="1" t="s">
        <v>421</v>
      </c>
      <c r="I14" s="1" t="s">
        <v>422</v>
      </c>
      <c r="J14" s="1">
        <v>9422720171</v>
      </c>
      <c r="K14" s="1" t="s">
        <v>148</v>
      </c>
      <c r="L14" s="1" t="s">
        <v>423</v>
      </c>
      <c r="M14" s="1" t="s">
        <v>81</v>
      </c>
      <c r="N14" s="1" t="s">
        <v>151</v>
      </c>
      <c r="O14" s="1" t="s">
        <v>424</v>
      </c>
      <c r="P14" s="1" t="s">
        <v>117</v>
      </c>
      <c r="Q14" s="1" t="s">
        <v>425</v>
      </c>
      <c r="R14" s="1" t="s">
        <v>426</v>
      </c>
      <c r="S14" s="1">
        <v>9404623871</v>
      </c>
      <c r="T14" s="1" t="s">
        <v>122</v>
      </c>
      <c r="U14" s="1" t="s">
        <v>427</v>
      </c>
      <c r="V14" s="1">
        <v>7972398377</v>
      </c>
      <c r="W14" s="1" t="s">
        <v>273</v>
      </c>
      <c r="X14" s="1" t="s">
        <v>428</v>
      </c>
      <c r="Y14" s="1" t="s">
        <v>429</v>
      </c>
      <c r="Z14" s="1" t="s">
        <v>92</v>
      </c>
      <c r="AA14" s="1" t="s">
        <v>428</v>
      </c>
      <c r="AB14" s="1" t="s">
        <v>429</v>
      </c>
      <c r="AC14" s="1" t="s">
        <v>92</v>
      </c>
      <c r="AD14" s="1" t="s">
        <v>93</v>
      </c>
      <c r="AE14" s="1" t="s">
        <v>93</v>
      </c>
      <c r="AF14" s="1" t="s">
        <v>430</v>
      </c>
      <c r="AG14" s="1" t="s">
        <v>431</v>
      </c>
      <c r="AH14" s="1" t="s">
        <v>162</v>
      </c>
      <c r="AI14" s="1" t="s">
        <v>165</v>
      </c>
      <c r="AJ14" s="1">
        <v>64.4</v>
      </c>
      <c r="AK14" s="1"/>
      <c r="AL14" s="1" t="s">
        <v>432</v>
      </c>
      <c r="AM14" s="1" t="s">
        <v>431</v>
      </c>
      <c r="AN14" s="1" t="s">
        <v>101</v>
      </c>
      <c r="AO14" s="1" t="s">
        <v>433</v>
      </c>
      <c r="AP14" s="1">
        <v>48.62</v>
      </c>
      <c r="AQ14" s="1"/>
      <c r="AR14" s="1" t="s">
        <v>434</v>
      </c>
      <c r="AS14" s="1" t="s">
        <v>435</v>
      </c>
      <c r="AT14" s="1" t="s">
        <v>310</v>
      </c>
      <c r="AU14" s="1" t="s">
        <v>436</v>
      </c>
      <c r="AV14" s="1">
        <v>91.42</v>
      </c>
      <c r="AW14" s="1"/>
      <c r="AX14" s="1" t="s">
        <v>437</v>
      </c>
      <c r="AY14" s="1" t="s">
        <v>438</v>
      </c>
      <c r="AZ14" s="1" t="s">
        <v>436</v>
      </c>
      <c r="BA14" s="1" t="s">
        <v>202</v>
      </c>
      <c r="BB14" s="1">
        <v>72.8</v>
      </c>
      <c r="BC14" s="1">
        <v>8.58</v>
      </c>
      <c r="BD14" s="1"/>
      <c r="BE14" s="1"/>
      <c r="BF14" s="1"/>
      <c r="BG14" s="1"/>
      <c r="BH14" s="1"/>
      <c r="BI14" s="1"/>
      <c r="BJ14" s="1" t="s">
        <v>439</v>
      </c>
      <c r="BK14" s="1"/>
      <c r="BL14" s="1"/>
      <c r="BM14" s="1" t="s">
        <v>440</v>
      </c>
      <c r="BN14" s="1">
        <v>10</v>
      </c>
      <c r="BO14" s="1"/>
      <c r="BP14" s="1" t="str">
        <f>HYPERLINK("https://nconnect.nicmar.ac.in/storage/profile/6a1c4ef70c260.png","Download")</f>
        <v>0</v>
      </c>
      <c r="BQ14" s="3"/>
      <c r="BR14" s="3"/>
    </row>
    <row r="15" spans="1:70">
      <c r="A15" s="1" t="s">
        <v>441</v>
      </c>
      <c r="B15" s="1" t="s">
        <v>71</v>
      </c>
      <c r="C15" s="1" t="s">
        <v>442</v>
      </c>
      <c r="D15" s="1" t="s">
        <v>443</v>
      </c>
      <c r="E15" s="1" t="s">
        <v>444</v>
      </c>
      <c r="F15" s="1" t="s">
        <v>445</v>
      </c>
      <c r="G15" s="1" t="s">
        <v>446</v>
      </c>
      <c r="H15" s="1" t="s">
        <v>447</v>
      </c>
      <c r="I15" s="1" t="s">
        <v>447</v>
      </c>
      <c r="J15" s="1">
        <v>9607410688</v>
      </c>
      <c r="K15" s="1" t="s">
        <v>79</v>
      </c>
      <c r="L15" s="1" t="s">
        <v>448</v>
      </c>
      <c r="M15" s="1" t="s">
        <v>81</v>
      </c>
      <c r="N15" s="1" t="s">
        <v>449</v>
      </c>
      <c r="O15" s="1" t="s">
        <v>152</v>
      </c>
      <c r="P15" s="1" t="s">
        <v>214</v>
      </c>
      <c r="Q15" s="1" t="s">
        <v>450</v>
      </c>
      <c r="R15" s="1" t="s">
        <v>451</v>
      </c>
      <c r="S15" s="1">
        <v>9405867527</v>
      </c>
      <c r="T15" s="1" t="s">
        <v>377</v>
      </c>
      <c r="U15" s="1" t="s">
        <v>452</v>
      </c>
      <c r="V15" s="1">
        <v>7038241116</v>
      </c>
      <c r="W15" s="1" t="s">
        <v>156</v>
      </c>
      <c r="X15" s="1" t="s">
        <v>453</v>
      </c>
      <c r="Y15" s="1" t="s">
        <v>191</v>
      </c>
      <c r="Z15" s="1" t="s">
        <v>92</v>
      </c>
      <c r="AA15" s="1" t="s">
        <v>453</v>
      </c>
      <c r="AB15" s="1" t="s">
        <v>191</v>
      </c>
      <c r="AC15" s="1" t="s">
        <v>92</v>
      </c>
      <c r="AD15" s="1" t="s">
        <v>93</v>
      </c>
      <c r="AE15" s="1" t="s">
        <v>93</v>
      </c>
      <c r="AF15" s="1" t="s">
        <v>454</v>
      </c>
      <c r="AG15" s="1" t="s">
        <v>455</v>
      </c>
      <c r="AH15" s="1" t="s">
        <v>161</v>
      </c>
      <c r="AI15" s="1" t="s">
        <v>456</v>
      </c>
      <c r="AJ15" s="1">
        <v>62.8</v>
      </c>
      <c r="AK15" s="1"/>
      <c r="AL15" s="1" t="s">
        <v>454</v>
      </c>
      <c r="AM15" s="1" t="s">
        <v>455</v>
      </c>
      <c r="AN15" s="1" t="s">
        <v>165</v>
      </c>
      <c r="AO15" s="1" t="s">
        <v>457</v>
      </c>
      <c r="AP15" s="1">
        <v>57.23</v>
      </c>
      <c r="AQ15" s="1"/>
      <c r="AR15" s="1"/>
      <c r="AS15" s="1"/>
      <c r="AT15" s="1"/>
      <c r="AU15" s="1"/>
      <c r="AV15" s="1"/>
      <c r="AW15" s="1"/>
      <c r="AX15" s="1" t="s">
        <v>361</v>
      </c>
      <c r="AY15" s="1" t="s">
        <v>458</v>
      </c>
      <c r="AZ15" s="1" t="s">
        <v>101</v>
      </c>
      <c r="BA15" s="1" t="s">
        <v>174</v>
      </c>
      <c r="BB15" s="1">
        <v>65.8</v>
      </c>
      <c r="BC15" s="1">
        <v>7.33</v>
      </c>
      <c r="BD15" s="1"/>
      <c r="BE15" s="1"/>
      <c r="BF15" s="1"/>
      <c r="BG15" s="1"/>
      <c r="BH15" s="1"/>
      <c r="BI15" s="1"/>
      <c r="BJ15" s="1" t="s">
        <v>459</v>
      </c>
      <c r="BK15" s="1"/>
      <c r="BL15" s="1"/>
      <c r="BM15" s="1" t="s">
        <v>460</v>
      </c>
      <c r="BN15" s="1">
        <v>29</v>
      </c>
      <c r="BO15" s="1" t="s">
        <v>461</v>
      </c>
      <c r="BP15" s="1" t="str">
        <f>HYPERLINK("https://nconnect.nicmar.ac.in/storage/profile/6a1eab79188f8.png","Download")</f>
        <v>0</v>
      </c>
      <c r="BQ15" s="3"/>
      <c r="BR15" s="3"/>
    </row>
    <row r="16" spans="1:70">
      <c r="A16" s="1" t="s">
        <v>441</v>
      </c>
      <c r="B16" s="1" t="s">
        <v>71</v>
      </c>
      <c r="C16" s="1" t="s">
        <v>462</v>
      </c>
      <c r="D16" s="1" t="s">
        <v>463</v>
      </c>
      <c r="E16" s="1" t="s">
        <v>464</v>
      </c>
      <c r="F16" s="1" t="s">
        <v>465</v>
      </c>
      <c r="G16" s="1" t="s">
        <v>466</v>
      </c>
      <c r="H16" s="1" t="s">
        <v>467</v>
      </c>
      <c r="I16" s="1" t="s">
        <v>467</v>
      </c>
      <c r="J16" s="1">
        <v>9284429255</v>
      </c>
      <c r="K16" s="1" t="s">
        <v>148</v>
      </c>
      <c r="L16" s="1" t="s">
        <v>468</v>
      </c>
      <c r="M16" s="1" t="s">
        <v>81</v>
      </c>
      <c r="N16" s="1" t="s">
        <v>469</v>
      </c>
      <c r="O16" s="1" t="s">
        <v>83</v>
      </c>
      <c r="P16" s="1" t="s">
        <v>214</v>
      </c>
      <c r="Q16" s="1" t="s">
        <v>470</v>
      </c>
      <c r="R16" s="1" t="s">
        <v>471</v>
      </c>
      <c r="S16" s="1">
        <v>9552573223</v>
      </c>
      <c r="T16" s="1" t="s">
        <v>472</v>
      </c>
      <c r="U16" s="1" t="s">
        <v>473</v>
      </c>
      <c r="V16" s="1">
        <v>9284980617</v>
      </c>
      <c r="W16" s="1" t="s">
        <v>156</v>
      </c>
      <c r="X16" s="1" t="s">
        <v>474</v>
      </c>
      <c r="Y16" s="1" t="s">
        <v>191</v>
      </c>
      <c r="Z16" s="1" t="s">
        <v>92</v>
      </c>
      <c r="AA16" s="1" t="s">
        <v>474</v>
      </c>
      <c r="AB16" s="1" t="s">
        <v>191</v>
      </c>
      <c r="AC16" s="1" t="s">
        <v>92</v>
      </c>
      <c r="AD16" s="1" t="s">
        <v>93</v>
      </c>
      <c r="AE16" s="1" t="s">
        <v>93</v>
      </c>
      <c r="AF16" s="1" t="s">
        <v>475</v>
      </c>
      <c r="AG16" s="1" t="s">
        <v>476</v>
      </c>
      <c r="AH16" s="1" t="s">
        <v>477</v>
      </c>
      <c r="AI16" s="1" t="s">
        <v>161</v>
      </c>
      <c r="AJ16" s="1">
        <v>89.2</v>
      </c>
      <c r="AK16" s="1">
        <v>9.38</v>
      </c>
      <c r="AL16" s="1" t="s">
        <v>478</v>
      </c>
      <c r="AM16" s="1" t="s">
        <v>476</v>
      </c>
      <c r="AN16" s="1" t="s">
        <v>279</v>
      </c>
      <c r="AO16" s="1" t="s">
        <v>479</v>
      </c>
      <c r="AP16" s="1">
        <v>78.46</v>
      </c>
      <c r="AQ16" s="1">
        <v>8.25</v>
      </c>
      <c r="AR16" s="1"/>
      <c r="AS16" s="1"/>
      <c r="AT16" s="1"/>
      <c r="AU16" s="1"/>
      <c r="AV16" s="1"/>
      <c r="AW16" s="1"/>
      <c r="AX16" s="1" t="s">
        <v>480</v>
      </c>
      <c r="AY16" s="1" t="s">
        <v>361</v>
      </c>
      <c r="AZ16" s="1" t="s">
        <v>225</v>
      </c>
      <c r="BA16" s="1" t="s">
        <v>481</v>
      </c>
      <c r="BB16" s="1">
        <v>80.36</v>
      </c>
      <c r="BC16" s="1">
        <v>8.78</v>
      </c>
      <c r="BD16" s="1"/>
      <c r="BE16" s="1"/>
      <c r="BF16" s="1"/>
      <c r="BG16" s="1"/>
      <c r="BH16" s="1"/>
      <c r="BI16" s="1"/>
      <c r="BJ16" s="1" t="s">
        <v>482</v>
      </c>
      <c r="BK16" s="1" t="s">
        <v>483</v>
      </c>
      <c r="BL16" s="1" t="s">
        <v>484</v>
      </c>
      <c r="BM16" s="1" t="s">
        <v>485</v>
      </c>
      <c r="BN16" s="1">
        <v>58</v>
      </c>
      <c r="BO16" s="1" t="s">
        <v>486</v>
      </c>
      <c r="BP16" s="1" t="str">
        <f>HYPERLINK("https://nconnect.nicmar.ac.in/storage/profile/6a1eba10eb6f1.png","Download")</f>
        <v>0</v>
      </c>
      <c r="BQ16" s="3"/>
      <c r="BR16" s="3"/>
    </row>
    <row r="17" spans="1:70">
      <c r="A17" s="1" t="s">
        <v>441</v>
      </c>
      <c r="B17" s="1" t="s">
        <v>71</v>
      </c>
      <c r="C17" s="1" t="s">
        <v>487</v>
      </c>
      <c r="D17" s="1" t="s">
        <v>488</v>
      </c>
      <c r="E17" s="1"/>
      <c r="F17" s="1" t="s">
        <v>489</v>
      </c>
      <c r="G17" s="1" t="s">
        <v>490</v>
      </c>
      <c r="H17" s="1" t="s">
        <v>491</v>
      </c>
      <c r="I17" s="1" t="s">
        <v>491</v>
      </c>
      <c r="J17" s="1">
        <v>9689474909</v>
      </c>
      <c r="K17" s="1" t="s">
        <v>79</v>
      </c>
      <c r="L17" s="1" t="s">
        <v>492</v>
      </c>
      <c r="M17" s="1" t="s">
        <v>81</v>
      </c>
      <c r="N17" s="1" t="s">
        <v>493</v>
      </c>
      <c r="O17" s="1" t="s">
        <v>83</v>
      </c>
      <c r="P17" s="1" t="s">
        <v>214</v>
      </c>
      <c r="Q17" s="1" t="s">
        <v>494</v>
      </c>
      <c r="R17" s="1" t="s">
        <v>495</v>
      </c>
      <c r="S17" s="1">
        <v>8796137585</v>
      </c>
      <c r="T17" s="1" t="s">
        <v>496</v>
      </c>
      <c r="U17" s="1" t="s">
        <v>497</v>
      </c>
      <c r="V17" s="1">
        <v>7350585979</v>
      </c>
      <c r="W17" s="1" t="s">
        <v>156</v>
      </c>
      <c r="X17" s="1" t="s">
        <v>498</v>
      </c>
      <c r="Y17" s="1" t="s">
        <v>499</v>
      </c>
      <c r="Z17" s="1" t="s">
        <v>500</v>
      </c>
      <c r="AA17" s="1" t="s">
        <v>498</v>
      </c>
      <c r="AB17" s="1" t="s">
        <v>499</v>
      </c>
      <c r="AC17" s="1" t="s">
        <v>500</v>
      </c>
      <c r="AD17" s="1" t="s">
        <v>93</v>
      </c>
      <c r="AE17" s="1" t="s">
        <v>93</v>
      </c>
      <c r="AF17" s="1" t="s">
        <v>501</v>
      </c>
      <c r="AG17" s="1" t="s">
        <v>502</v>
      </c>
      <c r="AH17" s="1" t="s">
        <v>503</v>
      </c>
      <c r="AI17" s="1" t="s">
        <v>456</v>
      </c>
      <c r="AJ17" s="1">
        <v>68.4</v>
      </c>
      <c r="AK17" s="1">
        <v>7.2</v>
      </c>
      <c r="AL17" s="1" t="s">
        <v>93</v>
      </c>
      <c r="AM17" s="1" t="s">
        <v>502</v>
      </c>
      <c r="AN17" s="1" t="s">
        <v>310</v>
      </c>
      <c r="AO17" s="1" t="s">
        <v>504</v>
      </c>
      <c r="AP17" s="1">
        <v>53.2</v>
      </c>
      <c r="AQ17" s="1"/>
      <c r="AR17" s="1"/>
      <c r="AS17" s="1"/>
      <c r="AT17" s="1"/>
      <c r="AU17" s="1"/>
      <c r="AV17" s="1"/>
      <c r="AW17" s="1"/>
      <c r="AX17" s="1" t="s">
        <v>505</v>
      </c>
      <c r="AY17" s="1" t="s">
        <v>502</v>
      </c>
      <c r="AZ17" s="1" t="s">
        <v>506</v>
      </c>
      <c r="BA17" s="1" t="s">
        <v>507</v>
      </c>
      <c r="BB17" s="1">
        <v>55</v>
      </c>
      <c r="BC17" s="1">
        <v>6.25</v>
      </c>
      <c r="BD17" s="1"/>
      <c r="BE17" s="1"/>
      <c r="BF17" s="1"/>
      <c r="BG17" s="1"/>
      <c r="BH17" s="1"/>
      <c r="BI17" s="1"/>
      <c r="BJ17" s="1" t="s">
        <v>508</v>
      </c>
      <c r="BK17" s="1"/>
      <c r="BL17" s="1"/>
      <c r="BM17" s="1" t="s">
        <v>509</v>
      </c>
      <c r="BN17" s="1">
        <v>23</v>
      </c>
      <c r="BO17" s="1" t="s">
        <v>510</v>
      </c>
      <c r="BP17" s="1" t="str">
        <f>HYPERLINK("https://nconnect.nicmar.ac.in/storage/profile/6a1fa4f8604ae.png","Download")</f>
        <v>0</v>
      </c>
      <c r="BQ17" s="3"/>
      <c r="BR17" s="3"/>
    </row>
    <row r="18" spans="1:70">
      <c r="A18" s="1" t="s">
        <v>441</v>
      </c>
      <c r="B18" s="1" t="s">
        <v>71</v>
      </c>
      <c r="C18" s="1" t="s">
        <v>511</v>
      </c>
      <c r="D18" s="1" t="s">
        <v>512</v>
      </c>
      <c r="E18" s="1" t="s">
        <v>513</v>
      </c>
      <c r="F18" s="1" t="s">
        <v>514</v>
      </c>
      <c r="G18" s="1" t="s">
        <v>515</v>
      </c>
      <c r="H18" s="1" t="s">
        <v>516</v>
      </c>
      <c r="I18" s="1" t="s">
        <v>516</v>
      </c>
      <c r="J18" s="1">
        <v>9373849785</v>
      </c>
      <c r="K18" s="1" t="s">
        <v>148</v>
      </c>
      <c r="L18" s="1" t="s">
        <v>517</v>
      </c>
      <c r="M18" s="1" t="s">
        <v>81</v>
      </c>
      <c r="N18" s="1" t="s">
        <v>493</v>
      </c>
      <c r="O18" s="1" t="s">
        <v>83</v>
      </c>
      <c r="P18" s="1" t="s">
        <v>117</v>
      </c>
      <c r="Q18" s="1" t="s">
        <v>518</v>
      </c>
      <c r="R18" s="1" t="s">
        <v>519</v>
      </c>
      <c r="S18" s="1">
        <v>9822870841</v>
      </c>
      <c r="T18" s="1" t="s">
        <v>520</v>
      </c>
      <c r="U18" s="1" t="s">
        <v>521</v>
      </c>
      <c r="V18" s="1">
        <v>9921868579</v>
      </c>
      <c r="W18" s="1" t="s">
        <v>156</v>
      </c>
      <c r="X18" s="1" t="s">
        <v>522</v>
      </c>
      <c r="Y18" s="1" t="s">
        <v>523</v>
      </c>
      <c r="Z18" s="1" t="s">
        <v>92</v>
      </c>
      <c r="AA18" s="1" t="s">
        <v>522</v>
      </c>
      <c r="AB18" s="1" t="s">
        <v>523</v>
      </c>
      <c r="AC18" s="1" t="s">
        <v>92</v>
      </c>
      <c r="AD18" s="1" t="s">
        <v>93</v>
      </c>
      <c r="AE18" s="1" t="s">
        <v>93</v>
      </c>
      <c r="AF18" s="1" t="s">
        <v>524</v>
      </c>
      <c r="AG18" s="1" t="s">
        <v>525</v>
      </c>
      <c r="AH18" s="1" t="s">
        <v>96</v>
      </c>
      <c r="AI18" s="1" t="s">
        <v>161</v>
      </c>
      <c r="AJ18" s="1">
        <v>77.2</v>
      </c>
      <c r="AK18" s="1"/>
      <c r="AL18" s="1" t="s">
        <v>526</v>
      </c>
      <c r="AM18" s="1" t="s">
        <v>476</v>
      </c>
      <c r="AN18" s="1" t="s">
        <v>527</v>
      </c>
      <c r="AO18" s="1" t="s">
        <v>479</v>
      </c>
      <c r="AP18" s="1">
        <v>59.38</v>
      </c>
      <c r="AQ18" s="1"/>
      <c r="AR18" s="1"/>
      <c r="AS18" s="1"/>
      <c r="AT18" s="1"/>
      <c r="AU18" s="1"/>
      <c r="AV18" s="1"/>
      <c r="AW18" s="1"/>
      <c r="AX18" s="1" t="s">
        <v>361</v>
      </c>
      <c r="AY18" s="1" t="s">
        <v>528</v>
      </c>
      <c r="AZ18" s="1" t="s">
        <v>310</v>
      </c>
      <c r="BA18" s="1" t="s">
        <v>202</v>
      </c>
      <c r="BB18" s="1">
        <v>63.1</v>
      </c>
      <c r="BC18" s="1">
        <v>7.06</v>
      </c>
      <c r="BD18" s="1"/>
      <c r="BE18" s="1"/>
      <c r="BF18" s="1"/>
      <c r="BG18" s="1"/>
      <c r="BH18" s="1"/>
      <c r="BI18" s="1"/>
      <c r="BJ18" s="1" t="s">
        <v>529</v>
      </c>
      <c r="BK18" s="1"/>
      <c r="BL18" s="1"/>
      <c r="BM18" s="1" t="s">
        <v>530</v>
      </c>
      <c r="BN18" s="1">
        <v>26</v>
      </c>
      <c r="BO18" s="1" t="s">
        <v>531</v>
      </c>
      <c r="BP18" s="1" t="str">
        <f>HYPERLINK("https://nconnect.nicmar.ac.in/storage/profile/6a1fadfe61e9d.png","Download")</f>
        <v>0</v>
      </c>
      <c r="BQ18" s="3"/>
      <c r="BR18" s="3"/>
    </row>
    <row r="19" spans="1:70">
      <c r="A19" s="1" t="s">
        <v>441</v>
      </c>
      <c r="B19" s="1" t="s">
        <v>71</v>
      </c>
      <c r="C19" s="1" t="s">
        <v>532</v>
      </c>
      <c r="D19" s="1" t="s">
        <v>533</v>
      </c>
      <c r="E19" s="1" t="s">
        <v>208</v>
      </c>
      <c r="F19" s="1" t="s">
        <v>534</v>
      </c>
      <c r="G19" s="1" t="s">
        <v>535</v>
      </c>
      <c r="H19" s="1" t="s">
        <v>536</v>
      </c>
      <c r="I19" s="1" t="s">
        <v>536</v>
      </c>
      <c r="J19" s="1">
        <v>9146501657</v>
      </c>
      <c r="K19" s="1" t="s">
        <v>79</v>
      </c>
      <c r="L19" s="1" t="s">
        <v>537</v>
      </c>
      <c r="M19" s="1" t="s">
        <v>81</v>
      </c>
      <c r="N19" s="1" t="s">
        <v>538</v>
      </c>
      <c r="O19" s="1" t="s">
        <v>83</v>
      </c>
      <c r="P19" s="1" t="s">
        <v>214</v>
      </c>
      <c r="Q19" s="1" t="s">
        <v>539</v>
      </c>
      <c r="R19" s="1" t="s">
        <v>540</v>
      </c>
      <c r="S19" s="1">
        <v>9422804268</v>
      </c>
      <c r="T19" s="1" t="s">
        <v>496</v>
      </c>
      <c r="U19" s="1" t="s">
        <v>541</v>
      </c>
      <c r="V19" s="1">
        <v>9422230451</v>
      </c>
      <c r="W19" s="1" t="s">
        <v>89</v>
      </c>
      <c r="X19" s="1" t="s">
        <v>542</v>
      </c>
      <c r="Y19" s="1" t="s">
        <v>405</v>
      </c>
      <c r="Z19" s="1" t="s">
        <v>92</v>
      </c>
      <c r="AA19" s="1" t="s">
        <v>542</v>
      </c>
      <c r="AB19" s="1" t="s">
        <v>405</v>
      </c>
      <c r="AC19" s="1" t="s">
        <v>92</v>
      </c>
      <c r="AD19" s="1" t="s">
        <v>93</v>
      </c>
      <c r="AE19" s="1" t="s">
        <v>93</v>
      </c>
      <c r="AF19" s="1" t="s">
        <v>543</v>
      </c>
      <c r="AG19" s="1" t="s">
        <v>544</v>
      </c>
      <c r="AH19" s="1" t="s">
        <v>527</v>
      </c>
      <c r="AI19" s="1" t="s">
        <v>195</v>
      </c>
      <c r="AJ19" s="1">
        <v>88.2</v>
      </c>
      <c r="AK19" s="1"/>
      <c r="AL19" s="1"/>
      <c r="AM19" s="1"/>
      <c r="AN19" s="1"/>
      <c r="AO19" s="1"/>
      <c r="AP19" s="1"/>
      <c r="AQ19" s="1"/>
      <c r="AR19" s="1" t="s">
        <v>545</v>
      </c>
      <c r="AS19" s="1" t="s">
        <v>546</v>
      </c>
      <c r="AT19" s="1" t="s">
        <v>225</v>
      </c>
      <c r="AU19" s="1" t="s">
        <v>170</v>
      </c>
      <c r="AV19" s="1">
        <v>77.85</v>
      </c>
      <c r="AW19" s="1"/>
      <c r="AX19" s="1" t="s">
        <v>547</v>
      </c>
      <c r="AY19" s="1" t="s">
        <v>548</v>
      </c>
      <c r="AZ19" s="1" t="s">
        <v>363</v>
      </c>
      <c r="BA19" s="1" t="s">
        <v>549</v>
      </c>
      <c r="BB19" s="1">
        <v>57.2</v>
      </c>
      <c r="BC19" s="1">
        <v>6.47</v>
      </c>
      <c r="BD19" s="1"/>
      <c r="BE19" s="1"/>
      <c r="BF19" s="1"/>
      <c r="BG19" s="1"/>
      <c r="BH19" s="1"/>
      <c r="BI19" s="1"/>
      <c r="BJ19" s="1" t="s">
        <v>550</v>
      </c>
      <c r="BK19" s="1"/>
      <c r="BL19" s="1"/>
      <c r="BM19" s="1" t="s">
        <v>551</v>
      </c>
      <c r="BN19" s="1">
        <v>21</v>
      </c>
      <c r="BO19" s="1"/>
      <c r="BP19" s="1" t="str">
        <f>HYPERLINK("https://nconnect.nicmar.ac.in/storage/profile/6a1fc411369af.png","Download")</f>
        <v>0</v>
      </c>
      <c r="BQ19" s="3"/>
      <c r="BR19" s="3"/>
    </row>
    <row r="20" spans="1:70">
      <c r="A20" s="1" t="s">
        <v>552</v>
      </c>
      <c r="B20" s="1" t="s">
        <v>71</v>
      </c>
      <c r="C20" s="1" t="s">
        <v>553</v>
      </c>
      <c r="D20" s="1" t="s">
        <v>554</v>
      </c>
      <c r="E20" s="1" t="s">
        <v>555</v>
      </c>
      <c r="F20" s="1" t="s">
        <v>556</v>
      </c>
      <c r="G20" s="1" t="s">
        <v>557</v>
      </c>
      <c r="H20" s="1" t="s">
        <v>558</v>
      </c>
      <c r="I20" s="1" t="s">
        <v>559</v>
      </c>
      <c r="J20" s="1">
        <v>9359660562</v>
      </c>
      <c r="K20" s="1" t="s">
        <v>79</v>
      </c>
      <c r="L20" s="1" t="s">
        <v>560</v>
      </c>
      <c r="M20" s="1" t="s">
        <v>81</v>
      </c>
      <c r="N20" s="1" t="s">
        <v>151</v>
      </c>
      <c r="O20" s="1" t="s">
        <v>561</v>
      </c>
      <c r="P20" s="1" t="s">
        <v>84</v>
      </c>
      <c r="Q20" s="1" t="s">
        <v>562</v>
      </c>
      <c r="R20" s="1" t="s">
        <v>563</v>
      </c>
      <c r="S20" s="1">
        <v>7972815434</v>
      </c>
      <c r="T20" s="1" t="s">
        <v>564</v>
      </c>
      <c r="U20" s="1" t="s">
        <v>565</v>
      </c>
      <c r="V20" s="1">
        <v>7083865742</v>
      </c>
      <c r="W20" s="1" t="s">
        <v>156</v>
      </c>
      <c r="X20" s="1" t="s">
        <v>566</v>
      </c>
      <c r="Y20" s="1" t="s">
        <v>567</v>
      </c>
      <c r="Z20" s="1" t="s">
        <v>92</v>
      </c>
      <c r="AA20" s="1" t="s">
        <v>568</v>
      </c>
      <c r="AB20" s="1" t="s">
        <v>567</v>
      </c>
      <c r="AC20" s="1" t="s">
        <v>92</v>
      </c>
      <c r="AD20" s="1" t="s">
        <v>93</v>
      </c>
      <c r="AE20" s="1" t="s">
        <v>93</v>
      </c>
      <c r="AF20" s="1" t="s">
        <v>569</v>
      </c>
      <c r="AG20" s="1" t="s">
        <v>570</v>
      </c>
      <c r="AH20" s="1" t="s">
        <v>337</v>
      </c>
      <c r="AI20" s="1" t="s">
        <v>456</v>
      </c>
      <c r="AJ20" s="1">
        <v>84.4</v>
      </c>
      <c r="AK20" s="1"/>
      <c r="AL20" s="1" t="s">
        <v>571</v>
      </c>
      <c r="AM20" s="1" t="s">
        <v>572</v>
      </c>
      <c r="AN20" s="1" t="s">
        <v>225</v>
      </c>
      <c r="AO20" s="1" t="s">
        <v>101</v>
      </c>
      <c r="AP20" s="1">
        <v>64.77</v>
      </c>
      <c r="AQ20" s="1"/>
      <c r="AR20" s="1"/>
      <c r="AS20" s="1"/>
      <c r="AT20" s="1"/>
      <c r="AU20" s="1"/>
      <c r="AV20" s="1"/>
      <c r="AW20" s="1"/>
      <c r="AX20" s="1" t="s">
        <v>410</v>
      </c>
      <c r="AY20" s="1" t="s">
        <v>573</v>
      </c>
      <c r="AZ20" s="1" t="s">
        <v>574</v>
      </c>
      <c r="BA20" s="1" t="s">
        <v>575</v>
      </c>
      <c r="BB20" s="1">
        <v>81.2</v>
      </c>
      <c r="BC20" s="1">
        <v>8.87</v>
      </c>
      <c r="BD20" s="1"/>
      <c r="BE20" s="1"/>
      <c r="BF20" s="1"/>
      <c r="BG20" s="1"/>
      <c r="BH20" s="1"/>
      <c r="BI20" s="1"/>
      <c r="BJ20" s="1" t="s">
        <v>576</v>
      </c>
      <c r="BK20" s="1"/>
      <c r="BL20" s="1"/>
      <c r="BM20" s="1" t="s">
        <v>577</v>
      </c>
      <c r="BN20" s="1">
        <v>7</v>
      </c>
      <c r="BO20" s="1"/>
      <c r="BP20" s="1" t="str">
        <f>HYPERLINK("https://nconnect.nicmar.ac.in/storage/profile/6a1ff84bd9c64.png","Download")</f>
        <v>0</v>
      </c>
      <c r="BQ20" s="3"/>
      <c r="BR20" s="3"/>
    </row>
    <row r="21" spans="1:70">
      <c r="A21" s="1" t="s">
        <v>552</v>
      </c>
      <c r="B21" s="1" t="s">
        <v>71</v>
      </c>
      <c r="C21" s="1" t="s">
        <v>578</v>
      </c>
      <c r="D21" s="1" t="s">
        <v>579</v>
      </c>
      <c r="E21" s="1" t="s">
        <v>580</v>
      </c>
      <c r="F21" s="1" t="s">
        <v>181</v>
      </c>
      <c r="G21" s="1" t="s">
        <v>581</v>
      </c>
      <c r="H21" s="1" t="s">
        <v>582</v>
      </c>
      <c r="I21" s="1" t="s">
        <v>582</v>
      </c>
      <c r="J21" s="1">
        <v>7709412149</v>
      </c>
      <c r="K21" s="1" t="s">
        <v>79</v>
      </c>
      <c r="L21" s="1" t="s">
        <v>583</v>
      </c>
      <c r="M21" s="1" t="s">
        <v>81</v>
      </c>
      <c r="N21" s="1" t="s">
        <v>493</v>
      </c>
      <c r="O21" s="1" t="s">
        <v>83</v>
      </c>
      <c r="P21" s="1" t="s">
        <v>117</v>
      </c>
      <c r="Q21" s="1" t="s">
        <v>584</v>
      </c>
      <c r="R21" s="1" t="s">
        <v>181</v>
      </c>
      <c r="S21" s="1">
        <v>9421586137</v>
      </c>
      <c r="T21" s="1" t="s">
        <v>120</v>
      </c>
      <c r="U21" s="1" t="s">
        <v>301</v>
      </c>
      <c r="V21" s="1">
        <v>7756878059</v>
      </c>
      <c r="W21" s="1" t="s">
        <v>89</v>
      </c>
      <c r="X21" s="1" t="s">
        <v>585</v>
      </c>
      <c r="Y21" s="1" t="s">
        <v>158</v>
      </c>
      <c r="Z21" s="1" t="s">
        <v>92</v>
      </c>
      <c r="AA21" s="1" t="s">
        <v>585</v>
      </c>
      <c r="AB21" s="1" t="s">
        <v>158</v>
      </c>
      <c r="AC21" s="1" t="s">
        <v>92</v>
      </c>
      <c r="AD21" s="1" t="s">
        <v>93</v>
      </c>
      <c r="AE21" s="1" t="s">
        <v>93</v>
      </c>
      <c r="AF21" s="1" t="s">
        <v>586</v>
      </c>
      <c r="AG21" s="1" t="s">
        <v>587</v>
      </c>
      <c r="AH21" s="1" t="s">
        <v>165</v>
      </c>
      <c r="AI21" s="1" t="s">
        <v>281</v>
      </c>
      <c r="AJ21" s="1">
        <v>90.2</v>
      </c>
      <c r="AK21" s="1"/>
      <c r="AL21" s="1" t="s">
        <v>588</v>
      </c>
      <c r="AM21" s="1" t="s">
        <v>160</v>
      </c>
      <c r="AN21" s="1" t="s">
        <v>101</v>
      </c>
      <c r="AO21" s="1" t="s">
        <v>360</v>
      </c>
      <c r="AP21" s="1">
        <v>81.23</v>
      </c>
      <c r="AQ21" s="1"/>
      <c r="AR21" s="1"/>
      <c r="AS21" s="1"/>
      <c r="AT21" s="1"/>
      <c r="AU21" s="1"/>
      <c r="AV21" s="1"/>
      <c r="AW21" s="1"/>
      <c r="AX21" s="1" t="s">
        <v>361</v>
      </c>
      <c r="AY21" s="1" t="s">
        <v>589</v>
      </c>
      <c r="AZ21" s="1" t="s">
        <v>173</v>
      </c>
      <c r="BA21" s="1" t="s">
        <v>590</v>
      </c>
      <c r="BB21" s="1">
        <v>78.08</v>
      </c>
      <c r="BC21" s="1">
        <v>8.59</v>
      </c>
      <c r="BD21" s="1"/>
      <c r="BE21" s="1"/>
      <c r="BF21" s="1"/>
      <c r="BG21" s="1"/>
      <c r="BH21" s="1"/>
      <c r="BI21" s="1"/>
      <c r="BJ21" s="1" t="s">
        <v>591</v>
      </c>
      <c r="BK21" s="1"/>
      <c r="BL21" s="1"/>
      <c r="BM21" s="1" t="s">
        <v>592</v>
      </c>
      <c r="BN21" s="1">
        <v>8</v>
      </c>
      <c r="BO21" s="1" t="s">
        <v>593</v>
      </c>
      <c r="BP21" s="1" t="str">
        <f>HYPERLINK("https://nconnect.nicmar.ac.in/storage/profile/6a20f9c0b49b0.png","Download")</f>
        <v>0</v>
      </c>
      <c r="BQ21" s="3"/>
      <c r="BR21" s="3"/>
    </row>
    <row r="22" spans="1:70">
      <c r="A22" s="1" t="s">
        <v>552</v>
      </c>
      <c r="B22" s="1" t="s">
        <v>71</v>
      </c>
      <c r="C22" s="1" t="s">
        <v>594</v>
      </c>
      <c r="D22" s="1" t="s">
        <v>595</v>
      </c>
      <c r="E22" s="1" t="s">
        <v>596</v>
      </c>
      <c r="F22" s="1" t="s">
        <v>597</v>
      </c>
      <c r="G22" s="1" t="s">
        <v>598</v>
      </c>
      <c r="H22" s="1" t="s">
        <v>599</v>
      </c>
      <c r="I22" s="1" t="s">
        <v>599</v>
      </c>
      <c r="J22" s="1">
        <v>8185867804</v>
      </c>
      <c r="K22" s="1" t="s">
        <v>79</v>
      </c>
      <c r="L22" s="1" t="s">
        <v>600</v>
      </c>
      <c r="M22" s="1" t="s">
        <v>81</v>
      </c>
      <c r="N22" s="1" t="s">
        <v>601</v>
      </c>
      <c r="O22" s="1" t="s">
        <v>83</v>
      </c>
      <c r="P22" s="1" t="s">
        <v>351</v>
      </c>
      <c r="Q22" s="1" t="s">
        <v>602</v>
      </c>
      <c r="R22" s="1" t="s">
        <v>603</v>
      </c>
      <c r="S22" s="1">
        <v>9603826815</v>
      </c>
      <c r="T22" s="1" t="s">
        <v>604</v>
      </c>
      <c r="U22" s="1" t="s">
        <v>605</v>
      </c>
      <c r="V22" s="1">
        <v>8897219955</v>
      </c>
      <c r="W22" s="1" t="s">
        <v>606</v>
      </c>
      <c r="X22" s="1" t="s">
        <v>607</v>
      </c>
      <c r="Y22" s="1" t="s">
        <v>608</v>
      </c>
      <c r="Z22" s="1" t="s">
        <v>609</v>
      </c>
      <c r="AA22" s="1" t="s">
        <v>607</v>
      </c>
      <c r="AB22" s="1" t="s">
        <v>608</v>
      </c>
      <c r="AC22" s="1" t="s">
        <v>609</v>
      </c>
      <c r="AD22" s="1" t="s">
        <v>93</v>
      </c>
      <c r="AE22" s="1" t="s">
        <v>93</v>
      </c>
      <c r="AF22" s="1" t="s">
        <v>610</v>
      </c>
      <c r="AG22" s="1" t="s">
        <v>611</v>
      </c>
      <c r="AH22" s="1" t="s">
        <v>97</v>
      </c>
      <c r="AI22" s="1" t="s">
        <v>456</v>
      </c>
      <c r="AJ22" s="1">
        <v>85</v>
      </c>
      <c r="AK22" s="1">
        <v>8.5</v>
      </c>
      <c r="AL22" s="1" t="s">
        <v>612</v>
      </c>
      <c r="AM22" s="1" t="s">
        <v>613</v>
      </c>
      <c r="AN22" s="1" t="s">
        <v>162</v>
      </c>
      <c r="AO22" s="1" t="s">
        <v>281</v>
      </c>
      <c r="AP22" s="1">
        <v>83.8</v>
      </c>
      <c r="AQ22" s="1"/>
      <c r="AR22" s="1"/>
      <c r="AS22" s="1"/>
      <c r="AT22" s="1"/>
      <c r="AU22" s="1"/>
      <c r="AV22" s="1"/>
      <c r="AW22" s="1"/>
      <c r="AX22" s="1" t="s">
        <v>614</v>
      </c>
      <c r="AY22" s="1" t="s">
        <v>615</v>
      </c>
      <c r="AZ22" s="1" t="s">
        <v>101</v>
      </c>
      <c r="BA22" s="1" t="s">
        <v>616</v>
      </c>
      <c r="BB22" s="1">
        <v>57</v>
      </c>
      <c r="BC22" s="1">
        <v>6.2</v>
      </c>
      <c r="BD22" s="1"/>
      <c r="BE22" s="1"/>
      <c r="BF22" s="1"/>
      <c r="BG22" s="1"/>
      <c r="BH22" s="1"/>
      <c r="BI22" s="1"/>
      <c r="BJ22" s="1" t="s">
        <v>617</v>
      </c>
      <c r="BK22" s="1" t="s">
        <v>618</v>
      </c>
      <c r="BL22" s="1" t="s">
        <v>619</v>
      </c>
      <c r="BM22" s="1" t="s">
        <v>620</v>
      </c>
      <c r="BN22" s="1">
        <v>8</v>
      </c>
      <c r="BO22" s="1" t="s">
        <v>621</v>
      </c>
      <c r="BP22" s="1" t="str">
        <f>HYPERLINK("https://nconnect.nicmar.ac.in/storage/profile/6a2103f0b6786.png","Download")</f>
        <v>0</v>
      </c>
      <c r="BQ22" s="3"/>
      <c r="BR22" s="3"/>
    </row>
    <row r="23" spans="1:70">
      <c r="A23" s="1" t="s">
        <v>552</v>
      </c>
      <c r="B23" s="1" t="s">
        <v>71</v>
      </c>
      <c r="C23" s="1" t="s">
        <v>622</v>
      </c>
      <c r="D23" s="1" t="s">
        <v>623</v>
      </c>
      <c r="E23" s="1" t="s">
        <v>234</v>
      </c>
      <c r="F23" s="1" t="s">
        <v>624</v>
      </c>
      <c r="G23" s="1" t="s">
        <v>625</v>
      </c>
      <c r="H23" s="1" t="s">
        <v>626</v>
      </c>
      <c r="I23" s="1" t="s">
        <v>626</v>
      </c>
      <c r="J23" s="1">
        <v>9028775607</v>
      </c>
      <c r="K23" s="1" t="s">
        <v>79</v>
      </c>
      <c r="L23" s="1" t="s">
        <v>627</v>
      </c>
      <c r="M23" s="1" t="s">
        <v>81</v>
      </c>
      <c r="N23" s="1" t="s">
        <v>628</v>
      </c>
      <c r="O23" s="1" t="s">
        <v>83</v>
      </c>
      <c r="P23" s="1" t="s">
        <v>117</v>
      </c>
      <c r="Q23" s="1" t="s">
        <v>629</v>
      </c>
      <c r="R23" s="1" t="s">
        <v>630</v>
      </c>
      <c r="S23" s="1">
        <v>9850891727</v>
      </c>
      <c r="T23" s="1" t="s">
        <v>496</v>
      </c>
      <c r="U23" s="1" t="s">
        <v>631</v>
      </c>
      <c r="V23" s="1">
        <v>9637694763</v>
      </c>
      <c r="W23" s="1" t="s">
        <v>122</v>
      </c>
      <c r="X23" s="1" t="s">
        <v>632</v>
      </c>
      <c r="Y23" s="1" t="s">
        <v>191</v>
      </c>
      <c r="Z23" s="1" t="s">
        <v>92</v>
      </c>
      <c r="AA23" s="1" t="s">
        <v>632</v>
      </c>
      <c r="AB23" s="1" t="s">
        <v>191</v>
      </c>
      <c r="AC23" s="1" t="s">
        <v>92</v>
      </c>
      <c r="AD23" s="1" t="s">
        <v>93</v>
      </c>
      <c r="AE23" s="1" t="s">
        <v>93</v>
      </c>
      <c r="AF23" s="1" t="s">
        <v>633</v>
      </c>
      <c r="AG23" s="1" t="s">
        <v>194</v>
      </c>
      <c r="AH23" s="1" t="s">
        <v>161</v>
      </c>
      <c r="AI23" s="1" t="s">
        <v>456</v>
      </c>
      <c r="AJ23" s="1">
        <v>86.4</v>
      </c>
      <c r="AK23" s="1"/>
      <c r="AL23" s="1" t="s">
        <v>634</v>
      </c>
      <c r="AM23" s="1" t="s">
        <v>197</v>
      </c>
      <c r="AN23" s="1" t="s">
        <v>383</v>
      </c>
      <c r="AO23" s="1" t="s">
        <v>166</v>
      </c>
      <c r="AP23" s="1">
        <v>64.31</v>
      </c>
      <c r="AQ23" s="1"/>
      <c r="AR23" s="1"/>
      <c r="AS23" s="1"/>
      <c r="AT23" s="1"/>
      <c r="AU23" s="1"/>
      <c r="AV23" s="1"/>
      <c r="AW23" s="1"/>
      <c r="AX23" s="1" t="s">
        <v>361</v>
      </c>
      <c r="AY23" s="1" t="s">
        <v>635</v>
      </c>
      <c r="AZ23" s="1" t="s">
        <v>636</v>
      </c>
      <c r="BA23" s="1" t="s">
        <v>229</v>
      </c>
      <c r="BB23" s="1">
        <v>68.2</v>
      </c>
      <c r="BC23" s="1">
        <v>7.57</v>
      </c>
      <c r="BD23" s="1"/>
      <c r="BE23" s="1"/>
      <c r="BF23" s="1"/>
      <c r="BG23" s="1"/>
      <c r="BH23" s="1"/>
      <c r="BI23" s="1"/>
      <c r="BJ23" s="1" t="s">
        <v>637</v>
      </c>
      <c r="BK23" s="1" t="s">
        <v>638</v>
      </c>
      <c r="BL23" s="1" t="s">
        <v>639</v>
      </c>
      <c r="BM23" s="1" t="s">
        <v>640</v>
      </c>
      <c r="BN23" s="1">
        <v>8</v>
      </c>
      <c r="BO23" s="1" t="s">
        <v>641</v>
      </c>
      <c r="BP23" s="1" t="str">
        <f>HYPERLINK("https://nconnect.nicmar.ac.in/storage/profile/6a210ba0cac18.png","Download")</f>
        <v>0</v>
      </c>
      <c r="BQ23" s="3"/>
      <c r="BR23" s="3"/>
    </row>
    <row r="24" spans="1:70">
      <c r="A24" s="1" t="s">
        <v>552</v>
      </c>
      <c r="B24" s="1" t="s">
        <v>71</v>
      </c>
      <c r="C24" s="1" t="s">
        <v>642</v>
      </c>
      <c r="D24" s="1" t="s">
        <v>643</v>
      </c>
      <c r="E24" s="1" t="s">
        <v>392</v>
      </c>
      <c r="F24" s="1" t="s">
        <v>644</v>
      </c>
      <c r="G24" s="1" t="s">
        <v>645</v>
      </c>
      <c r="H24" s="1" t="s">
        <v>646</v>
      </c>
      <c r="I24" s="1" t="s">
        <v>646</v>
      </c>
      <c r="J24" s="1">
        <v>8657223200</v>
      </c>
      <c r="K24" s="1" t="s">
        <v>79</v>
      </c>
      <c r="L24" s="1" t="s">
        <v>647</v>
      </c>
      <c r="M24" s="1" t="s">
        <v>81</v>
      </c>
      <c r="N24" s="1" t="s">
        <v>493</v>
      </c>
      <c r="O24" s="1" t="s">
        <v>83</v>
      </c>
      <c r="P24" s="1" t="s">
        <v>214</v>
      </c>
      <c r="Q24" s="1" t="s">
        <v>648</v>
      </c>
      <c r="R24" s="1" t="s">
        <v>392</v>
      </c>
      <c r="S24" s="1">
        <v>8087526200</v>
      </c>
      <c r="T24" s="1" t="s">
        <v>649</v>
      </c>
      <c r="U24" s="1" t="s">
        <v>650</v>
      </c>
      <c r="V24" s="1">
        <v>9960104200</v>
      </c>
      <c r="W24" s="1" t="s">
        <v>651</v>
      </c>
      <c r="X24" s="1" t="s">
        <v>652</v>
      </c>
      <c r="Y24" s="1" t="s">
        <v>523</v>
      </c>
      <c r="Z24" s="1" t="s">
        <v>92</v>
      </c>
      <c r="AA24" s="1" t="s">
        <v>652</v>
      </c>
      <c r="AB24" s="1" t="s">
        <v>523</v>
      </c>
      <c r="AC24" s="1" t="s">
        <v>92</v>
      </c>
      <c r="AD24" s="1" t="s">
        <v>93</v>
      </c>
      <c r="AE24" s="1" t="s">
        <v>93</v>
      </c>
      <c r="AF24" s="1" t="s">
        <v>653</v>
      </c>
      <c r="AG24" s="1" t="s">
        <v>654</v>
      </c>
      <c r="AH24" s="1" t="s">
        <v>655</v>
      </c>
      <c r="AI24" s="1" t="s">
        <v>331</v>
      </c>
      <c r="AJ24" s="1">
        <v>77.9</v>
      </c>
      <c r="AK24" s="1">
        <v>8.2</v>
      </c>
      <c r="AL24" s="1" t="s">
        <v>656</v>
      </c>
      <c r="AM24" s="1" t="s">
        <v>654</v>
      </c>
      <c r="AN24" s="1" t="s">
        <v>657</v>
      </c>
      <c r="AO24" s="1" t="s">
        <v>658</v>
      </c>
      <c r="AP24" s="1">
        <v>69.0</v>
      </c>
      <c r="AQ24" s="1">
        <v>0.0</v>
      </c>
      <c r="AR24" s="1"/>
      <c r="AS24" s="1"/>
      <c r="AT24" s="1"/>
      <c r="AU24" s="1"/>
      <c r="AV24" s="1"/>
      <c r="AW24" s="1"/>
      <c r="AX24" s="1" t="s">
        <v>659</v>
      </c>
      <c r="AY24" s="1" t="s">
        <v>660</v>
      </c>
      <c r="AZ24" s="1" t="s">
        <v>661</v>
      </c>
      <c r="BA24" s="1" t="s">
        <v>100</v>
      </c>
      <c r="BB24" s="1">
        <v>70.24</v>
      </c>
      <c r="BC24" s="1">
        <v>0.0</v>
      </c>
      <c r="BD24" s="1"/>
      <c r="BE24" s="1"/>
      <c r="BF24" s="1"/>
      <c r="BG24" s="1"/>
      <c r="BH24" s="1"/>
      <c r="BI24" s="1"/>
      <c r="BJ24" s="1" t="s">
        <v>662</v>
      </c>
      <c r="BK24" s="1" t="s">
        <v>663</v>
      </c>
      <c r="BL24" s="1" t="s">
        <v>664</v>
      </c>
      <c r="BM24" s="1"/>
      <c r="BN24" s="1"/>
      <c r="BO24" s="1" t="s">
        <v>665</v>
      </c>
      <c r="BP24" s="1" t="str">
        <f>HYPERLINK("https://nconnect.nicmar.ac.in/storage/profile/6a21173ac4788.png","Download")</f>
        <v>0</v>
      </c>
      <c r="BQ24" s="3"/>
      <c r="BR24" s="3"/>
    </row>
    <row r="25" spans="1:70">
      <c r="A25" s="1" t="s">
        <v>552</v>
      </c>
      <c r="B25" s="1" t="s">
        <v>71</v>
      </c>
      <c r="C25" s="1" t="s">
        <v>666</v>
      </c>
      <c r="D25" s="1" t="s">
        <v>667</v>
      </c>
      <c r="E25" s="1" t="s">
        <v>668</v>
      </c>
      <c r="F25" s="1" t="s">
        <v>669</v>
      </c>
      <c r="G25" s="1" t="s">
        <v>670</v>
      </c>
      <c r="H25" s="1" t="s">
        <v>671</v>
      </c>
      <c r="I25" s="1" t="s">
        <v>671</v>
      </c>
      <c r="J25" s="1">
        <v>9850877662</v>
      </c>
      <c r="K25" s="1" t="s">
        <v>79</v>
      </c>
      <c r="L25" s="1" t="s">
        <v>672</v>
      </c>
      <c r="M25" s="1" t="s">
        <v>81</v>
      </c>
      <c r="N25" s="1" t="s">
        <v>538</v>
      </c>
      <c r="O25" s="1" t="s">
        <v>83</v>
      </c>
      <c r="P25" s="1" t="s">
        <v>84</v>
      </c>
      <c r="Q25" s="1" t="s">
        <v>673</v>
      </c>
      <c r="R25" s="1" t="s">
        <v>668</v>
      </c>
      <c r="S25" s="1">
        <v>9822189385</v>
      </c>
      <c r="T25" s="1" t="s">
        <v>674</v>
      </c>
      <c r="U25" s="1" t="s">
        <v>675</v>
      </c>
      <c r="V25" s="1">
        <v>8483099147</v>
      </c>
      <c r="W25" s="1" t="s">
        <v>156</v>
      </c>
      <c r="X25" s="1" t="s">
        <v>676</v>
      </c>
      <c r="Y25" s="1" t="s">
        <v>523</v>
      </c>
      <c r="Z25" s="1" t="s">
        <v>92</v>
      </c>
      <c r="AA25" s="1" t="s">
        <v>676</v>
      </c>
      <c r="AB25" s="1" t="s">
        <v>523</v>
      </c>
      <c r="AC25" s="1" t="s">
        <v>92</v>
      </c>
      <c r="AD25" s="1" t="s">
        <v>93</v>
      </c>
      <c r="AE25" s="1" t="s">
        <v>93</v>
      </c>
      <c r="AF25" s="1" t="s">
        <v>677</v>
      </c>
      <c r="AG25" s="1" t="s">
        <v>476</v>
      </c>
      <c r="AH25" s="1" t="s">
        <v>678</v>
      </c>
      <c r="AI25" s="1" t="s">
        <v>281</v>
      </c>
      <c r="AJ25" s="1">
        <v>66.8</v>
      </c>
      <c r="AK25" s="1">
        <v>0.0</v>
      </c>
      <c r="AL25" s="1" t="s">
        <v>679</v>
      </c>
      <c r="AM25" s="1" t="s">
        <v>476</v>
      </c>
      <c r="AN25" s="1" t="s">
        <v>409</v>
      </c>
      <c r="AO25" s="1" t="s">
        <v>360</v>
      </c>
      <c r="AP25" s="1">
        <v>54.46</v>
      </c>
      <c r="AQ25" s="1"/>
      <c r="AR25" s="1"/>
      <c r="AS25" s="1"/>
      <c r="AT25" s="1"/>
      <c r="AU25" s="1"/>
      <c r="AV25" s="1"/>
      <c r="AW25" s="1"/>
      <c r="AX25" s="1" t="s">
        <v>680</v>
      </c>
      <c r="AY25" s="1" t="s">
        <v>680</v>
      </c>
      <c r="AZ25" s="1" t="s">
        <v>681</v>
      </c>
      <c r="BA25" s="1" t="s">
        <v>682</v>
      </c>
      <c r="BB25" s="1">
        <v>77.9</v>
      </c>
      <c r="BC25" s="1"/>
      <c r="BD25" s="1"/>
      <c r="BE25" s="1"/>
      <c r="BF25" s="1"/>
      <c r="BG25" s="1"/>
      <c r="BH25" s="1"/>
      <c r="BI25" s="1"/>
      <c r="BJ25" s="1" t="s">
        <v>683</v>
      </c>
      <c r="BK25" s="1"/>
      <c r="BL25" s="1"/>
      <c r="BM25" s="1" t="s">
        <v>684</v>
      </c>
      <c r="BN25" s="1">
        <v>16</v>
      </c>
      <c r="BO25" s="1"/>
      <c r="BP25" s="1" t="str">
        <f>HYPERLINK("https://nconnect.nicmar.ac.in/storage/profile/6a211eb83dc01.png","Download")</f>
        <v>0</v>
      </c>
      <c r="BQ25" s="3"/>
      <c r="BR25" s="3"/>
    </row>
    <row r="26" spans="1:70">
      <c r="A26" s="1" t="s">
        <v>552</v>
      </c>
      <c r="B26" s="1" t="s">
        <v>71</v>
      </c>
      <c r="C26" s="1" t="s">
        <v>685</v>
      </c>
      <c r="D26" s="1" t="s">
        <v>686</v>
      </c>
      <c r="E26" s="1"/>
      <c r="F26" s="1" t="s">
        <v>687</v>
      </c>
      <c r="G26" s="1" t="s">
        <v>688</v>
      </c>
      <c r="H26" s="1" t="s">
        <v>689</v>
      </c>
      <c r="I26" s="1" t="s">
        <v>689</v>
      </c>
      <c r="J26" s="1">
        <v>9960999913</v>
      </c>
      <c r="K26" s="1" t="s">
        <v>79</v>
      </c>
      <c r="L26" s="1" t="s">
        <v>690</v>
      </c>
      <c r="M26" s="1" t="s">
        <v>81</v>
      </c>
      <c r="N26" s="1" t="s">
        <v>493</v>
      </c>
      <c r="O26" s="1" t="s">
        <v>83</v>
      </c>
      <c r="P26" s="1" t="s">
        <v>214</v>
      </c>
      <c r="Q26" s="1" t="s">
        <v>691</v>
      </c>
      <c r="R26" s="1" t="s">
        <v>692</v>
      </c>
      <c r="S26" s="1">
        <v>9890841349</v>
      </c>
      <c r="T26" s="1" t="s">
        <v>154</v>
      </c>
      <c r="U26" s="1" t="s">
        <v>693</v>
      </c>
      <c r="V26" s="1">
        <v>7686868181</v>
      </c>
      <c r="W26" s="1" t="s">
        <v>89</v>
      </c>
      <c r="X26" s="1" t="s">
        <v>694</v>
      </c>
      <c r="Y26" s="1" t="s">
        <v>523</v>
      </c>
      <c r="Z26" s="1" t="s">
        <v>92</v>
      </c>
      <c r="AA26" s="1" t="s">
        <v>694</v>
      </c>
      <c r="AB26" s="1" t="s">
        <v>523</v>
      </c>
      <c r="AC26" s="1" t="s">
        <v>92</v>
      </c>
      <c r="AD26" s="1" t="s">
        <v>93</v>
      </c>
      <c r="AE26" s="1" t="s">
        <v>93</v>
      </c>
      <c r="AF26" s="1" t="s">
        <v>695</v>
      </c>
      <c r="AG26" s="1" t="s">
        <v>696</v>
      </c>
      <c r="AH26" s="1" t="s">
        <v>225</v>
      </c>
      <c r="AI26" s="1" t="s">
        <v>101</v>
      </c>
      <c r="AJ26" s="1">
        <v>73.8</v>
      </c>
      <c r="AK26" s="1"/>
      <c r="AL26" s="1" t="s">
        <v>697</v>
      </c>
      <c r="AM26" s="1" t="s">
        <v>698</v>
      </c>
      <c r="AN26" s="1" t="s">
        <v>433</v>
      </c>
      <c r="AO26" s="1" t="s">
        <v>699</v>
      </c>
      <c r="AP26" s="1">
        <v>55.08</v>
      </c>
      <c r="AQ26" s="1"/>
      <c r="AR26" s="1"/>
      <c r="AS26" s="1"/>
      <c r="AT26" s="1"/>
      <c r="AU26" s="1"/>
      <c r="AV26" s="1"/>
      <c r="AW26" s="1"/>
      <c r="AX26" s="1" t="s">
        <v>700</v>
      </c>
      <c r="AY26" s="1" t="s">
        <v>701</v>
      </c>
      <c r="AZ26" s="1" t="s">
        <v>681</v>
      </c>
      <c r="BA26" s="1" t="s">
        <v>702</v>
      </c>
      <c r="BB26" s="1">
        <v>66.57</v>
      </c>
      <c r="BC26" s="1">
        <v>7.48</v>
      </c>
      <c r="BD26" s="1"/>
      <c r="BE26" s="1"/>
      <c r="BF26" s="1"/>
      <c r="BG26" s="1"/>
      <c r="BH26" s="1"/>
      <c r="BI26" s="1"/>
      <c r="BJ26" s="1" t="s">
        <v>703</v>
      </c>
      <c r="BK26" s="1"/>
      <c r="BL26" s="1"/>
      <c r="BM26" s="1" t="s">
        <v>704</v>
      </c>
      <c r="BN26" s="1">
        <v>32</v>
      </c>
      <c r="BO26" s="1" t="s">
        <v>705</v>
      </c>
      <c r="BP26" s="1" t="str">
        <f>HYPERLINK("https://nconnect.nicmar.ac.in/storage/profile/6a21248d96303.png","Download")</f>
        <v>0</v>
      </c>
      <c r="BQ26" s="3"/>
      <c r="BR26" s="3"/>
    </row>
    <row r="27" spans="1:70">
      <c r="A27" s="1" t="s">
        <v>552</v>
      </c>
      <c r="B27" s="1" t="s">
        <v>71</v>
      </c>
      <c r="C27" s="1" t="s">
        <v>706</v>
      </c>
      <c r="D27" s="1" t="s">
        <v>707</v>
      </c>
      <c r="E27" s="1"/>
      <c r="F27" s="1" t="s">
        <v>345</v>
      </c>
      <c r="G27" s="1" t="s">
        <v>708</v>
      </c>
      <c r="H27" s="1" t="s">
        <v>709</v>
      </c>
      <c r="I27" s="1" t="s">
        <v>709</v>
      </c>
      <c r="J27" s="1">
        <v>7982962539</v>
      </c>
      <c r="K27" s="1" t="s">
        <v>79</v>
      </c>
      <c r="L27" s="1" t="s">
        <v>710</v>
      </c>
      <c r="M27" s="1" t="s">
        <v>81</v>
      </c>
      <c r="N27" s="1" t="s">
        <v>493</v>
      </c>
      <c r="O27" s="1" t="s">
        <v>711</v>
      </c>
      <c r="P27" s="1" t="s">
        <v>117</v>
      </c>
      <c r="Q27" s="1" t="s">
        <v>712</v>
      </c>
      <c r="R27" s="1" t="s">
        <v>713</v>
      </c>
      <c r="S27" s="1">
        <v>8447881811</v>
      </c>
      <c r="T27" s="1" t="s">
        <v>714</v>
      </c>
      <c r="U27" s="1" t="s">
        <v>715</v>
      </c>
      <c r="V27" s="1">
        <v>7827282098</v>
      </c>
      <c r="W27" s="1" t="s">
        <v>716</v>
      </c>
      <c r="X27" s="1" t="s">
        <v>717</v>
      </c>
      <c r="Y27" s="1" t="s">
        <v>718</v>
      </c>
      <c r="Z27" s="1" t="s">
        <v>719</v>
      </c>
      <c r="AA27" s="1" t="s">
        <v>720</v>
      </c>
      <c r="AB27" s="1" t="s">
        <v>721</v>
      </c>
      <c r="AC27" s="1" t="s">
        <v>722</v>
      </c>
      <c r="AD27" s="1" t="s">
        <v>93</v>
      </c>
      <c r="AE27" s="1" t="s">
        <v>93</v>
      </c>
      <c r="AF27" s="1" t="s">
        <v>723</v>
      </c>
      <c r="AG27" s="1" t="s">
        <v>307</v>
      </c>
      <c r="AH27" s="1" t="s">
        <v>724</v>
      </c>
      <c r="AI27" s="1" t="s">
        <v>725</v>
      </c>
      <c r="AJ27" s="1">
        <v>64.6</v>
      </c>
      <c r="AK27" s="1"/>
      <c r="AL27" s="1" t="s">
        <v>723</v>
      </c>
      <c r="AM27" s="1" t="s">
        <v>307</v>
      </c>
      <c r="AN27" s="1" t="s">
        <v>726</v>
      </c>
      <c r="AO27" s="1" t="s">
        <v>727</v>
      </c>
      <c r="AP27" s="1">
        <v>68.5</v>
      </c>
      <c r="AQ27" s="1"/>
      <c r="AR27" s="1"/>
      <c r="AS27" s="1"/>
      <c r="AT27" s="1"/>
      <c r="AU27" s="1"/>
      <c r="AV27" s="1"/>
      <c r="AW27" s="1"/>
      <c r="AX27" s="1" t="s">
        <v>728</v>
      </c>
      <c r="AY27" s="1" t="s">
        <v>729</v>
      </c>
      <c r="AZ27" s="1" t="s">
        <v>249</v>
      </c>
      <c r="BA27" s="1" t="s">
        <v>730</v>
      </c>
      <c r="BB27" s="1">
        <v>55.2</v>
      </c>
      <c r="BC27" s="1"/>
      <c r="BD27" s="1" t="s">
        <v>731</v>
      </c>
      <c r="BE27" s="1" t="s">
        <v>732</v>
      </c>
      <c r="BF27" s="1" t="s">
        <v>733</v>
      </c>
      <c r="BG27" s="1" t="s">
        <v>101</v>
      </c>
      <c r="BH27" s="1">
        <v>60.88</v>
      </c>
      <c r="BI27" s="1"/>
      <c r="BJ27" s="1" t="s">
        <v>734</v>
      </c>
      <c r="BK27" s="1" t="s">
        <v>735</v>
      </c>
      <c r="BL27" s="1" t="s">
        <v>736</v>
      </c>
      <c r="BM27" s="1" t="s">
        <v>737</v>
      </c>
      <c r="BN27" s="1">
        <v>10</v>
      </c>
      <c r="BO27" s="1" t="s">
        <v>738</v>
      </c>
      <c r="BP27" s="1" t="str">
        <f>HYPERLINK("https://nconnect.nicmar.ac.in/storage/profile/6a213e6b214b4.png","Download")</f>
        <v>0</v>
      </c>
      <c r="BQ27" s="3"/>
      <c r="BR27" s="3"/>
    </row>
    <row r="28" spans="1:70">
      <c r="A28" s="1" t="s">
        <v>552</v>
      </c>
      <c r="B28" s="1" t="s">
        <v>71</v>
      </c>
      <c r="C28" s="1" t="s">
        <v>739</v>
      </c>
      <c r="D28" s="1" t="s">
        <v>740</v>
      </c>
      <c r="E28" s="1"/>
      <c r="F28" s="1" t="s">
        <v>741</v>
      </c>
      <c r="G28" s="1" t="s">
        <v>742</v>
      </c>
      <c r="H28" s="1" t="s">
        <v>743</v>
      </c>
      <c r="I28" s="1" t="s">
        <v>743</v>
      </c>
      <c r="J28" s="1">
        <v>9623930761</v>
      </c>
      <c r="K28" s="1" t="s">
        <v>79</v>
      </c>
      <c r="L28" s="1" t="s">
        <v>744</v>
      </c>
      <c r="M28" s="1" t="s">
        <v>81</v>
      </c>
      <c r="N28" s="1" t="s">
        <v>493</v>
      </c>
      <c r="O28" s="1" t="s">
        <v>152</v>
      </c>
      <c r="P28" s="1" t="s">
        <v>214</v>
      </c>
      <c r="Q28" s="1" t="s">
        <v>745</v>
      </c>
      <c r="R28" s="1" t="s">
        <v>746</v>
      </c>
      <c r="S28" s="1">
        <v>9975643041</v>
      </c>
      <c r="T28" s="1" t="s">
        <v>120</v>
      </c>
      <c r="U28" s="1" t="s">
        <v>301</v>
      </c>
      <c r="V28" s="1">
        <v>9637643041</v>
      </c>
      <c r="W28" s="1" t="s">
        <v>89</v>
      </c>
      <c r="X28" s="1" t="s">
        <v>747</v>
      </c>
      <c r="Y28" s="1" t="s">
        <v>405</v>
      </c>
      <c r="Z28" s="1" t="s">
        <v>92</v>
      </c>
      <c r="AA28" s="1" t="s">
        <v>747</v>
      </c>
      <c r="AB28" s="1" t="s">
        <v>405</v>
      </c>
      <c r="AC28" s="1" t="s">
        <v>92</v>
      </c>
      <c r="AD28" s="1" t="s">
        <v>93</v>
      </c>
      <c r="AE28" s="1" t="s">
        <v>93</v>
      </c>
      <c r="AF28" s="1" t="s">
        <v>748</v>
      </c>
      <c r="AG28" s="1" t="s">
        <v>307</v>
      </c>
      <c r="AH28" s="1" t="s">
        <v>733</v>
      </c>
      <c r="AI28" s="1" t="s">
        <v>165</v>
      </c>
      <c r="AJ28" s="1">
        <v>79.8</v>
      </c>
      <c r="AK28" s="1">
        <v>8.4</v>
      </c>
      <c r="AL28" s="1" t="s">
        <v>749</v>
      </c>
      <c r="AM28" s="1" t="s">
        <v>750</v>
      </c>
      <c r="AN28" s="1" t="s">
        <v>169</v>
      </c>
      <c r="AO28" s="1" t="s">
        <v>308</v>
      </c>
      <c r="AP28" s="1">
        <v>54.15</v>
      </c>
      <c r="AQ28" s="1"/>
      <c r="AR28" s="1"/>
      <c r="AS28" s="1"/>
      <c r="AT28" s="1"/>
      <c r="AU28" s="1"/>
      <c r="AV28" s="1"/>
      <c r="AW28" s="1"/>
      <c r="AX28" s="1" t="s">
        <v>410</v>
      </c>
      <c r="AY28" s="1" t="s">
        <v>751</v>
      </c>
      <c r="AZ28" s="1" t="s">
        <v>173</v>
      </c>
      <c r="BA28" s="1" t="s">
        <v>229</v>
      </c>
      <c r="BB28" s="1">
        <v>78.1</v>
      </c>
      <c r="BC28" s="1"/>
      <c r="BD28" s="1"/>
      <c r="BE28" s="1"/>
      <c r="BF28" s="1"/>
      <c r="BG28" s="1"/>
      <c r="BH28" s="1"/>
      <c r="BI28" s="1"/>
      <c r="BJ28" s="1" t="s">
        <v>734</v>
      </c>
      <c r="BK28" s="1"/>
      <c r="BL28" s="1"/>
      <c r="BM28" s="1" t="s">
        <v>752</v>
      </c>
      <c r="BN28" s="1">
        <v>8</v>
      </c>
      <c r="BO28" s="1" t="s">
        <v>753</v>
      </c>
      <c r="BP28" s="1" t="str">
        <f>HYPERLINK("https://nconnect.nicmar.ac.in/storage/profile/6a2144da8acc0.png","Download")</f>
        <v>0</v>
      </c>
      <c r="BQ28" s="3"/>
      <c r="BR28" s="3"/>
    </row>
    <row r="29" spans="1:70">
      <c r="A29" s="1" t="s">
        <v>552</v>
      </c>
      <c r="B29" s="1" t="s">
        <v>71</v>
      </c>
      <c r="C29" s="1" t="s">
        <v>754</v>
      </c>
      <c r="D29" s="1" t="s">
        <v>755</v>
      </c>
      <c r="E29" s="1" t="s">
        <v>756</v>
      </c>
      <c r="F29" s="1" t="s">
        <v>757</v>
      </c>
      <c r="G29" s="1" t="s">
        <v>758</v>
      </c>
      <c r="H29" s="1" t="s">
        <v>759</v>
      </c>
      <c r="I29" s="1" t="s">
        <v>759</v>
      </c>
      <c r="J29" s="1">
        <v>9372626547</v>
      </c>
      <c r="K29" s="1" t="s">
        <v>79</v>
      </c>
      <c r="L29" s="1" t="s">
        <v>760</v>
      </c>
      <c r="M29" s="1" t="s">
        <v>81</v>
      </c>
      <c r="N29" s="1" t="s">
        <v>761</v>
      </c>
      <c r="O29" s="1" t="s">
        <v>152</v>
      </c>
      <c r="P29" s="1" t="s">
        <v>84</v>
      </c>
      <c r="Q29" s="1" t="s">
        <v>762</v>
      </c>
      <c r="R29" s="1" t="s">
        <v>756</v>
      </c>
      <c r="S29" s="1">
        <v>7977916384</v>
      </c>
      <c r="T29" s="1" t="s">
        <v>763</v>
      </c>
      <c r="U29" s="1" t="s">
        <v>764</v>
      </c>
      <c r="V29" s="1">
        <v>9082010533</v>
      </c>
      <c r="W29" s="1" t="s">
        <v>651</v>
      </c>
      <c r="X29" s="1" t="s">
        <v>765</v>
      </c>
      <c r="Y29" s="1" t="s">
        <v>766</v>
      </c>
      <c r="Z29" s="1" t="s">
        <v>92</v>
      </c>
      <c r="AA29" s="1" t="s">
        <v>765</v>
      </c>
      <c r="AB29" s="1" t="s">
        <v>766</v>
      </c>
      <c r="AC29" s="1" t="s">
        <v>92</v>
      </c>
      <c r="AD29" s="1" t="s">
        <v>93</v>
      </c>
      <c r="AE29" s="1" t="s">
        <v>93</v>
      </c>
      <c r="AF29" s="1" t="s">
        <v>767</v>
      </c>
      <c r="AG29" s="1" t="s">
        <v>160</v>
      </c>
      <c r="AH29" s="1" t="s">
        <v>162</v>
      </c>
      <c r="AI29" s="1" t="s">
        <v>479</v>
      </c>
      <c r="AJ29" s="1">
        <v>75.4</v>
      </c>
      <c r="AK29" s="1"/>
      <c r="AL29" s="1" t="s">
        <v>768</v>
      </c>
      <c r="AM29" s="1" t="s">
        <v>160</v>
      </c>
      <c r="AN29" s="1" t="s">
        <v>479</v>
      </c>
      <c r="AO29" s="1" t="s">
        <v>308</v>
      </c>
      <c r="AP29" s="1">
        <v>57.38</v>
      </c>
      <c r="AQ29" s="1"/>
      <c r="AR29" s="1"/>
      <c r="AS29" s="1"/>
      <c r="AT29" s="1"/>
      <c r="AU29" s="1"/>
      <c r="AV29" s="1"/>
      <c r="AW29" s="1"/>
      <c r="AX29" s="1" t="s">
        <v>253</v>
      </c>
      <c r="AY29" s="1" t="s">
        <v>769</v>
      </c>
      <c r="AZ29" s="1" t="s">
        <v>201</v>
      </c>
      <c r="BA29" s="1" t="s">
        <v>682</v>
      </c>
      <c r="BB29" s="1">
        <v>69.62</v>
      </c>
      <c r="BC29" s="1">
        <v>7.92</v>
      </c>
      <c r="BD29" s="1"/>
      <c r="BE29" s="1"/>
      <c r="BF29" s="1"/>
      <c r="BG29" s="1"/>
      <c r="BH29" s="1"/>
      <c r="BI29" s="1"/>
      <c r="BJ29" s="1" t="s">
        <v>255</v>
      </c>
      <c r="BK29" s="1"/>
      <c r="BL29" s="1"/>
      <c r="BM29" s="1" t="s">
        <v>770</v>
      </c>
      <c r="BN29" s="1">
        <v>35</v>
      </c>
      <c r="BO29" s="1" t="s">
        <v>771</v>
      </c>
      <c r="BP29" s="1" t="str">
        <f>HYPERLINK("https://nconnect.nicmar.ac.in/storage/profile/6a215333ef911.png","Download")</f>
        <v>0</v>
      </c>
      <c r="BQ29" s="3"/>
      <c r="BR29" s="3"/>
    </row>
    <row r="30" spans="1:70">
      <c r="A30" s="1" t="s">
        <v>552</v>
      </c>
      <c r="B30" s="1" t="s">
        <v>71</v>
      </c>
      <c r="C30" s="1" t="s">
        <v>772</v>
      </c>
      <c r="D30" s="1" t="s">
        <v>773</v>
      </c>
      <c r="E30" s="1"/>
      <c r="F30" s="1" t="s">
        <v>774</v>
      </c>
      <c r="G30" s="1" t="s">
        <v>775</v>
      </c>
      <c r="H30" s="1" t="s">
        <v>776</v>
      </c>
      <c r="I30" s="1" t="s">
        <v>776</v>
      </c>
      <c r="J30" s="1">
        <v>6297795289</v>
      </c>
      <c r="K30" s="1" t="s">
        <v>79</v>
      </c>
      <c r="L30" s="1" t="s">
        <v>777</v>
      </c>
      <c r="M30" s="1" t="s">
        <v>81</v>
      </c>
      <c r="N30" s="1" t="s">
        <v>493</v>
      </c>
      <c r="O30" s="1" t="s">
        <v>152</v>
      </c>
      <c r="P30" s="1" t="s">
        <v>84</v>
      </c>
      <c r="Q30" s="1" t="s">
        <v>778</v>
      </c>
      <c r="R30" s="1" t="s">
        <v>779</v>
      </c>
      <c r="S30" s="1">
        <v>9732668113</v>
      </c>
      <c r="T30" s="1" t="s">
        <v>496</v>
      </c>
      <c r="U30" s="1" t="s">
        <v>780</v>
      </c>
      <c r="V30" s="1">
        <v>7479093287</v>
      </c>
      <c r="W30" s="1" t="s">
        <v>273</v>
      </c>
      <c r="X30" s="1" t="s">
        <v>781</v>
      </c>
      <c r="Y30" s="1" t="s">
        <v>782</v>
      </c>
      <c r="Z30" s="1" t="s">
        <v>783</v>
      </c>
      <c r="AA30" s="1" t="s">
        <v>781</v>
      </c>
      <c r="AB30" s="1" t="s">
        <v>782</v>
      </c>
      <c r="AC30" s="1" t="s">
        <v>783</v>
      </c>
      <c r="AD30" s="1" t="s">
        <v>93</v>
      </c>
      <c r="AE30" s="1" t="s">
        <v>93</v>
      </c>
      <c r="AF30" s="1" t="s">
        <v>784</v>
      </c>
      <c r="AG30" s="1" t="s">
        <v>785</v>
      </c>
      <c r="AH30" s="1" t="s">
        <v>786</v>
      </c>
      <c r="AI30" s="1" t="s">
        <v>479</v>
      </c>
      <c r="AJ30" s="1">
        <v>72.57</v>
      </c>
      <c r="AK30" s="1"/>
      <c r="AL30" s="1" t="s">
        <v>784</v>
      </c>
      <c r="AM30" s="1" t="s">
        <v>787</v>
      </c>
      <c r="AN30" s="1" t="s">
        <v>281</v>
      </c>
      <c r="AO30" s="1" t="s">
        <v>308</v>
      </c>
      <c r="AP30" s="1">
        <v>74.33</v>
      </c>
      <c r="AQ30" s="1"/>
      <c r="AR30" s="1"/>
      <c r="AS30" s="1"/>
      <c r="AT30" s="1"/>
      <c r="AU30" s="1"/>
      <c r="AV30" s="1"/>
      <c r="AW30" s="1"/>
      <c r="AX30" s="1" t="s">
        <v>788</v>
      </c>
      <c r="AY30" s="1" t="s">
        <v>789</v>
      </c>
      <c r="AZ30" s="1" t="s">
        <v>433</v>
      </c>
      <c r="BA30" s="1" t="s">
        <v>481</v>
      </c>
      <c r="BB30" s="1">
        <v>74.4</v>
      </c>
      <c r="BC30" s="1">
        <v>7.94</v>
      </c>
      <c r="BD30" s="1"/>
      <c r="BE30" s="1"/>
      <c r="BF30" s="1"/>
      <c r="BG30" s="1"/>
      <c r="BH30" s="1"/>
      <c r="BI30" s="1"/>
      <c r="BJ30" s="1" t="s">
        <v>790</v>
      </c>
      <c r="BK30" s="1"/>
      <c r="BL30" s="1"/>
      <c r="BM30" s="1" t="s">
        <v>791</v>
      </c>
      <c r="BN30" s="1">
        <v>7</v>
      </c>
      <c r="BO30" s="1"/>
      <c r="BP30" s="1" t="str">
        <f>HYPERLINK("https://nconnect.nicmar.ac.in/storage/profile/6a215af3bfa89.png","Download")</f>
        <v>0</v>
      </c>
      <c r="BQ30" s="3"/>
      <c r="BR30" s="3"/>
    </row>
    <row r="31" spans="1:70">
      <c r="A31" s="1" t="s">
        <v>552</v>
      </c>
      <c r="B31" s="1" t="s">
        <v>71</v>
      </c>
      <c r="C31" s="1" t="s">
        <v>792</v>
      </c>
      <c r="D31" s="1" t="s">
        <v>793</v>
      </c>
      <c r="E31" s="1" t="s">
        <v>794</v>
      </c>
      <c r="F31" s="1" t="s">
        <v>795</v>
      </c>
      <c r="G31" s="1" t="s">
        <v>796</v>
      </c>
      <c r="H31" s="1" t="s">
        <v>797</v>
      </c>
      <c r="I31" s="1" t="s">
        <v>798</v>
      </c>
      <c r="J31" s="1">
        <v>8830674430</v>
      </c>
      <c r="K31" s="1" t="s">
        <v>79</v>
      </c>
      <c r="L31" s="1" t="s">
        <v>799</v>
      </c>
      <c r="M31" s="1" t="s">
        <v>81</v>
      </c>
      <c r="N31" s="1" t="s">
        <v>800</v>
      </c>
      <c r="O31" s="1" t="s">
        <v>801</v>
      </c>
      <c r="P31" s="1" t="s">
        <v>117</v>
      </c>
      <c r="Q31" s="1" t="s">
        <v>802</v>
      </c>
      <c r="R31" s="1" t="s">
        <v>803</v>
      </c>
      <c r="S31" s="1">
        <v>9421678197</v>
      </c>
      <c r="T31" s="1" t="s">
        <v>804</v>
      </c>
      <c r="U31" s="1" t="s">
        <v>805</v>
      </c>
      <c r="V31" s="1">
        <v>9422291492</v>
      </c>
      <c r="W31" s="1" t="s">
        <v>806</v>
      </c>
      <c r="X31" s="1" t="s">
        <v>807</v>
      </c>
      <c r="Y31" s="1" t="s">
        <v>91</v>
      </c>
      <c r="Z31" s="1" t="s">
        <v>92</v>
      </c>
      <c r="AA31" s="1" t="s">
        <v>807</v>
      </c>
      <c r="AB31" s="1" t="s">
        <v>91</v>
      </c>
      <c r="AC31" s="1" t="s">
        <v>92</v>
      </c>
      <c r="AD31" s="1" t="s">
        <v>93</v>
      </c>
      <c r="AE31" s="1" t="s">
        <v>93</v>
      </c>
      <c r="AF31" s="1" t="s">
        <v>808</v>
      </c>
      <c r="AG31" s="1" t="s">
        <v>809</v>
      </c>
      <c r="AH31" s="1" t="s">
        <v>96</v>
      </c>
      <c r="AI31" s="1" t="s">
        <v>97</v>
      </c>
      <c r="AJ31" s="1">
        <v>70.2</v>
      </c>
      <c r="AK31" s="1"/>
      <c r="AL31" s="1" t="s">
        <v>810</v>
      </c>
      <c r="AM31" s="1" t="s">
        <v>160</v>
      </c>
      <c r="AN31" s="1" t="s">
        <v>165</v>
      </c>
      <c r="AO31" s="1" t="s">
        <v>101</v>
      </c>
      <c r="AP31" s="1">
        <v>64.31</v>
      </c>
      <c r="AQ31" s="1"/>
      <c r="AR31" s="1"/>
      <c r="AS31" s="1"/>
      <c r="AT31" s="1"/>
      <c r="AU31" s="1"/>
      <c r="AV31" s="1"/>
      <c r="AW31" s="1"/>
      <c r="AX31" s="1" t="s">
        <v>811</v>
      </c>
      <c r="AY31" s="1" t="s">
        <v>812</v>
      </c>
      <c r="AZ31" s="1" t="s">
        <v>169</v>
      </c>
      <c r="BA31" s="1" t="s">
        <v>229</v>
      </c>
      <c r="BB31" s="1">
        <v>54.99</v>
      </c>
      <c r="BC31" s="1">
        <v>7.03</v>
      </c>
      <c r="BD31" s="1"/>
      <c r="BE31" s="1"/>
      <c r="BF31" s="1"/>
      <c r="BG31" s="1"/>
      <c r="BH31" s="1"/>
      <c r="BI31" s="1"/>
      <c r="BJ31" s="1" t="s">
        <v>813</v>
      </c>
      <c r="BK31" s="1"/>
      <c r="BL31" s="1"/>
      <c r="BM31" s="1" t="s">
        <v>814</v>
      </c>
      <c r="BN31" s="1">
        <v>7</v>
      </c>
      <c r="BO31" s="1"/>
      <c r="BP31" s="1" t="str">
        <f>HYPERLINK("https://nconnect.nicmar.ac.in/storage/profile/6a2151e4b96fb.png","Download")</f>
        <v>0</v>
      </c>
      <c r="BQ31" s="3"/>
      <c r="BR31" s="3"/>
    </row>
    <row r="32" spans="1:70">
      <c r="A32" s="1" t="s">
        <v>552</v>
      </c>
      <c r="B32" s="1" t="s">
        <v>71</v>
      </c>
      <c r="C32" s="1" t="s">
        <v>815</v>
      </c>
      <c r="D32" s="1" t="s">
        <v>816</v>
      </c>
      <c r="E32" s="1"/>
      <c r="F32" s="1" t="s">
        <v>236</v>
      </c>
      <c r="G32" s="1" t="s">
        <v>817</v>
      </c>
      <c r="H32" s="1" t="s">
        <v>818</v>
      </c>
      <c r="I32" s="1" t="s">
        <v>819</v>
      </c>
      <c r="J32" s="1">
        <v>7038306695</v>
      </c>
      <c r="K32" s="1" t="s">
        <v>79</v>
      </c>
      <c r="L32" s="1" t="s">
        <v>820</v>
      </c>
      <c r="M32" s="1" t="s">
        <v>81</v>
      </c>
      <c r="N32" s="1" t="s">
        <v>821</v>
      </c>
      <c r="O32" s="1" t="s">
        <v>822</v>
      </c>
      <c r="P32" s="1" t="s">
        <v>214</v>
      </c>
      <c r="Q32" s="1" t="s">
        <v>823</v>
      </c>
      <c r="R32" s="1" t="s">
        <v>824</v>
      </c>
      <c r="S32" s="1">
        <v>9822616855</v>
      </c>
      <c r="T32" s="1" t="s">
        <v>87</v>
      </c>
      <c r="U32" s="1" t="s">
        <v>825</v>
      </c>
      <c r="V32" s="1">
        <v>9850107466</v>
      </c>
      <c r="W32" s="1" t="s">
        <v>89</v>
      </c>
      <c r="X32" s="1" t="s">
        <v>826</v>
      </c>
      <c r="Y32" s="1" t="s">
        <v>191</v>
      </c>
      <c r="Z32" s="1" t="s">
        <v>92</v>
      </c>
      <c r="AA32" s="1" t="s">
        <v>826</v>
      </c>
      <c r="AB32" s="1" t="s">
        <v>191</v>
      </c>
      <c r="AC32" s="1" t="s">
        <v>92</v>
      </c>
      <c r="AD32" s="1" t="s">
        <v>93</v>
      </c>
      <c r="AE32" s="1" t="s">
        <v>93</v>
      </c>
      <c r="AF32" s="1" t="s">
        <v>827</v>
      </c>
      <c r="AG32" s="1" t="s">
        <v>307</v>
      </c>
      <c r="AH32" s="1" t="s">
        <v>678</v>
      </c>
      <c r="AI32" s="1" t="s">
        <v>166</v>
      </c>
      <c r="AJ32" s="1">
        <v>64</v>
      </c>
      <c r="AK32" s="1"/>
      <c r="AL32" s="1" t="s">
        <v>828</v>
      </c>
      <c r="AM32" s="1" t="s">
        <v>829</v>
      </c>
      <c r="AN32" s="1" t="s">
        <v>433</v>
      </c>
      <c r="AO32" s="1" t="s">
        <v>360</v>
      </c>
      <c r="AP32" s="1">
        <v>60</v>
      </c>
      <c r="AQ32" s="1"/>
      <c r="AR32" s="1"/>
      <c r="AS32" s="1"/>
      <c r="AT32" s="1"/>
      <c r="AU32" s="1"/>
      <c r="AV32" s="1"/>
      <c r="AW32" s="1"/>
      <c r="AX32" s="1" t="s">
        <v>830</v>
      </c>
      <c r="AY32" s="1" t="s">
        <v>830</v>
      </c>
      <c r="AZ32" s="1" t="s">
        <v>681</v>
      </c>
      <c r="BA32" s="1" t="s">
        <v>590</v>
      </c>
      <c r="BB32" s="1">
        <v>77.4</v>
      </c>
      <c r="BC32" s="1">
        <v>8.49</v>
      </c>
      <c r="BD32" s="1"/>
      <c r="BE32" s="1"/>
      <c r="BF32" s="1"/>
      <c r="BG32" s="1"/>
      <c r="BH32" s="1"/>
      <c r="BI32" s="1"/>
      <c r="BJ32" s="1" t="s">
        <v>831</v>
      </c>
      <c r="BK32" s="1"/>
      <c r="BL32" s="1"/>
      <c r="BM32" s="1" t="s">
        <v>832</v>
      </c>
      <c r="BN32" s="1">
        <v>18</v>
      </c>
      <c r="BO32" s="1"/>
      <c r="BP32" s="1" t="str">
        <f>HYPERLINK("https://nconnect.nicmar.ac.in/storage/profile/6a213db498d95.png","Download")</f>
        <v>0</v>
      </c>
      <c r="BQ32" s="3"/>
      <c r="BR32" s="3"/>
    </row>
    <row r="33" spans="1:70">
      <c r="A33" s="1" t="s">
        <v>552</v>
      </c>
      <c r="B33" s="1" t="s">
        <v>71</v>
      </c>
      <c r="C33" s="1" t="s">
        <v>833</v>
      </c>
      <c r="D33" s="1" t="s">
        <v>834</v>
      </c>
      <c r="E33" s="1"/>
      <c r="F33" s="1" t="s">
        <v>835</v>
      </c>
      <c r="G33" s="1" t="s">
        <v>836</v>
      </c>
      <c r="H33" s="1" t="s">
        <v>837</v>
      </c>
      <c r="I33" s="1" t="s">
        <v>838</v>
      </c>
      <c r="J33" s="1">
        <v>6299309410</v>
      </c>
      <c r="K33" s="1" t="s">
        <v>148</v>
      </c>
      <c r="L33" s="1" t="s">
        <v>839</v>
      </c>
      <c r="M33" s="1" t="s">
        <v>81</v>
      </c>
      <c r="N33" s="1" t="s">
        <v>493</v>
      </c>
      <c r="O33" s="1" t="s">
        <v>822</v>
      </c>
      <c r="P33" s="1" t="s">
        <v>214</v>
      </c>
      <c r="Q33" s="1" t="s">
        <v>840</v>
      </c>
      <c r="R33" s="1" t="s">
        <v>841</v>
      </c>
      <c r="S33" s="1">
        <v>9262353433</v>
      </c>
      <c r="T33" s="1" t="s">
        <v>842</v>
      </c>
      <c r="U33" s="1" t="s">
        <v>843</v>
      </c>
      <c r="V33" s="1">
        <v>7070780503</v>
      </c>
      <c r="W33" s="1" t="s">
        <v>156</v>
      </c>
      <c r="X33" s="1" t="s">
        <v>844</v>
      </c>
      <c r="Y33" s="1" t="s">
        <v>845</v>
      </c>
      <c r="Z33" s="1" t="s">
        <v>846</v>
      </c>
      <c r="AA33" s="1" t="s">
        <v>844</v>
      </c>
      <c r="AB33" s="1" t="s">
        <v>845</v>
      </c>
      <c r="AC33" s="1" t="s">
        <v>846</v>
      </c>
      <c r="AD33" s="1" t="s">
        <v>93</v>
      </c>
      <c r="AE33" s="1" t="s">
        <v>93</v>
      </c>
      <c r="AF33" s="1" t="s">
        <v>847</v>
      </c>
      <c r="AG33" s="1" t="s">
        <v>848</v>
      </c>
      <c r="AH33" s="1" t="s">
        <v>503</v>
      </c>
      <c r="AI33" s="1" t="s">
        <v>527</v>
      </c>
      <c r="AJ33" s="1">
        <v>81.7</v>
      </c>
      <c r="AK33" s="1">
        <v>8.6</v>
      </c>
      <c r="AL33" s="1" t="s">
        <v>849</v>
      </c>
      <c r="AM33" s="1" t="s">
        <v>848</v>
      </c>
      <c r="AN33" s="1" t="s">
        <v>678</v>
      </c>
      <c r="AO33" s="1" t="s">
        <v>166</v>
      </c>
      <c r="AP33" s="1">
        <v>72.8</v>
      </c>
      <c r="AQ33" s="1"/>
      <c r="AR33" s="1"/>
      <c r="AS33" s="1"/>
      <c r="AT33" s="1"/>
      <c r="AU33" s="1"/>
      <c r="AV33" s="1"/>
      <c r="AW33" s="1"/>
      <c r="AX33" s="1" t="s">
        <v>850</v>
      </c>
      <c r="AY33" s="1" t="s">
        <v>851</v>
      </c>
      <c r="AZ33" s="1" t="s">
        <v>201</v>
      </c>
      <c r="BA33" s="1" t="s">
        <v>436</v>
      </c>
      <c r="BB33" s="1">
        <v>75.84</v>
      </c>
      <c r="BC33" s="1">
        <v>7.53</v>
      </c>
      <c r="BD33" s="1"/>
      <c r="BE33" s="1"/>
      <c r="BF33" s="1"/>
      <c r="BG33" s="1"/>
      <c r="BH33" s="1"/>
      <c r="BI33" s="1"/>
      <c r="BJ33" s="1" t="s">
        <v>591</v>
      </c>
      <c r="BK33" s="1"/>
      <c r="BL33" s="1"/>
      <c r="BM33" s="1" t="s">
        <v>852</v>
      </c>
      <c r="BN33" s="1">
        <v>35</v>
      </c>
      <c r="BO33" s="1"/>
      <c r="BP33" s="1" t="str">
        <f>HYPERLINK("https://nconnect.nicmar.ac.in/storage/profile/6a2122372a8fe.png","Download")</f>
        <v>0</v>
      </c>
      <c r="BQ33" s="3"/>
      <c r="BR33" s="3"/>
    </row>
    <row r="34" spans="1:70">
      <c r="A34" s="1" t="s">
        <v>552</v>
      </c>
      <c r="B34" s="1" t="s">
        <v>71</v>
      </c>
      <c r="C34" s="1" t="s">
        <v>853</v>
      </c>
      <c r="D34" s="1" t="s">
        <v>854</v>
      </c>
      <c r="E34" s="1"/>
      <c r="F34" s="1" t="s">
        <v>855</v>
      </c>
      <c r="G34" s="1" t="s">
        <v>856</v>
      </c>
      <c r="H34" s="1" t="s">
        <v>857</v>
      </c>
      <c r="I34" s="1" t="s">
        <v>858</v>
      </c>
      <c r="J34" s="1">
        <v>9131074814</v>
      </c>
      <c r="K34" s="1" t="s">
        <v>79</v>
      </c>
      <c r="L34" s="1" t="s">
        <v>859</v>
      </c>
      <c r="M34" s="1" t="s">
        <v>81</v>
      </c>
      <c r="N34" s="1" t="s">
        <v>860</v>
      </c>
      <c r="O34" s="1" t="s">
        <v>822</v>
      </c>
      <c r="P34" s="1" t="s">
        <v>214</v>
      </c>
      <c r="Q34" s="1" t="s">
        <v>861</v>
      </c>
      <c r="R34" s="1" t="s">
        <v>862</v>
      </c>
      <c r="S34" s="1">
        <v>9584462986</v>
      </c>
      <c r="T34" s="1" t="s">
        <v>863</v>
      </c>
      <c r="U34" s="1" t="s">
        <v>864</v>
      </c>
      <c r="V34" s="1">
        <v>6230971970</v>
      </c>
      <c r="W34" s="1" t="s">
        <v>89</v>
      </c>
      <c r="X34" s="1" t="s">
        <v>865</v>
      </c>
      <c r="Y34" s="1" t="s">
        <v>866</v>
      </c>
      <c r="Z34" s="1" t="s">
        <v>867</v>
      </c>
      <c r="AA34" s="1" t="s">
        <v>865</v>
      </c>
      <c r="AB34" s="1" t="s">
        <v>866</v>
      </c>
      <c r="AC34" s="1" t="s">
        <v>867</v>
      </c>
      <c r="AD34" s="1" t="s">
        <v>93</v>
      </c>
      <c r="AE34" s="1" t="s">
        <v>93</v>
      </c>
      <c r="AF34" s="1" t="s">
        <v>868</v>
      </c>
      <c r="AG34" s="1" t="s">
        <v>869</v>
      </c>
      <c r="AH34" s="1" t="s">
        <v>162</v>
      </c>
      <c r="AI34" s="1" t="s">
        <v>165</v>
      </c>
      <c r="AJ34" s="1">
        <v>60.8</v>
      </c>
      <c r="AK34" s="1">
        <v>6.4</v>
      </c>
      <c r="AL34" s="1" t="s">
        <v>870</v>
      </c>
      <c r="AM34" s="1" t="s">
        <v>871</v>
      </c>
      <c r="AN34" s="1" t="s">
        <v>636</v>
      </c>
      <c r="AO34" s="1" t="s">
        <v>308</v>
      </c>
      <c r="AP34" s="1">
        <v>59.6</v>
      </c>
      <c r="AQ34" s="1"/>
      <c r="AR34" s="1"/>
      <c r="AS34" s="1"/>
      <c r="AT34" s="1"/>
      <c r="AU34" s="1"/>
      <c r="AV34" s="1"/>
      <c r="AW34" s="1"/>
      <c r="AX34" s="1" t="s">
        <v>872</v>
      </c>
      <c r="AY34" s="1" t="s">
        <v>873</v>
      </c>
      <c r="AZ34" s="1" t="s">
        <v>201</v>
      </c>
      <c r="BA34" s="1" t="s">
        <v>874</v>
      </c>
      <c r="BB34" s="1">
        <v>68.68</v>
      </c>
      <c r="BC34" s="1">
        <v>7.23</v>
      </c>
      <c r="BD34" s="1"/>
      <c r="BE34" s="1"/>
      <c r="BF34" s="1"/>
      <c r="BG34" s="1"/>
      <c r="BH34" s="1"/>
      <c r="BI34" s="1"/>
      <c r="BJ34" s="1" t="s">
        <v>875</v>
      </c>
      <c r="BK34" s="1"/>
      <c r="BL34" s="1"/>
      <c r="BM34" s="1" t="s">
        <v>876</v>
      </c>
      <c r="BN34" s="1">
        <v>17</v>
      </c>
      <c r="BO34" s="1"/>
      <c r="BP34" s="1" t="str">
        <f>HYPERLINK("https://nconnect.nicmar.ac.in/storage/profile/6a2117038be45.png","Download")</f>
        <v>0</v>
      </c>
      <c r="BQ34" s="3"/>
      <c r="BR34" s="3"/>
    </row>
    <row r="35" spans="1:70">
      <c r="A35" s="1" t="s">
        <v>552</v>
      </c>
      <c r="B35" s="1" t="s">
        <v>71</v>
      </c>
      <c r="C35" s="1" t="s">
        <v>877</v>
      </c>
      <c r="D35" s="1" t="s">
        <v>878</v>
      </c>
      <c r="E35" s="1"/>
      <c r="F35" s="1" t="s">
        <v>879</v>
      </c>
      <c r="G35" s="1" t="s">
        <v>880</v>
      </c>
      <c r="H35" s="1" t="s">
        <v>881</v>
      </c>
      <c r="I35" s="1" t="s">
        <v>881</v>
      </c>
      <c r="J35" s="1">
        <v>9400426300</v>
      </c>
      <c r="K35" s="1" t="s">
        <v>79</v>
      </c>
      <c r="L35" s="1" t="s">
        <v>882</v>
      </c>
      <c r="M35" s="1" t="s">
        <v>81</v>
      </c>
      <c r="N35" s="1" t="s">
        <v>883</v>
      </c>
      <c r="O35" s="1" t="s">
        <v>884</v>
      </c>
      <c r="P35" s="1" t="s">
        <v>214</v>
      </c>
      <c r="Q35" s="1" t="s">
        <v>885</v>
      </c>
      <c r="R35" s="1" t="s">
        <v>886</v>
      </c>
      <c r="S35" s="1">
        <v>9447796300</v>
      </c>
      <c r="T35" s="1" t="s">
        <v>887</v>
      </c>
      <c r="U35" s="1" t="s">
        <v>888</v>
      </c>
      <c r="V35" s="1">
        <v>9446655660</v>
      </c>
      <c r="W35" s="1" t="s">
        <v>889</v>
      </c>
      <c r="X35" s="1" t="s">
        <v>890</v>
      </c>
      <c r="Y35" s="1" t="s">
        <v>891</v>
      </c>
      <c r="Z35" s="1" t="s">
        <v>125</v>
      </c>
      <c r="AA35" s="1" t="s">
        <v>892</v>
      </c>
      <c r="AB35" s="1" t="s">
        <v>191</v>
      </c>
      <c r="AC35" s="1" t="s">
        <v>92</v>
      </c>
      <c r="AD35" s="1" t="s">
        <v>93</v>
      </c>
      <c r="AE35" s="1" t="s">
        <v>93</v>
      </c>
      <c r="AF35" s="1" t="s">
        <v>893</v>
      </c>
      <c r="AG35" s="1" t="s">
        <v>894</v>
      </c>
      <c r="AH35" s="1" t="s">
        <v>503</v>
      </c>
      <c r="AI35" s="1" t="s">
        <v>162</v>
      </c>
      <c r="AJ35" s="1">
        <v>57.0</v>
      </c>
      <c r="AK35" s="1">
        <v>6.0</v>
      </c>
      <c r="AL35" s="1" t="s">
        <v>893</v>
      </c>
      <c r="AM35" s="1" t="s">
        <v>894</v>
      </c>
      <c r="AN35" s="1" t="s">
        <v>678</v>
      </c>
      <c r="AO35" s="1" t="s">
        <v>166</v>
      </c>
      <c r="AP35" s="1">
        <v>73.4</v>
      </c>
      <c r="AQ35" s="1">
        <v>7.68</v>
      </c>
      <c r="AR35" s="1"/>
      <c r="AS35" s="1"/>
      <c r="AT35" s="1"/>
      <c r="AU35" s="1"/>
      <c r="AV35" s="1"/>
      <c r="AW35" s="1"/>
      <c r="AX35" s="1" t="s">
        <v>895</v>
      </c>
      <c r="AY35" s="1" t="s">
        <v>896</v>
      </c>
      <c r="AZ35" s="1" t="s">
        <v>169</v>
      </c>
      <c r="BA35" s="1" t="s">
        <v>897</v>
      </c>
      <c r="BB35" s="1">
        <v>51.45</v>
      </c>
      <c r="BC35" s="1"/>
      <c r="BD35" s="1"/>
      <c r="BE35" s="1"/>
      <c r="BF35" s="1"/>
      <c r="BG35" s="1"/>
      <c r="BH35" s="1"/>
      <c r="BI35" s="1"/>
      <c r="BJ35" s="1" t="s">
        <v>898</v>
      </c>
      <c r="BK35" s="1"/>
      <c r="BL35" s="1"/>
      <c r="BM35" s="1" t="s">
        <v>899</v>
      </c>
      <c r="BN35" s="1">
        <v>8</v>
      </c>
      <c r="BO35" s="1"/>
      <c r="BP35" s="1" t="str">
        <f>HYPERLINK("https://nconnect.nicmar.ac.in/storage/profile/6a210dbd65393.png","Download")</f>
        <v>0</v>
      </c>
      <c r="BQ35" s="3"/>
      <c r="BR35" s="3"/>
    </row>
    <row r="36" spans="1:70">
      <c r="A36" s="1" t="s">
        <v>552</v>
      </c>
      <c r="B36" s="1" t="s">
        <v>71</v>
      </c>
      <c r="C36" s="1" t="s">
        <v>900</v>
      </c>
      <c r="D36" s="1" t="s">
        <v>901</v>
      </c>
      <c r="E36" s="1" t="s">
        <v>902</v>
      </c>
      <c r="F36" s="1" t="s">
        <v>903</v>
      </c>
      <c r="G36" s="1" t="s">
        <v>904</v>
      </c>
      <c r="H36" s="1" t="s">
        <v>905</v>
      </c>
      <c r="I36" s="1" t="s">
        <v>905</v>
      </c>
      <c r="J36" s="1">
        <v>9657894169</v>
      </c>
      <c r="K36" s="1" t="s">
        <v>79</v>
      </c>
      <c r="L36" s="1" t="s">
        <v>906</v>
      </c>
      <c r="M36" s="1" t="s">
        <v>81</v>
      </c>
      <c r="N36" s="1" t="s">
        <v>907</v>
      </c>
      <c r="O36" s="1" t="s">
        <v>908</v>
      </c>
      <c r="P36" s="1" t="s">
        <v>351</v>
      </c>
      <c r="Q36" s="1" t="s">
        <v>909</v>
      </c>
      <c r="R36" s="1" t="s">
        <v>902</v>
      </c>
      <c r="S36" s="1">
        <v>9623976715</v>
      </c>
      <c r="T36" s="1" t="s">
        <v>910</v>
      </c>
      <c r="U36" s="1" t="s">
        <v>911</v>
      </c>
      <c r="V36" s="1">
        <v>9518536526</v>
      </c>
      <c r="W36" s="1" t="s">
        <v>156</v>
      </c>
      <c r="X36" s="1" t="s">
        <v>912</v>
      </c>
      <c r="Y36" s="1" t="s">
        <v>191</v>
      </c>
      <c r="Z36" s="1" t="s">
        <v>92</v>
      </c>
      <c r="AA36" s="1" t="s">
        <v>912</v>
      </c>
      <c r="AB36" s="1" t="s">
        <v>191</v>
      </c>
      <c r="AC36" s="1" t="s">
        <v>92</v>
      </c>
      <c r="AD36" s="1" t="s">
        <v>93</v>
      </c>
      <c r="AE36" s="1" t="s">
        <v>93</v>
      </c>
      <c r="AF36" s="1" t="s">
        <v>913</v>
      </c>
      <c r="AG36" s="1" t="s">
        <v>914</v>
      </c>
      <c r="AH36" s="1" t="s">
        <v>915</v>
      </c>
      <c r="AI36" s="1" t="s">
        <v>281</v>
      </c>
      <c r="AJ36" s="1">
        <v>67.4</v>
      </c>
      <c r="AK36" s="1">
        <v>7.09</v>
      </c>
      <c r="AL36" s="1" t="s">
        <v>916</v>
      </c>
      <c r="AM36" s="1" t="s">
        <v>917</v>
      </c>
      <c r="AN36" s="1" t="s">
        <v>359</v>
      </c>
      <c r="AO36" s="1" t="s">
        <v>360</v>
      </c>
      <c r="AP36" s="1">
        <v>57.07</v>
      </c>
      <c r="AQ36" s="1">
        <v>6.01</v>
      </c>
      <c r="AR36" s="1"/>
      <c r="AS36" s="1"/>
      <c r="AT36" s="1"/>
      <c r="AU36" s="1"/>
      <c r="AV36" s="1"/>
      <c r="AW36" s="1"/>
      <c r="AX36" s="1" t="s">
        <v>918</v>
      </c>
      <c r="AY36" s="1" t="s">
        <v>919</v>
      </c>
      <c r="AZ36" s="1" t="s">
        <v>920</v>
      </c>
      <c r="BA36" s="1" t="s">
        <v>413</v>
      </c>
      <c r="BB36" s="1">
        <v>70.9</v>
      </c>
      <c r="BC36" s="1"/>
      <c r="BD36" s="1"/>
      <c r="BE36" s="1"/>
      <c r="BF36" s="1"/>
      <c r="BG36" s="1"/>
      <c r="BH36" s="1"/>
      <c r="BI36" s="1"/>
      <c r="BJ36" s="1" t="s">
        <v>921</v>
      </c>
      <c r="BK36" s="1"/>
      <c r="BL36" s="1"/>
      <c r="BM36" s="1" t="s">
        <v>922</v>
      </c>
      <c r="BN36" s="1">
        <v>8</v>
      </c>
      <c r="BO36" s="1"/>
      <c r="BP36" s="1" t="str">
        <f>HYPERLINK("https://nconnect.nicmar.ac.in/storage/profile/6a20fb7964b78.png","Download")</f>
        <v>0</v>
      </c>
      <c r="BQ36" s="3"/>
      <c r="BR36" s="3"/>
    </row>
    <row r="37" spans="1:70">
      <c r="A37" s="1" t="s">
        <v>552</v>
      </c>
      <c r="B37" s="1" t="s">
        <v>71</v>
      </c>
      <c r="C37" s="1" t="s">
        <v>923</v>
      </c>
      <c r="D37" s="1" t="s">
        <v>554</v>
      </c>
      <c r="E37" s="1"/>
      <c r="F37" s="1" t="s">
        <v>924</v>
      </c>
      <c r="G37" s="1" t="s">
        <v>925</v>
      </c>
      <c r="H37" s="1" t="s">
        <v>926</v>
      </c>
      <c r="I37" s="1" t="s">
        <v>927</v>
      </c>
      <c r="J37" s="1">
        <v>7225044628</v>
      </c>
      <c r="K37" s="1" t="s">
        <v>79</v>
      </c>
      <c r="L37" s="1" t="s">
        <v>928</v>
      </c>
      <c r="M37" s="1" t="s">
        <v>81</v>
      </c>
      <c r="N37" s="1" t="s">
        <v>929</v>
      </c>
      <c r="O37" s="1" t="s">
        <v>186</v>
      </c>
      <c r="P37" s="1" t="s">
        <v>84</v>
      </c>
      <c r="Q37" s="1" t="s">
        <v>930</v>
      </c>
      <c r="R37" s="1" t="s">
        <v>931</v>
      </c>
      <c r="S37" s="1">
        <v>9827235644</v>
      </c>
      <c r="T37" s="1" t="s">
        <v>932</v>
      </c>
      <c r="U37" s="1" t="s">
        <v>933</v>
      </c>
      <c r="V37" s="1">
        <v>7869176502</v>
      </c>
      <c r="W37" s="1" t="s">
        <v>273</v>
      </c>
      <c r="X37" s="1" t="s">
        <v>934</v>
      </c>
      <c r="Y37" s="1" t="s">
        <v>935</v>
      </c>
      <c r="Z37" s="1" t="s">
        <v>936</v>
      </c>
      <c r="AA37" s="1" t="s">
        <v>937</v>
      </c>
      <c r="AB37" s="1" t="s">
        <v>191</v>
      </c>
      <c r="AC37" s="1" t="s">
        <v>92</v>
      </c>
      <c r="AD37" s="1" t="s">
        <v>93</v>
      </c>
      <c r="AE37" s="1" t="s">
        <v>93</v>
      </c>
      <c r="AF37" s="1" t="s">
        <v>938</v>
      </c>
      <c r="AG37" s="1" t="s">
        <v>939</v>
      </c>
      <c r="AH37" s="1" t="s">
        <v>281</v>
      </c>
      <c r="AI37" s="1" t="s">
        <v>308</v>
      </c>
      <c r="AJ37" s="1">
        <v>65.2</v>
      </c>
      <c r="AK37" s="1">
        <v>6.52</v>
      </c>
      <c r="AL37" s="1" t="s">
        <v>940</v>
      </c>
      <c r="AM37" s="1" t="s">
        <v>939</v>
      </c>
      <c r="AN37" s="1" t="s">
        <v>941</v>
      </c>
      <c r="AO37" s="1" t="s">
        <v>506</v>
      </c>
      <c r="AP37" s="1">
        <v>65.4</v>
      </c>
      <c r="AQ37" s="1">
        <v>6.54</v>
      </c>
      <c r="AR37" s="1"/>
      <c r="AS37" s="1"/>
      <c r="AT37" s="1"/>
      <c r="AU37" s="1"/>
      <c r="AV37" s="1"/>
      <c r="AW37" s="1"/>
      <c r="AX37" s="1" t="s">
        <v>942</v>
      </c>
      <c r="AY37" s="1" t="s">
        <v>943</v>
      </c>
      <c r="AZ37" s="1" t="s">
        <v>436</v>
      </c>
      <c r="BA37" s="1" t="s">
        <v>944</v>
      </c>
      <c r="BB37" s="1">
        <v>74.3</v>
      </c>
      <c r="BC37" s="1">
        <v>7.43</v>
      </c>
      <c r="BD37" s="1"/>
      <c r="BE37" s="1"/>
      <c r="BF37" s="1"/>
      <c r="BG37" s="1"/>
      <c r="BH37" s="1"/>
      <c r="BI37" s="1"/>
      <c r="BJ37" s="1" t="s">
        <v>945</v>
      </c>
      <c r="BK37" s="1" t="s">
        <v>946</v>
      </c>
      <c r="BL37" s="1" t="s">
        <v>947</v>
      </c>
      <c r="BM37" s="1"/>
      <c r="BN37" s="1"/>
      <c r="BO37" s="1"/>
      <c r="BP37" s="1" t="str">
        <f>HYPERLINK("https://nconnect.nicmar.ac.in/storage/profile/6a2011a6456bc.png","Download")</f>
        <v>0</v>
      </c>
      <c r="BQ37" s="3"/>
      <c r="BR37" s="3"/>
    </row>
    <row r="38" spans="1:70">
      <c r="A38" s="1" t="s">
        <v>552</v>
      </c>
      <c r="B38" s="1" t="s">
        <v>71</v>
      </c>
      <c r="C38" s="1" t="s">
        <v>948</v>
      </c>
      <c r="D38" s="1" t="s">
        <v>417</v>
      </c>
      <c r="E38" s="1" t="s">
        <v>949</v>
      </c>
      <c r="F38" s="1" t="s">
        <v>950</v>
      </c>
      <c r="G38" s="1" t="s">
        <v>951</v>
      </c>
      <c r="H38" s="1" t="s">
        <v>952</v>
      </c>
      <c r="I38" s="1" t="s">
        <v>953</v>
      </c>
      <c r="J38" s="1">
        <v>9370886566</v>
      </c>
      <c r="K38" s="1" t="s">
        <v>148</v>
      </c>
      <c r="L38" s="1" t="s">
        <v>954</v>
      </c>
      <c r="M38" s="1" t="s">
        <v>81</v>
      </c>
      <c r="N38" s="1" t="s">
        <v>955</v>
      </c>
      <c r="O38" s="1" t="s">
        <v>956</v>
      </c>
      <c r="P38" s="1" t="s">
        <v>84</v>
      </c>
      <c r="Q38" s="1" t="s">
        <v>957</v>
      </c>
      <c r="R38" s="1" t="s">
        <v>949</v>
      </c>
      <c r="S38" s="1">
        <v>7796383131</v>
      </c>
      <c r="T38" s="1" t="s">
        <v>842</v>
      </c>
      <c r="U38" s="1" t="s">
        <v>958</v>
      </c>
      <c r="V38" s="1">
        <v>9172768838</v>
      </c>
      <c r="W38" s="1" t="s">
        <v>959</v>
      </c>
      <c r="X38" s="1" t="s">
        <v>960</v>
      </c>
      <c r="Y38" s="1" t="s">
        <v>91</v>
      </c>
      <c r="Z38" s="1" t="s">
        <v>92</v>
      </c>
      <c r="AA38" s="1" t="s">
        <v>960</v>
      </c>
      <c r="AB38" s="1" t="s">
        <v>91</v>
      </c>
      <c r="AC38" s="1" t="s">
        <v>92</v>
      </c>
      <c r="AD38" s="1" t="s">
        <v>93</v>
      </c>
      <c r="AE38" s="1" t="s">
        <v>93</v>
      </c>
      <c r="AF38" s="1" t="s">
        <v>961</v>
      </c>
      <c r="AG38" s="1" t="s">
        <v>962</v>
      </c>
      <c r="AH38" s="1" t="s">
        <v>165</v>
      </c>
      <c r="AI38" s="1" t="s">
        <v>101</v>
      </c>
      <c r="AJ38" s="1">
        <v>87</v>
      </c>
      <c r="AK38" s="1"/>
      <c r="AL38" s="1" t="s">
        <v>963</v>
      </c>
      <c r="AM38" s="1" t="s">
        <v>962</v>
      </c>
      <c r="AN38" s="1" t="s">
        <v>433</v>
      </c>
      <c r="AO38" s="1" t="s">
        <v>412</v>
      </c>
      <c r="AP38" s="1">
        <v>81.08</v>
      </c>
      <c r="AQ38" s="1"/>
      <c r="AR38" s="1"/>
      <c r="AS38" s="1"/>
      <c r="AT38" s="1"/>
      <c r="AU38" s="1"/>
      <c r="AV38" s="1"/>
      <c r="AW38" s="1"/>
      <c r="AX38" s="1" t="s">
        <v>199</v>
      </c>
      <c r="AY38" s="1" t="s">
        <v>964</v>
      </c>
      <c r="AZ38" s="1" t="s">
        <v>173</v>
      </c>
      <c r="BA38" s="1" t="s">
        <v>386</v>
      </c>
      <c r="BB38" s="1">
        <v>68.28</v>
      </c>
      <c r="BC38" s="1">
        <v>8.25</v>
      </c>
      <c r="BD38" s="1"/>
      <c r="BE38" s="1"/>
      <c r="BF38" s="1"/>
      <c r="BG38" s="1"/>
      <c r="BH38" s="1"/>
      <c r="BI38" s="1"/>
      <c r="BJ38" s="1" t="s">
        <v>965</v>
      </c>
      <c r="BK38" s="1"/>
      <c r="BL38" s="1"/>
      <c r="BM38" s="1" t="s">
        <v>966</v>
      </c>
      <c r="BN38" s="1">
        <v>16</v>
      </c>
      <c r="BO38" s="1"/>
      <c r="BP38" s="1" t="str">
        <f>HYPERLINK("https://nconnect.nicmar.ac.in/storage/profile/6a20041f0beae.png","Download")</f>
        <v>0</v>
      </c>
      <c r="BQ38" s="3"/>
      <c r="BR38" s="3"/>
    </row>
    <row r="39" spans="1:70">
      <c r="A39" s="1" t="s">
        <v>967</v>
      </c>
      <c r="B39" s="1" t="s">
        <v>71</v>
      </c>
      <c r="C39" s="1" t="s">
        <v>968</v>
      </c>
      <c r="D39" s="1" t="s">
        <v>969</v>
      </c>
      <c r="E39" s="1" t="s">
        <v>970</v>
      </c>
      <c r="F39" s="1" t="s">
        <v>971</v>
      </c>
      <c r="G39" s="1" t="s">
        <v>972</v>
      </c>
      <c r="H39" s="1" t="s">
        <v>973</v>
      </c>
      <c r="I39" s="1" t="s">
        <v>973</v>
      </c>
      <c r="J39" s="1">
        <v>9021085985</v>
      </c>
      <c r="K39" s="1" t="s">
        <v>148</v>
      </c>
      <c r="L39" s="1" t="s">
        <v>974</v>
      </c>
      <c r="M39" s="1" t="s">
        <v>81</v>
      </c>
      <c r="N39" s="1" t="s">
        <v>350</v>
      </c>
      <c r="O39" s="1" t="s">
        <v>152</v>
      </c>
      <c r="P39" s="1" t="s">
        <v>117</v>
      </c>
      <c r="Q39" s="1" t="s">
        <v>975</v>
      </c>
      <c r="R39" s="1" t="s">
        <v>971</v>
      </c>
      <c r="S39" s="1">
        <v>9834988464</v>
      </c>
      <c r="T39" s="1" t="s">
        <v>976</v>
      </c>
      <c r="U39" s="1" t="s">
        <v>977</v>
      </c>
      <c r="V39" s="1">
        <v>9604687811</v>
      </c>
      <c r="W39" s="1" t="s">
        <v>156</v>
      </c>
      <c r="X39" s="1" t="s">
        <v>978</v>
      </c>
      <c r="Y39" s="1" t="s">
        <v>219</v>
      </c>
      <c r="Z39" s="1" t="s">
        <v>92</v>
      </c>
      <c r="AA39" s="1" t="s">
        <v>978</v>
      </c>
      <c r="AB39" s="1" t="s">
        <v>219</v>
      </c>
      <c r="AC39" s="1" t="s">
        <v>92</v>
      </c>
      <c r="AD39" s="1" t="s">
        <v>93</v>
      </c>
      <c r="AE39" s="1" t="s">
        <v>93</v>
      </c>
      <c r="AF39" s="1" t="s">
        <v>979</v>
      </c>
      <c r="AG39" s="1" t="s">
        <v>476</v>
      </c>
      <c r="AH39" s="1" t="s">
        <v>161</v>
      </c>
      <c r="AI39" s="1" t="s">
        <v>279</v>
      </c>
      <c r="AJ39" s="1">
        <v>89.2</v>
      </c>
      <c r="AK39" s="1"/>
      <c r="AL39" s="1" t="s">
        <v>979</v>
      </c>
      <c r="AM39" s="1" t="s">
        <v>476</v>
      </c>
      <c r="AN39" s="1" t="s">
        <v>165</v>
      </c>
      <c r="AO39" s="1" t="s">
        <v>166</v>
      </c>
      <c r="AP39" s="1">
        <v>71.38</v>
      </c>
      <c r="AQ39" s="1"/>
      <c r="AR39" s="1"/>
      <c r="AS39" s="1"/>
      <c r="AT39" s="1"/>
      <c r="AU39" s="1"/>
      <c r="AV39" s="1"/>
      <c r="AW39" s="1"/>
      <c r="AX39" s="1" t="s">
        <v>410</v>
      </c>
      <c r="AY39" s="1" t="s">
        <v>980</v>
      </c>
      <c r="AZ39" s="1" t="s">
        <v>101</v>
      </c>
      <c r="BA39" s="1" t="s">
        <v>229</v>
      </c>
      <c r="BB39" s="1">
        <v>66.5</v>
      </c>
      <c r="BC39" s="1">
        <v>7.4</v>
      </c>
      <c r="BD39" s="1"/>
      <c r="BE39" s="1"/>
      <c r="BF39" s="1"/>
      <c r="BG39" s="1"/>
      <c r="BH39" s="1"/>
      <c r="BI39" s="1"/>
      <c r="BJ39" s="1" t="s">
        <v>981</v>
      </c>
      <c r="BK39" s="1"/>
      <c r="BL39" s="1"/>
      <c r="BM39" s="1" t="s">
        <v>982</v>
      </c>
      <c r="BN39" s="1">
        <v>47</v>
      </c>
      <c r="BO39" s="1" t="s">
        <v>983</v>
      </c>
      <c r="BP39" s="1" t="str">
        <f>HYPERLINK("https://nconnect.nicmar.ac.in/storage/profile/6a26636e35111.png","Download")</f>
        <v>0</v>
      </c>
      <c r="BQ39" s="3"/>
      <c r="BR39" s="3"/>
    </row>
    <row r="40" spans="1:70">
      <c r="A40" s="1" t="s">
        <v>967</v>
      </c>
      <c r="B40" s="1" t="s">
        <v>71</v>
      </c>
      <c r="C40" s="1" t="s">
        <v>984</v>
      </c>
      <c r="D40" s="1" t="s">
        <v>985</v>
      </c>
      <c r="E40" s="1" t="s">
        <v>986</v>
      </c>
      <c r="F40" s="1" t="s">
        <v>987</v>
      </c>
      <c r="G40" s="1" t="s">
        <v>988</v>
      </c>
      <c r="H40" s="1" t="s">
        <v>989</v>
      </c>
      <c r="I40" s="1" t="s">
        <v>989</v>
      </c>
      <c r="J40" s="1">
        <v>8082397000</v>
      </c>
      <c r="K40" s="1" t="s">
        <v>148</v>
      </c>
      <c r="L40" s="1">
        <v>36064</v>
      </c>
      <c r="M40" s="1" t="s">
        <v>81</v>
      </c>
      <c r="N40" s="1" t="s">
        <v>538</v>
      </c>
      <c r="O40" s="1" t="s">
        <v>152</v>
      </c>
      <c r="P40" s="1" t="s">
        <v>214</v>
      </c>
      <c r="Q40" s="1" t="s">
        <v>990</v>
      </c>
      <c r="R40" s="1" t="s">
        <v>986</v>
      </c>
      <c r="S40" s="1">
        <v>9821941916</v>
      </c>
      <c r="T40" s="1" t="s">
        <v>991</v>
      </c>
      <c r="U40" s="1" t="s">
        <v>992</v>
      </c>
      <c r="V40" s="1">
        <v>9967373939</v>
      </c>
      <c r="W40" s="1" t="s">
        <v>993</v>
      </c>
      <c r="X40" s="1" t="s">
        <v>994</v>
      </c>
      <c r="Y40" s="1" t="s">
        <v>995</v>
      </c>
      <c r="Z40" s="1" t="s">
        <v>92</v>
      </c>
      <c r="AA40" s="1" t="s">
        <v>994</v>
      </c>
      <c r="AB40" s="1" t="s">
        <v>995</v>
      </c>
      <c r="AC40" s="1" t="s">
        <v>92</v>
      </c>
      <c r="AD40" s="1" t="s">
        <v>93</v>
      </c>
      <c r="AE40" s="1" t="s">
        <v>93</v>
      </c>
      <c r="AF40" s="1" t="s">
        <v>996</v>
      </c>
      <c r="AG40" s="1" t="s">
        <v>997</v>
      </c>
      <c r="AH40" s="1" t="s">
        <v>998</v>
      </c>
      <c r="AI40" s="1" t="s">
        <v>999</v>
      </c>
      <c r="AJ40" s="1">
        <v>75.8</v>
      </c>
      <c r="AK40" s="1"/>
      <c r="AL40" s="1" t="s">
        <v>1000</v>
      </c>
      <c r="AM40" s="1" t="s">
        <v>997</v>
      </c>
      <c r="AN40" s="1" t="s">
        <v>161</v>
      </c>
      <c r="AO40" s="1" t="s">
        <v>1001</v>
      </c>
      <c r="AP40" s="1">
        <v>58.0</v>
      </c>
      <c r="AQ40" s="1"/>
      <c r="AR40" s="1"/>
      <c r="AS40" s="1"/>
      <c r="AT40" s="1"/>
      <c r="AU40" s="1"/>
      <c r="AV40" s="1"/>
      <c r="AW40" s="1"/>
      <c r="AX40" s="1" t="s">
        <v>1002</v>
      </c>
      <c r="AY40" s="1" t="s">
        <v>1002</v>
      </c>
      <c r="AZ40" s="1" t="s">
        <v>162</v>
      </c>
      <c r="BA40" s="1" t="s">
        <v>1003</v>
      </c>
      <c r="BB40" s="1">
        <v>78.3</v>
      </c>
      <c r="BC40" s="1">
        <v>7.83</v>
      </c>
      <c r="BD40" s="1"/>
      <c r="BE40" s="1"/>
      <c r="BF40" s="1"/>
      <c r="BG40" s="1"/>
      <c r="BH40" s="1"/>
      <c r="BI40" s="1"/>
      <c r="BJ40" s="1" t="s">
        <v>1004</v>
      </c>
      <c r="BK40" s="1"/>
      <c r="BL40" s="1"/>
      <c r="BM40" s="1" t="s">
        <v>1005</v>
      </c>
      <c r="BN40" s="1">
        <v>113</v>
      </c>
      <c r="BO40" s="1" t="s">
        <v>1006</v>
      </c>
      <c r="BP40" s="1" t="str">
        <f>HYPERLINK("https://nconnect.nicmar.ac.in/storage/profile/6a266895a2273.png","Download")</f>
        <v>0</v>
      </c>
      <c r="BQ40" s="3"/>
      <c r="BR40" s="3"/>
    </row>
    <row r="41" spans="1:70">
      <c r="A41" s="1" t="s">
        <v>967</v>
      </c>
      <c r="B41" s="1" t="s">
        <v>71</v>
      </c>
      <c r="C41" s="1" t="s">
        <v>1007</v>
      </c>
      <c r="D41" s="1" t="s">
        <v>1008</v>
      </c>
      <c r="E41" s="1" t="s">
        <v>1009</v>
      </c>
      <c r="F41" s="1" t="s">
        <v>1010</v>
      </c>
      <c r="G41" s="1" t="s">
        <v>1011</v>
      </c>
      <c r="H41" s="1" t="s">
        <v>1012</v>
      </c>
      <c r="I41" s="1" t="s">
        <v>1012</v>
      </c>
      <c r="J41" s="1">
        <v>9920703205</v>
      </c>
      <c r="K41" s="1" t="s">
        <v>79</v>
      </c>
      <c r="L41" s="1" t="s">
        <v>1013</v>
      </c>
      <c r="M41" s="1" t="s">
        <v>81</v>
      </c>
      <c r="N41" s="1" t="s">
        <v>350</v>
      </c>
      <c r="O41" s="1" t="s">
        <v>152</v>
      </c>
      <c r="P41" s="1" t="s">
        <v>117</v>
      </c>
      <c r="Q41" s="1" t="s">
        <v>1014</v>
      </c>
      <c r="R41" s="1" t="s">
        <v>1015</v>
      </c>
      <c r="S41" s="1">
        <v>9769239210</v>
      </c>
      <c r="T41" s="1" t="s">
        <v>763</v>
      </c>
      <c r="U41" s="1" t="s">
        <v>1016</v>
      </c>
      <c r="V41" s="1">
        <v>9326108014</v>
      </c>
      <c r="W41" s="1" t="s">
        <v>156</v>
      </c>
      <c r="X41" s="1" t="s">
        <v>1017</v>
      </c>
      <c r="Y41" s="1" t="s">
        <v>1018</v>
      </c>
      <c r="Z41" s="1" t="s">
        <v>92</v>
      </c>
      <c r="AA41" s="1" t="s">
        <v>1019</v>
      </c>
      <c r="AB41" s="1" t="s">
        <v>191</v>
      </c>
      <c r="AC41" s="1" t="s">
        <v>92</v>
      </c>
      <c r="AD41" s="1" t="s">
        <v>93</v>
      </c>
      <c r="AE41" s="1" t="s">
        <v>93</v>
      </c>
      <c r="AF41" s="1" t="s">
        <v>1020</v>
      </c>
      <c r="AG41" s="1" t="s">
        <v>1021</v>
      </c>
      <c r="AH41" s="1" t="s">
        <v>161</v>
      </c>
      <c r="AI41" s="1" t="s">
        <v>527</v>
      </c>
      <c r="AJ41" s="1">
        <v>64.6</v>
      </c>
      <c r="AK41" s="1"/>
      <c r="AL41" s="1" t="s">
        <v>1022</v>
      </c>
      <c r="AM41" s="1" t="s">
        <v>1023</v>
      </c>
      <c r="AN41" s="1" t="s">
        <v>134</v>
      </c>
      <c r="AO41" s="1" t="s">
        <v>166</v>
      </c>
      <c r="AP41" s="1">
        <v>63.23</v>
      </c>
      <c r="AQ41" s="1"/>
      <c r="AR41" s="1"/>
      <c r="AS41" s="1"/>
      <c r="AT41" s="1"/>
      <c r="AU41" s="1"/>
      <c r="AV41" s="1"/>
      <c r="AW41" s="1"/>
      <c r="AX41" s="1" t="s">
        <v>1024</v>
      </c>
      <c r="AY41" s="1" t="s">
        <v>1025</v>
      </c>
      <c r="AZ41" s="1" t="s">
        <v>636</v>
      </c>
      <c r="BA41" s="1" t="s">
        <v>105</v>
      </c>
      <c r="BB41" s="1">
        <v>65.99</v>
      </c>
      <c r="BC41" s="1">
        <v>7.32</v>
      </c>
      <c r="BD41" s="1"/>
      <c r="BE41" s="1"/>
      <c r="BF41" s="1"/>
      <c r="BG41" s="1"/>
      <c r="BH41" s="1"/>
      <c r="BI41" s="1"/>
      <c r="BJ41" s="1" t="s">
        <v>1026</v>
      </c>
      <c r="BK41" s="1" t="s">
        <v>1027</v>
      </c>
      <c r="BL41" s="1" t="s">
        <v>1028</v>
      </c>
      <c r="BM41" s="1" t="s">
        <v>1029</v>
      </c>
      <c r="BN41" s="1">
        <v>26</v>
      </c>
      <c r="BO41" s="1" t="s">
        <v>1030</v>
      </c>
      <c r="BP41" s="1" t="str">
        <f>HYPERLINK("https://nconnect.nicmar.ac.in/storage/profile/6a2678a2bf61d.png","Download")</f>
        <v>0</v>
      </c>
      <c r="BQ41" s="3"/>
      <c r="BR41" s="3"/>
    </row>
    <row r="42" spans="1:70">
      <c r="A42" s="1" t="s">
        <v>967</v>
      </c>
      <c r="B42" s="1" t="s">
        <v>71</v>
      </c>
      <c r="C42" s="1" t="s">
        <v>1031</v>
      </c>
      <c r="D42" s="1" t="s">
        <v>473</v>
      </c>
      <c r="E42" s="1" t="s">
        <v>1032</v>
      </c>
      <c r="F42" s="1" t="s">
        <v>1033</v>
      </c>
      <c r="G42" s="1" t="s">
        <v>1034</v>
      </c>
      <c r="H42" s="1" t="s">
        <v>1035</v>
      </c>
      <c r="I42" s="1" t="s">
        <v>1035</v>
      </c>
      <c r="J42" s="1">
        <v>9834322028</v>
      </c>
      <c r="K42" s="1" t="s">
        <v>148</v>
      </c>
      <c r="L42" s="1" t="s">
        <v>1036</v>
      </c>
      <c r="M42" s="1"/>
      <c r="N42" s="1"/>
      <c r="O42" s="1"/>
      <c r="P42" s="1"/>
      <c r="Q42" s="1"/>
      <c r="R42" s="1"/>
      <c r="S42" s="1"/>
      <c r="T42" s="1"/>
      <c r="U42" s="1"/>
      <c r="V42" s="1"/>
      <c r="W42" s="1"/>
      <c r="X42" s="1"/>
      <c r="Y42" s="1"/>
      <c r="Z42" s="1"/>
      <c r="AA42" s="1"/>
      <c r="AB42" s="1"/>
      <c r="AC42" s="1"/>
      <c r="AD42" s="1" t="s">
        <v>93</v>
      </c>
      <c r="AE42" s="1" t="s">
        <v>93</v>
      </c>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t="s">
        <v>1037</v>
      </c>
      <c r="BQ42" s="3"/>
      <c r="BR42" s="3"/>
    </row>
    <row r="43" spans="1:70">
      <c r="A43" s="1" t="s">
        <v>967</v>
      </c>
      <c r="B43" s="1" t="s">
        <v>71</v>
      </c>
      <c r="C43" s="1" t="s">
        <v>1038</v>
      </c>
      <c r="D43" s="1" t="s">
        <v>1039</v>
      </c>
      <c r="E43" s="1" t="s">
        <v>1040</v>
      </c>
      <c r="F43" s="1" t="s">
        <v>1041</v>
      </c>
      <c r="G43" s="1" t="s">
        <v>1042</v>
      </c>
      <c r="H43" s="1" t="s">
        <v>1043</v>
      </c>
      <c r="I43" s="1" t="s">
        <v>1044</v>
      </c>
      <c r="J43" s="1">
        <v>9075441883</v>
      </c>
      <c r="K43" s="1" t="s">
        <v>79</v>
      </c>
      <c r="L43" s="1" t="s">
        <v>1045</v>
      </c>
      <c r="M43" s="1" t="s">
        <v>81</v>
      </c>
      <c r="N43" s="1" t="s">
        <v>1046</v>
      </c>
      <c r="O43" s="1" t="s">
        <v>186</v>
      </c>
      <c r="P43" s="1" t="s">
        <v>214</v>
      </c>
      <c r="Q43" s="1" t="s">
        <v>1047</v>
      </c>
      <c r="R43" s="1" t="s">
        <v>1040</v>
      </c>
      <c r="S43" s="1">
        <v>9011077658</v>
      </c>
      <c r="T43" s="1" t="s">
        <v>674</v>
      </c>
      <c r="U43" s="1" t="s">
        <v>977</v>
      </c>
      <c r="V43" s="1">
        <v>8975759735</v>
      </c>
      <c r="W43" s="1" t="s">
        <v>156</v>
      </c>
      <c r="X43" s="1" t="s">
        <v>1048</v>
      </c>
      <c r="Y43" s="1" t="s">
        <v>191</v>
      </c>
      <c r="Z43" s="1" t="s">
        <v>92</v>
      </c>
      <c r="AA43" s="1" t="s">
        <v>1048</v>
      </c>
      <c r="AB43" s="1" t="s">
        <v>191</v>
      </c>
      <c r="AC43" s="1" t="s">
        <v>92</v>
      </c>
      <c r="AD43" s="1" t="s">
        <v>93</v>
      </c>
      <c r="AE43" s="1" t="s">
        <v>93</v>
      </c>
      <c r="AF43" s="1" t="s">
        <v>1049</v>
      </c>
      <c r="AG43" s="1" t="s">
        <v>455</v>
      </c>
      <c r="AH43" s="1" t="s">
        <v>97</v>
      </c>
      <c r="AI43" s="1" t="s">
        <v>281</v>
      </c>
      <c r="AJ43" s="1">
        <v>91</v>
      </c>
      <c r="AK43" s="1"/>
      <c r="AL43" s="1"/>
      <c r="AM43" s="1"/>
      <c r="AN43" s="1"/>
      <c r="AO43" s="1"/>
      <c r="AP43" s="1"/>
      <c r="AQ43" s="1"/>
      <c r="AR43" s="1" t="s">
        <v>98</v>
      </c>
      <c r="AS43" s="1" t="s">
        <v>1050</v>
      </c>
      <c r="AT43" s="1" t="s">
        <v>636</v>
      </c>
      <c r="AU43" s="1" t="s">
        <v>1051</v>
      </c>
      <c r="AV43" s="1">
        <v>86.93</v>
      </c>
      <c r="AW43" s="1"/>
      <c r="AX43" s="1" t="s">
        <v>1052</v>
      </c>
      <c r="AY43" s="1" t="s">
        <v>1053</v>
      </c>
      <c r="AZ43" s="1" t="s">
        <v>897</v>
      </c>
      <c r="BA43" s="1" t="s">
        <v>202</v>
      </c>
      <c r="BB43" s="1">
        <v>71.4</v>
      </c>
      <c r="BC43" s="1">
        <v>7.89</v>
      </c>
      <c r="BD43" s="1"/>
      <c r="BE43" s="1"/>
      <c r="BF43" s="1"/>
      <c r="BG43" s="1"/>
      <c r="BH43" s="1"/>
      <c r="BI43" s="1"/>
      <c r="BJ43" s="1" t="s">
        <v>1054</v>
      </c>
      <c r="BK43" s="1"/>
      <c r="BL43" s="1"/>
      <c r="BM43" s="1" t="s">
        <v>1055</v>
      </c>
      <c r="BN43" s="1">
        <v>8</v>
      </c>
      <c r="BO43" s="1"/>
      <c r="BP43" s="1" t="str">
        <f>HYPERLINK("https://nconnect.nicmar.ac.in/storage/profile/6a2685caa33b5.png","Download")</f>
        <v>0</v>
      </c>
      <c r="BQ43" s="3"/>
      <c r="BR43" s="3"/>
    </row>
    <row r="44" spans="1:70">
      <c r="A44" s="1" t="s">
        <v>967</v>
      </c>
      <c r="B44" s="1" t="s">
        <v>71</v>
      </c>
      <c r="C44" s="1" t="s">
        <v>1056</v>
      </c>
      <c r="D44" s="1" t="s">
        <v>1057</v>
      </c>
      <c r="E44" s="1" t="s">
        <v>1058</v>
      </c>
      <c r="F44" s="1" t="s">
        <v>1059</v>
      </c>
      <c r="G44" s="1" t="s">
        <v>1060</v>
      </c>
      <c r="H44" s="1" t="s">
        <v>1061</v>
      </c>
      <c r="I44" s="1" t="s">
        <v>1061</v>
      </c>
      <c r="J44" s="1">
        <v>6281056137</v>
      </c>
      <c r="K44" s="1" t="s">
        <v>148</v>
      </c>
      <c r="L44" s="1" t="s">
        <v>1062</v>
      </c>
      <c r="M44" s="1"/>
      <c r="N44" s="1"/>
      <c r="O44" s="1"/>
      <c r="P44" s="1"/>
      <c r="Q44" s="1"/>
      <c r="R44" s="1"/>
      <c r="S44" s="1"/>
      <c r="T44" s="1"/>
      <c r="U44" s="1"/>
      <c r="V44" s="1"/>
      <c r="W44" s="1"/>
      <c r="X44" s="1"/>
      <c r="Y44" s="1"/>
      <c r="Z44" s="1"/>
      <c r="AA44" s="1"/>
      <c r="AB44" s="1"/>
      <c r="AC44" s="1"/>
      <c r="AD44" s="1" t="s">
        <v>93</v>
      </c>
      <c r="AE44" s="1" t="s">
        <v>93</v>
      </c>
      <c r="AF44" s="1" t="s">
        <v>1063</v>
      </c>
      <c r="AG44" s="1" t="s">
        <v>1064</v>
      </c>
      <c r="AH44" s="1" t="s">
        <v>162</v>
      </c>
      <c r="AI44" s="1" t="s">
        <v>479</v>
      </c>
      <c r="AJ44" s="1">
        <v>85.5</v>
      </c>
      <c r="AK44" s="1">
        <v>9</v>
      </c>
      <c r="AL44" s="1" t="s">
        <v>612</v>
      </c>
      <c r="AM44" s="1" t="s">
        <v>613</v>
      </c>
      <c r="AN44" s="1" t="s">
        <v>165</v>
      </c>
      <c r="AO44" s="1" t="s">
        <v>1065</v>
      </c>
      <c r="AP44" s="1">
        <v>94.6</v>
      </c>
      <c r="AQ44" s="1"/>
      <c r="AR44" s="1"/>
      <c r="AS44" s="1"/>
      <c r="AT44" s="1"/>
      <c r="AU44" s="1"/>
      <c r="AV44" s="1"/>
      <c r="AW44" s="1"/>
      <c r="AX44" s="1" t="s">
        <v>1066</v>
      </c>
      <c r="AY44" s="1" t="s">
        <v>1067</v>
      </c>
      <c r="AZ44" s="1" t="s">
        <v>201</v>
      </c>
      <c r="BA44" s="1" t="s">
        <v>174</v>
      </c>
      <c r="BB44" s="1">
        <v>82.27</v>
      </c>
      <c r="BC44" s="1">
        <v>8.57</v>
      </c>
      <c r="BD44" s="1"/>
      <c r="BE44" s="1"/>
      <c r="BF44" s="1"/>
      <c r="BG44" s="1"/>
      <c r="BH44" s="1"/>
      <c r="BI44" s="1"/>
      <c r="BJ44" s="1" t="s">
        <v>1068</v>
      </c>
      <c r="BK44" s="1"/>
      <c r="BL44" s="1"/>
      <c r="BM44" s="1" t="s">
        <v>1069</v>
      </c>
      <c r="BN44" s="1">
        <v>27</v>
      </c>
      <c r="BO44" s="1"/>
      <c r="BP44" s="1" t="str">
        <f>HYPERLINK("https://nconnect.nicmar.ac.in/storage/profile/6a267e16ddcdb.png","Download")</f>
        <v>0</v>
      </c>
      <c r="BQ44" s="3"/>
      <c r="BR44" s="3"/>
    </row>
    <row r="45" spans="1:70">
      <c r="A45" s="1" t="s">
        <v>967</v>
      </c>
      <c r="B45" s="1" t="s">
        <v>71</v>
      </c>
      <c r="C45" s="1" t="s">
        <v>1070</v>
      </c>
      <c r="D45" s="1" t="s">
        <v>1071</v>
      </c>
      <c r="E45" s="1" t="s">
        <v>1072</v>
      </c>
      <c r="F45" s="1" t="s">
        <v>111</v>
      </c>
      <c r="G45" s="1" t="s">
        <v>1073</v>
      </c>
      <c r="H45" s="1" t="s">
        <v>1074</v>
      </c>
      <c r="I45" s="1" t="s">
        <v>1075</v>
      </c>
      <c r="J45" s="1">
        <v>8197555797</v>
      </c>
      <c r="K45" s="1" t="s">
        <v>148</v>
      </c>
      <c r="L45" s="1" t="s">
        <v>1076</v>
      </c>
      <c r="M45" s="1" t="s">
        <v>81</v>
      </c>
      <c r="N45" s="1" t="s">
        <v>1077</v>
      </c>
      <c r="O45" s="1" t="s">
        <v>1078</v>
      </c>
      <c r="P45" s="1" t="s">
        <v>117</v>
      </c>
      <c r="Q45" s="1" t="s">
        <v>1079</v>
      </c>
      <c r="R45" s="1" t="s">
        <v>1080</v>
      </c>
      <c r="S45" s="1">
        <v>9845032474</v>
      </c>
      <c r="T45" s="1" t="s">
        <v>496</v>
      </c>
      <c r="U45" s="1" t="s">
        <v>1081</v>
      </c>
      <c r="V45" s="1">
        <v>9036994110</v>
      </c>
      <c r="W45" s="1" t="s">
        <v>496</v>
      </c>
      <c r="X45" s="1" t="s">
        <v>1082</v>
      </c>
      <c r="Y45" s="1" t="s">
        <v>1083</v>
      </c>
      <c r="Z45" s="1" t="s">
        <v>1084</v>
      </c>
      <c r="AA45" s="1" t="s">
        <v>1082</v>
      </c>
      <c r="AB45" s="1" t="s">
        <v>1083</v>
      </c>
      <c r="AC45" s="1" t="s">
        <v>1084</v>
      </c>
      <c r="AD45" s="1" t="s">
        <v>93</v>
      </c>
      <c r="AE45" s="1" t="s">
        <v>93</v>
      </c>
      <c r="AF45" s="1" t="s">
        <v>1085</v>
      </c>
      <c r="AG45" s="1" t="s">
        <v>1086</v>
      </c>
      <c r="AH45" s="1" t="s">
        <v>161</v>
      </c>
      <c r="AI45" s="1" t="s">
        <v>456</v>
      </c>
      <c r="AJ45" s="1">
        <v>76.5</v>
      </c>
      <c r="AK45" s="1"/>
      <c r="AL45" s="1" t="s">
        <v>1087</v>
      </c>
      <c r="AM45" s="1" t="s">
        <v>307</v>
      </c>
      <c r="AN45" s="1" t="s">
        <v>383</v>
      </c>
      <c r="AO45" s="1" t="s">
        <v>281</v>
      </c>
      <c r="AP45" s="1">
        <v>66.5</v>
      </c>
      <c r="AQ45" s="1"/>
      <c r="AR45" s="1"/>
      <c r="AS45" s="1"/>
      <c r="AT45" s="1"/>
      <c r="AU45" s="1"/>
      <c r="AV45" s="1"/>
      <c r="AW45" s="1"/>
      <c r="AX45" s="1" t="s">
        <v>1088</v>
      </c>
      <c r="AY45" s="1" t="s">
        <v>1089</v>
      </c>
      <c r="AZ45" s="1" t="s">
        <v>169</v>
      </c>
      <c r="BA45" s="1" t="s">
        <v>1090</v>
      </c>
      <c r="BB45" s="1">
        <v>63.8</v>
      </c>
      <c r="BC45" s="1">
        <v>7.13</v>
      </c>
      <c r="BD45" s="1" t="s">
        <v>1088</v>
      </c>
      <c r="BE45" s="1" t="s">
        <v>1089</v>
      </c>
      <c r="BF45" s="1" t="s">
        <v>169</v>
      </c>
      <c r="BG45" s="1" t="s">
        <v>682</v>
      </c>
      <c r="BH45" s="1">
        <v>63.8</v>
      </c>
      <c r="BI45" s="1">
        <v>7.13</v>
      </c>
      <c r="BJ45" s="1" t="s">
        <v>1091</v>
      </c>
      <c r="BK45" s="1"/>
      <c r="BL45" s="1"/>
      <c r="BM45" s="1" t="s">
        <v>1092</v>
      </c>
      <c r="BN45" s="1">
        <v>24</v>
      </c>
      <c r="BO45" s="1"/>
      <c r="BP45" s="1" t="str">
        <f>HYPERLINK("https://nconnect.nicmar.ac.in/storage/profile/6a265cafc1c98.png","Download")</f>
        <v>0</v>
      </c>
      <c r="BQ45" s="3"/>
      <c r="BR45" s="3"/>
    </row>
    <row r="46" spans="1:70">
      <c r="A46" s="1" t="s">
        <v>967</v>
      </c>
      <c r="B46" s="1" t="s">
        <v>71</v>
      </c>
      <c r="C46" s="1" t="s">
        <v>1093</v>
      </c>
      <c r="D46" s="1" t="s">
        <v>143</v>
      </c>
      <c r="E46" s="1"/>
      <c r="F46" s="1" t="s">
        <v>1094</v>
      </c>
      <c r="G46" s="1" t="s">
        <v>1095</v>
      </c>
      <c r="H46" s="1" t="s">
        <v>1096</v>
      </c>
      <c r="I46" s="1" t="s">
        <v>1097</v>
      </c>
      <c r="J46" s="1">
        <v>9845889912</v>
      </c>
      <c r="K46" s="1" t="s">
        <v>148</v>
      </c>
      <c r="L46" s="1" t="s">
        <v>1098</v>
      </c>
      <c r="M46" s="1" t="s">
        <v>81</v>
      </c>
      <c r="N46" s="1" t="s">
        <v>1099</v>
      </c>
      <c r="O46" s="1" t="s">
        <v>1100</v>
      </c>
      <c r="P46" s="1" t="s">
        <v>84</v>
      </c>
      <c r="Q46" s="1" t="s">
        <v>1101</v>
      </c>
      <c r="R46" s="1" t="s">
        <v>93</v>
      </c>
      <c r="S46" s="1" t="s">
        <v>1102</v>
      </c>
      <c r="T46" s="1" t="s">
        <v>93</v>
      </c>
      <c r="U46" s="1" t="s">
        <v>1103</v>
      </c>
      <c r="V46" s="1">
        <v>9900153594</v>
      </c>
      <c r="W46" s="1" t="s">
        <v>93</v>
      </c>
      <c r="X46" s="1" t="s">
        <v>1104</v>
      </c>
      <c r="Y46" s="1" t="s">
        <v>1083</v>
      </c>
      <c r="Z46" s="1" t="s">
        <v>1084</v>
      </c>
      <c r="AA46" s="1" t="s">
        <v>1104</v>
      </c>
      <c r="AB46" s="1" t="s">
        <v>1083</v>
      </c>
      <c r="AC46" s="1" t="s">
        <v>1084</v>
      </c>
      <c r="AD46" s="1" t="s">
        <v>93</v>
      </c>
      <c r="AE46" s="1" t="s">
        <v>93</v>
      </c>
      <c r="AF46" s="1" t="s">
        <v>1105</v>
      </c>
      <c r="AG46" s="1" t="s">
        <v>1106</v>
      </c>
      <c r="AH46" s="1" t="s">
        <v>161</v>
      </c>
      <c r="AI46" s="1" t="s">
        <v>527</v>
      </c>
      <c r="AJ46" s="1">
        <v>87.0</v>
      </c>
      <c r="AK46" s="1">
        <v>9.1</v>
      </c>
      <c r="AL46" s="1" t="s">
        <v>1107</v>
      </c>
      <c r="AM46" s="1" t="s">
        <v>1108</v>
      </c>
      <c r="AN46" s="1" t="s">
        <v>165</v>
      </c>
      <c r="AO46" s="1" t="s">
        <v>166</v>
      </c>
      <c r="AP46" s="1">
        <v>80.0</v>
      </c>
      <c r="AQ46" s="1">
        <v>8.5</v>
      </c>
      <c r="AR46" s="1"/>
      <c r="AS46" s="1"/>
      <c r="AT46" s="1"/>
      <c r="AU46" s="1"/>
      <c r="AV46" s="1"/>
      <c r="AW46" s="1"/>
      <c r="AX46" s="1" t="s">
        <v>1109</v>
      </c>
      <c r="AY46" s="1" t="s">
        <v>1110</v>
      </c>
      <c r="AZ46" s="1" t="s">
        <v>169</v>
      </c>
      <c r="BA46" s="1" t="s">
        <v>682</v>
      </c>
      <c r="BB46" s="1">
        <v>73.7</v>
      </c>
      <c r="BC46" s="1">
        <v>8.12</v>
      </c>
      <c r="BD46" s="1"/>
      <c r="BE46" s="1"/>
      <c r="BF46" s="1"/>
      <c r="BG46" s="1"/>
      <c r="BH46" s="1"/>
      <c r="BI46" s="1"/>
      <c r="BJ46" s="1" t="s">
        <v>1111</v>
      </c>
      <c r="BK46" s="1"/>
      <c r="BL46" s="1"/>
      <c r="BM46" s="1" t="s">
        <v>1112</v>
      </c>
      <c r="BN46" s="1">
        <v>79</v>
      </c>
      <c r="BO46" s="1"/>
      <c r="BP46" s="1" t="str">
        <f>HYPERLINK("https://nconnect.nicmar.ac.in/storage/profile/6a26521b8c899.png","Download")</f>
        <v>0</v>
      </c>
      <c r="BQ46" s="3"/>
      <c r="BR46" s="3"/>
    </row>
    <row r="47" spans="1:70">
      <c r="A47" s="1" t="s">
        <v>1113</v>
      </c>
      <c r="B47" s="1" t="s">
        <v>71</v>
      </c>
      <c r="C47" s="1" t="s">
        <v>1114</v>
      </c>
      <c r="D47" s="1" t="s">
        <v>1115</v>
      </c>
      <c r="E47" s="1" t="s">
        <v>1116</v>
      </c>
      <c r="F47" s="1" t="s">
        <v>1117</v>
      </c>
      <c r="G47" s="1" t="s">
        <v>1118</v>
      </c>
      <c r="H47" s="1" t="s">
        <v>1119</v>
      </c>
      <c r="I47" s="1" t="s">
        <v>1119</v>
      </c>
      <c r="J47" s="1">
        <v>7447495790</v>
      </c>
      <c r="K47" s="1" t="s">
        <v>148</v>
      </c>
      <c r="L47" s="1" t="s">
        <v>1120</v>
      </c>
      <c r="M47" s="1" t="s">
        <v>81</v>
      </c>
      <c r="N47" s="1" t="s">
        <v>493</v>
      </c>
      <c r="O47" s="1" t="s">
        <v>83</v>
      </c>
      <c r="P47" s="1" t="s">
        <v>214</v>
      </c>
      <c r="Q47" s="1" t="s">
        <v>1121</v>
      </c>
      <c r="R47" s="1" t="s">
        <v>1122</v>
      </c>
      <c r="S47" s="1">
        <v>9422690620</v>
      </c>
      <c r="T47" s="1" t="s">
        <v>842</v>
      </c>
      <c r="U47" s="1" t="s">
        <v>1123</v>
      </c>
      <c r="V47" s="1">
        <v>9922601605</v>
      </c>
      <c r="W47" s="1" t="s">
        <v>156</v>
      </c>
      <c r="X47" s="1" t="s">
        <v>1124</v>
      </c>
      <c r="Y47" s="1" t="s">
        <v>1018</v>
      </c>
      <c r="Z47" s="1" t="s">
        <v>92</v>
      </c>
      <c r="AA47" s="1" t="s">
        <v>1125</v>
      </c>
      <c r="AB47" s="1" t="s">
        <v>191</v>
      </c>
      <c r="AC47" s="1" t="s">
        <v>92</v>
      </c>
      <c r="AD47" s="1" t="s">
        <v>93</v>
      </c>
      <c r="AE47" s="1" t="s">
        <v>93</v>
      </c>
      <c r="AF47" s="1" t="s">
        <v>1126</v>
      </c>
      <c r="AG47" s="1" t="s">
        <v>1127</v>
      </c>
      <c r="AH47" s="1" t="s">
        <v>96</v>
      </c>
      <c r="AI47" s="1" t="s">
        <v>503</v>
      </c>
      <c r="AJ47" s="1">
        <v>95.6</v>
      </c>
      <c r="AK47" s="1"/>
      <c r="AL47" s="1" t="s">
        <v>1128</v>
      </c>
      <c r="AM47" s="1" t="s">
        <v>1129</v>
      </c>
      <c r="AN47" s="1" t="s">
        <v>162</v>
      </c>
      <c r="AO47" s="1" t="s">
        <v>678</v>
      </c>
      <c r="AP47" s="1">
        <v>67.38</v>
      </c>
      <c r="AQ47" s="1"/>
      <c r="AR47" s="1"/>
      <c r="AS47" s="1"/>
      <c r="AT47" s="1"/>
      <c r="AU47" s="1"/>
      <c r="AV47" s="1"/>
      <c r="AW47" s="1"/>
      <c r="AX47" s="1" t="s">
        <v>361</v>
      </c>
      <c r="AY47" s="1" t="s">
        <v>1130</v>
      </c>
      <c r="AZ47" s="1" t="s">
        <v>165</v>
      </c>
      <c r="BA47" s="1" t="s">
        <v>1131</v>
      </c>
      <c r="BB47" s="1">
        <v>71.4</v>
      </c>
      <c r="BC47" s="1">
        <v>7.89</v>
      </c>
      <c r="BD47" s="1" t="s">
        <v>1132</v>
      </c>
      <c r="BE47" s="1" t="s">
        <v>1133</v>
      </c>
      <c r="BF47" s="1" t="s">
        <v>897</v>
      </c>
      <c r="BG47" s="1" t="s">
        <v>1134</v>
      </c>
      <c r="BH47" s="1">
        <v>75.45</v>
      </c>
      <c r="BI47" s="1">
        <v>8.2</v>
      </c>
      <c r="BJ47" s="1" t="s">
        <v>1135</v>
      </c>
      <c r="BK47" s="1"/>
      <c r="BL47" s="1"/>
      <c r="BM47" s="1" t="s">
        <v>1136</v>
      </c>
      <c r="BN47" s="1">
        <v>21</v>
      </c>
      <c r="BO47" s="1"/>
      <c r="BP47" s="1" t="str">
        <f>HYPERLINK("https://nconnect.nicmar.ac.in/storage/profile/6a228f22b5594.png","Download")</f>
        <v>0</v>
      </c>
      <c r="BQ47" s="3"/>
      <c r="BR47" s="3"/>
    </row>
    <row r="48" spans="1:70">
      <c r="A48" s="1" t="s">
        <v>1113</v>
      </c>
      <c r="B48" s="1" t="s">
        <v>71</v>
      </c>
      <c r="C48" s="1" t="s">
        <v>1137</v>
      </c>
      <c r="D48" s="1" t="s">
        <v>1138</v>
      </c>
      <c r="E48" s="1" t="s">
        <v>1139</v>
      </c>
      <c r="F48" s="1" t="s">
        <v>1140</v>
      </c>
      <c r="G48" s="1" t="s">
        <v>1141</v>
      </c>
      <c r="H48" s="1" t="s">
        <v>1142</v>
      </c>
      <c r="I48" s="1" t="s">
        <v>1142</v>
      </c>
      <c r="J48" s="1">
        <v>7032924052</v>
      </c>
      <c r="K48" s="1" t="s">
        <v>79</v>
      </c>
      <c r="L48" s="1" t="s">
        <v>1143</v>
      </c>
      <c r="M48" s="1" t="s">
        <v>81</v>
      </c>
      <c r="N48" s="1" t="s">
        <v>1144</v>
      </c>
      <c r="O48" s="1" t="s">
        <v>152</v>
      </c>
      <c r="P48" s="1" t="s">
        <v>117</v>
      </c>
      <c r="Q48" s="1" t="s">
        <v>1145</v>
      </c>
      <c r="R48" s="1" t="s">
        <v>1146</v>
      </c>
      <c r="S48" s="1">
        <v>9391525794</v>
      </c>
      <c r="T48" s="1" t="s">
        <v>1147</v>
      </c>
      <c r="U48" s="1" t="s">
        <v>1148</v>
      </c>
      <c r="V48" s="1">
        <v>9959054052</v>
      </c>
      <c r="W48" s="1" t="s">
        <v>651</v>
      </c>
      <c r="X48" s="1" t="s">
        <v>1149</v>
      </c>
      <c r="Y48" s="1" t="s">
        <v>1150</v>
      </c>
      <c r="Z48" s="1" t="s">
        <v>276</v>
      </c>
      <c r="AA48" s="1" t="s">
        <v>1149</v>
      </c>
      <c r="AB48" s="1" t="s">
        <v>1150</v>
      </c>
      <c r="AC48" s="1" t="s">
        <v>276</v>
      </c>
      <c r="AD48" s="1" t="s">
        <v>93</v>
      </c>
      <c r="AE48" s="1" t="s">
        <v>93</v>
      </c>
      <c r="AF48" s="1" t="s">
        <v>1151</v>
      </c>
      <c r="AG48" s="1" t="s">
        <v>1152</v>
      </c>
      <c r="AH48" s="1" t="s">
        <v>527</v>
      </c>
      <c r="AI48" s="1" t="s">
        <v>479</v>
      </c>
      <c r="AJ48" s="1">
        <v>80.33</v>
      </c>
      <c r="AK48" s="1"/>
      <c r="AL48" s="1" t="s">
        <v>1153</v>
      </c>
      <c r="AM48" s="1" t="s">
        <v>1154</v>
      </c>
      <c r="AN48" s="1" t="s">
        <v>383</v>
      </c>
      <c r="AO48" s="1" t="s">
        <v>409</v>
      </c>
      <c r="AP48" s="1">
        <v>91.1</v>
      </c>
      <c r="AQ48" s="1"/>
      <c r="AR48" s="1"/>
      <c r="AS48" s="1"/>
      <c r="AT48" s="1"/>
      <c r="AU48" s="1"/>
      <c r="AV48" s="1"/>
      <c r="AW48" s="1"/>
      <c r="AX48" s="1" t="s">
        <v>1155</v>
      </c>
      <c r="AY48" s="1" t="s">
        <v>1156</v>
      </c>
      <c r="AZ48" s="1" t="s">
        <v>310</v>
      </c>
      <c r="BA48" s="1" t="s">
        <v>1157</v>
      </c>
      <c r="BB48" s="1">
        <v>64.9</v>
      </c>
      <c r="BC48" s="1">
        <v>7.24</v>
      </c>
      <c r="BD48" s="1"/>
      <c r="BE48" s="1"/>
      <c r="BF48" s="1"/>
      <c r="BG48" s="1"/>
      <c r="BH48" s="1"/>
      <c r="BI48" s="1"/>
      <c r="BJ48" s="1" t="s">
        <v>1158</v>
      </c>
      <c r="BK48" s="1"/>
      <c r="BL48" s="1"/>
      <c r="BM48" s="1" t="s">
        <v>1159</v>
      </c>
      <c r="BN48" s="1">
        <v>8</v>
      </c>
      <c r="BO48" s="1" t="s">
        <v>1160</v>
      </c>
      <c r="BP48" s="1" t="str">
        <f>HYPERLINK("https://nconnect.nicmar.ac.in/storage/profile/6a229f37c4f6e.png","Download")</f>
        <v>0</v>
      </c>
      <c r="BQ48" s="3"/>
      <c r="BR48" s="3"/>
    </row>
    <row r="49" spans="1:70">
      <c r="A49" s="1" t="s">
        <v>1113</v>
      </c>
      <c r="B49" s="1" t="s">
        <v>71</v>
      </c>
      <c r="C49" s="1" t="s">
        <v>1161</v>
      </c>
      <c r="D49" s="1" t="s">
        <v>1162</v>
      </c>
      <c r="E49" s="1" t="s">
        <v>1163</v>
      </c>
      <c r="F49" s="1" t="s">
        <v>1164</v>
      </c>
      <c r="G49" s="1" t="s">
        <v>1165</v>
      </c>
      <c r="H49" s="1" t="s">
        <v>1166</v>
      </c>
      <c r="I49" s="1" t="s">
        <v>1166</v>
      </c>
      <c r="J49" s="1">
        <v>8806168395</v>
      </c>
      <c r="K49" s="1" t="s">
        <v>148</v>
      </c>
      <c r="L49" s="1" t="s">
        <v>1167</v>
      </c>
      <c r="M49" s="1" t="s">
        <v>81</v>
      </c>
      <c r="N49" s="1" t="s">
        <v>1168</v>
      </c>
      <c r="O49" s="1" t="s">
        <v>152</v>
      </c>
      <c r="P49" s="1" t="s">
        <v>214</v>
      </c>
      <c r="Q49" s="1" t="s">
        <v>1169</v>
      </c>
      <c r="R49" s="1" t="s">
        <v>1170</v>
      </c>
      <c r="S49" s="1">
        <v>9422252460</v>
      </c>
      <c r="T49" s="1" t="s">
        <v>1171</v>
      </c>
      <c r="U49" s="1" t="s">
        <v>1172</v>
      </c>
      <c r="V49" s="1">
        <v>9423969885</v>
      </c>
      <c r="W49" s="1" t="s">
        <v>89</v>
      </c>
      <c r="X49" s="1" t="s">
        <v>1173</v>
      </c>
      <c r="Y49" s="1" t="s">
        <v>1174</v>
      </c>
      <c r="Z49" s="1" t="s">
        <v>92</v>
      </c>
      <c r="AA49" s="1" t="s">
        <v>1173</v>
      </c>
      <c r="AB49" s="1" t="s">
        <v>1174</v>
      </c>
      <c r="AC49" s="1" t="s">
        <v>92</v>
      </c>
      <c r="AD49" s="1" t="s">
        <v>93</v>
      </c>
      <c r="AE49" s="1" t="s">
        <v>93</v>
      </c>
      <c r="AF49" s="1" t="s">
        <v>1175</v>
      </c>
      <c r="AG49" s="1" t="s">
        <v>1176</v>
      </c>
      <c r="AH49" s="1" t="s">
        <v>161</v>
      </c>
      <c r="AI49" s="1" t="s">
        <v>456</v>
      </c>
      <c r="AJ49" s="1">
        <v>90.0</v>
      </c>
      <c r="AK49" s="1"/>
      <c r="AL49" s="1" t="s">
        <v>1177</v>
      </c>
      <c r="AM49" s="1" t="s">
        <v>1176</v>
      </c>
      <c r="AN49" s="1" t="s">
        <v>165</v>
      </c>
      <c r="AO49" s="1" t="s">
        <v>457</v>
      </c>
      <c r="AP49" s="1">
        <v>79.23</v>
      </c>
      <c r="AQ49" s="1"/>
      <c r="AR49" s="1"/>
      <c r="AS49" s="1"/>
      <c r="AT49" s="1"/>
      <c r="AU49" s="1"/>
      <c r="AV49" s="1"/>
      <c r="AW49" s="1"/>
      <c r="AX49" s="1" t="s">
        <v>361</v>
      </c>
      <c r="AY49" s="1" t="s">
        <v>1178</v>
      </c>
      <c r="AZ49" s="1" t="s">
        <v>101</v>
      </c>
      <c r="BA49" s="1" t="s">
        <v>590</v>
      </c>
      <c r="BB49" s="1">
        <v>74.5</v>
      </c>
      <c r="BC49" s="1">
        <v>8.2</v>
      </c>
      <c r="BD49" s="1"/>
      <c r="BE49" s="1"/>
      <c r="BF49" s="1"/>
      <c r="BG49" s="1"/>
      <c r="BH49" s="1"/>
      <c r="BI49" s="1"/>
      <c r="BJ49" s="1" t="s">
        <v>1179</v>
      </c>
      <c r="BK49" s="1"/>
      <c r="BL49" s="1"/>
      <c r="BM49" s="1" t="s">
        <v>1180</v>
      </c>
      <c r="BN49" s="1">
        <v>86</v>
      </c>
      <c r="BO49" s="1" t="s">
        <v>1181</v>
      </c>
      <c r="BP49" s="1" t="str">
        <f>HYPERLINK("https://nconnect.nicmar.ac.in/storage/profile/6a22a37637792.png","Download")</f>
        <v>0</v>
      </c>
      <c r="BQ49" s="3"/>
      <c r="BR49" s="3"/>
    </row>
    <row r="50" spans="1:70">
      <c r="A50" s="1" t="s">
        <v>1113</v>
      </c>
      <c r="B50" s="1" t="s">
        <v>71</v>
      </c>
      <c r="C50" s="1" t="s">
        <v>1182</v>
      </c>
      <c r="D50" s="1" t="s">
        <v>1183</v>
      </c>
      <c r="E50" s="1"/>
      <c r="F50" s="1" t="s">
        <v>1184</v>
      </c>
      <c r="G50" s="1" t="s">
        <v>1185</v>
      </c>
      <c r="H50" s="1" t="s">
        <v>1186</v>
      </c>
      <c r="I50" s="1" t="s">
        <v>1186</v>
      </c>
      <c r="J50" s="1">
        <v>9041258814</v>
      </c>
      <c r="K50" s="1" t="s">
        <v>79</v>
      </c>
      <c r="L50" s="1" t="s">
        <v>1187</v>
      </c>
      <c r="M50" s="1" t="s">
        <v>81</v>
      </c>
      <c r="N50" s="1" t="s">
        <v>1188</v>
      </c>
      <c r="O50" s="1" t="s">
        <v>152</v>
      </c>
      <c r="P50" s="1" t="s">
        <v>117</v>
      </c>
      <c r="Q50" s="1" t="s">
        <v>1189</v>
      </c>
      <c r="R50" s="1" t="s">
        <v>1190</v>
      </c>
      <c r="S50" s="1">
        <v>9810107705</v>
      </c>
      <c r="T50" s="1" t="s">
        <v>1191</v>
      </c>
      <c r="U50" s="1" t="s">
        <v>1192</v>
      </c>
      <c r="V50" s="1">
        <v>8130631490</v>
      </c>
      <c r="W50" s="1" t="s">
        <v>1193</v>
      </c>
      <c r="X50" s="1" t="s">
        <v>1194</v>
      </c>
      <c r="Y50" s="1" t="s">
        <v>721</v>
      </c>
      <c r="Z50" s="1" t="s">
        <v>722</v>
      </c>
      <c r="AA50" s="1" t="s">
        <v>1194</v>
      </c>
      <c r="AB50" s="1" t="s">
        <v>721</v>
      </c>
      <c r="AC50" s="1" t="s">
        <v>722</v>
      </c>
      <c r="AD50" s="1" t="s">
        <v>93</v>
      </c>
      <c r="AE50" s="1" t="s">
        <v>93</v>
      </c>
      <c r="AF50" s="1" t="s">
        <v>1195</v>
      </c>
      <c r="AG50" s="1" t="s">
        <v>1196</v>
      </c>
      <c r="AH50" s="1" t="s">
        <v>332</v>
      </c>
      <c r="AI50" s="1" t="s">
        <v>658</v>
      </c>
      <c r="AJ50" s="1">
        <v>77.9</v>
      </c>
      <c r="AK50" s="1">
        <v>8.2</v>
      </c>
      <c r="AL50" s="1" t="s">
        <v>1195</v>
      </c>
      <c r="AM50" s="1" t="s">
        <v>1196</v>
      </c>
      <c r="AN50" s="1" t="s">
        <v>128</v>
      </c>
      <c r="AO50" s="1" t="s">
        <v>1197</v>
      </c>
      <c r="AP50" s="1">
        <v>57</v>
      </c>
      <c r="AQ50" s="1"/>
      <c r="AR50" s="1"/>
      <c r="AS50" s="1"/>
      <c r="AT50" s="1"/>
      <c r="AU50" s="1"/>
      <c r="AV50" s="1"/>
      <c r="AW50" s="1"/>
      <c r="AX50" s="1" t="s">
        <v>1198</v>
      </c>
      <c r="AY50" s="1" t="s">
        <v>1199</v>
      </c>
      <c r="AZ50" s="1" t="s">
        <v>252</v>
      </c>
      <c r="BA50" s="1" t="s">
        <v>104</v>
      </c>
      <c r="BB50" s="1">
        <v>66.78</v>
      </c>
      <c r="BC50" s="1">
        <v>7.42</v>
      </c>
      <c r="BD50" s="1"/>
      <c r="BE50" s="1"/>
      <c r="BF50" s="1"/>
      <c r="BG50" s="1"/>
      <c r="BH50" s="1"/>
      <c r="BI50" s="1"/>
      <c r="BJ50" s="1" t="s">
        <v>1200</v>
      </c>
      <c r="BK50" s="1" t="s">
        <v>1201</v>
      </c>
      <c r="BL50" s="1" t="s">
        <v>1202</v>
      </c>
      <c r="BM50" s="1" t="s">
        <v>1203</v>
      </c>
      <c r="BN50" s="1">
        <v>25</v>
      </c>
      <c r="BO50" s="1" t="s">
        <v>1204</v>
      </c>
      <c r="BP50" s="1" t="str">
        <f>HYPERLINK("https://nconnect.nicmar.ac.in/storage/profile/6a22aa8c81c79.png","Download")</f>
        <v>0</v>
      </c>
      <c r="BQ50" s="3"/>
      <c r="BR50" s="3"/>
    </row>
    <row r="51" spans="1:70">
      <c r="A51" s="1" t="s">
        <v>1113</v>
      </c>
      <c r="B51" s="1" t="s">
        <v>71</v>
      </c>
      <c r="C51" s="1" t="s">
        <v>1205</v>
      </c>
      <c r="D51" s="1" t="s">
        <v>512</v>
      </c>
      <c r="E51" s="1" t="s">
        <v>1206</v>
      </c>
      <c r="F51" s="1" t="s">
        <v>1207</v>
      </c>
      <c r="G51" s="1" t="s">
        <v>1208</v>
      </c>
      <c r="H51" s="1" t="s">
        <v>1209</v>
      </c>
      <c r="I51" s="1" t="s">
        <v>1209</v>
      </c>
      <c r="J51" s="1">
        <v>7767970404</v>
      </c>
      <c r="K51" s="1" t="s">
        <v>148</v>
      </c>
      <c r="L51" s="1" t="s">
        <v>1210</v>
      </c>
      <c r="M51" s="1" t="s">
        <v>81</v>
      </c>
      <c r="N51" s="1" t="s">
        <v>1211</v>
      </c>
      <c r="O51" s="1" t="s">
        <v>83</v>
      </c>
      <c r="P51" s="1" t="s">
        <v>214</v>
      </c>
      <c r="Q51" s="1" t="s">
        <v>1212</v>
      </c>
      <c r="R51" s="1" t="s">
        <v>1206</v>
      </c>
      <c r="S51" s="1">
        <v>9763437081</v>
      </c>
      <c r="T51" s="1" t="s">
        <v>763</v>
      </c>
      <c r="U51" s="1" t="s">
        <v>1213</v>
      </c>
      <c r="V51" s="1">
        <v>9423007675</v>
      </c>
      <c r="W51" s="1" t="s">
        <v>763</v>
      </c>
      <c r="X51" s="1" t="s">
        <v>1214</v>
      </c>
      <c r="Y51" s="1" t="s">
        <v>191</v>
      </c>
      <c r="Z51" s="1" t="s">
        <v>92</v>
      </c>
      <c r="AA51" s="1" t="s">
        <v>1214</v>
      </c>
      <c r="AB51" s="1" t="s">
        <v>191</v>
      </c>
      <c r="AC51" s="1" t="s">
        <v>92</v>
      </c>
      <c r="AD51" s="1" t="s">
        <v>93</v>
      </c>
      <c r="AE51" s="1" t="s">
        <v>93</v>
      </c>
      <c r="AF51" s="1" t="s">
        <v>1215</v>
      </c>
      <c r="AG51" s="1" t="s">
        <v>1216</v>
      </c>
      <c r="AH51" s="1" t="s">
        <v>161</v>
      </c>
      <c r="AI51" s="1" t="s">
        <v>456</v>
      </c>
      <c r="AJ51" s="1">
        <v>96.6</v>
      </c>
      <c r="AK51" s="1"/>
      <c r="AL51" s="1" t="s">
        <v>1217</v>
      </c>
      <c r="AM51" s="1" t="s">
        <v>1216</v>
      </c>
      <c r="AN51" s="1" t="s">
        <v>165</v>
      </c>
      <c r="AO51" s="1" t="s">
        <v>457</v>
      </c>
      <c r="AP51" s="1">
        <v>88.77</v>
      </c>
      <c r="AQ51" s="1"/>
      <c r="AR51" s="1"/>
      <c r="AS51" s="1"/>
      <c r="AT51" s="1"/>
      <c r="AU51" s="1"/>
      <c r="AV51" s="1"/>
      <c r="AW51" s="1"/>
      <c r="AX51" s="1" t="s">
        <v>361</v>
      </c>
      <c r="AY51" s="1" t="s">
        <v>1218</v>
      </c>
      <c r="AZ51" s="1" t="s">
        <v>636</v>
      </c>
      <c r="BA51" s="1" t="s">
        <v>590</v>
      </c>
      <c r="BB51" s="1">
        <v>86.15</v>
      </c>
      <c r="BC51" s="1">
        <v>9.68</v>
      </c>
      <c r="BD51" s="1"/>
      <c r="BE51" s="1"/>
      <c r="BF51" s="1"/>
      <c r="BG51" s="1"/>
      <c r="BH51" s="1"/>
      <c r="BI51" s="1"/>
      <c r="BJ51" s="1" t="s">
        <v>1200</v>
      </c>
      <c r="BK51" s="1" t="s">
        <v>1219</v>
      </c>
      <c r="BL51" s="1" t="s">
        <v>1220</v>
      </c>
      <c r="BM51" s="1" t="s">
        <v>1221</v>
      </c>
      <c r="BN51" s="1">
        <v>35</v>
      </c>
      <c r="BO51" s="1"/>
      <c r="BP51" s="1" t="str">
        <f>HYPERLINK("https://nconnect.nicmar.ac.in/storage/profile/6a22b01e23288.png","Download")</f>
        <v>0</v>
      </c>
      <c r="BQ51" s="3"/>
      <c r="BR51" s="3"/>
    </row>
    <row r="52" spans="1:70">
      <c r="A52" s="1" t="s">
        <v>1222</v>
      </c>
      <c r="B52" s="1" t="s">
        <v>1223</v>
      </c>
      <c r="C52" s="1" t="s">
        <v>1224</v>
      </c>
      <c r="D52" s="1" t="s">
        <v>1225</v>
      </c>
      <c r="E52" s="1"/>
      <c r="F52" s="1" t="s">
        <v>1226</v>
      </c>
      <c r="G52" s="1" t="s">
        <v>1227</v>
      </c>
      <c r="H52" s="1" t="s">
        <v>1228</v>
      </c>
      <c r="I52" s="1" t="s">
        <v>1228</v>
      </c>
      <c r="J52" s="1">
        <v>9755778896</v>
      </c>
      <c r="K52" s="1" t="s">
        <v>79</v>
      </c>
      <c r="L52" s="1" t="s">
        <v>1229</v>
      </c>
      <c r="M52" s="1" t="s">
        <v>81</v>
      </c>
      <c r="N52" s="1" t="s">
        <v>1144</v>
      </c>
      <c r="O52" s="1" t="s">
        <v>152</v>
      </c>
      <c r="P52" s="1" t="s">
        <v>84</v>
      </c>
      <c r="Q52" s="1" t="s">
        <v>1230</v>
      </c>
      <c r="R52" s="1" t="s">
        <v>1231</v>
      </c>
      <c r="S52" s="1">
        <v>9827897453</v>
      </c>
      <c r="T52" s="1" t="s">
        <v>1232</v>
      </c>
      <c r="U52" s="1" t="s">
        <v>1233</v>
      </c>
      <c r="V52" s="1">
        <v>9479041210</v>
      </c>
      <c r="W52" s="1" t="s">
        <v>1234</v>
      </c>
      <c r="X52" s="1" t="s">
        <v>1235</v>
      </c>
      <c r="Y52" s="1" t="s">
        <v>1236</v>
      </c>
      <c r="Z52" s="1" t="s">
        <v>1237</v>
      </c>
      <c r="AA52" s="1" t="s">
        <v>1235</v>
      </c>
      <c r="AB52" s="1" t="s">
        <v>1236</v>
      </c>
      <c r="AC52" s="1" t="s">
        <v>1237</v>
      </c>
      <c r="AD52" s="1" t="s">
        <v>93</v>
      </c>
      <c r="AE52" s="1" t="s">
        <v>93</v>
      </c>
      <c r="AF52" s="1" t="s">
        <v>1238</v>
      </c>
      <c r="AG52" s="1" t="s">
        <v>1239</v>
      </c>
      <c r="AH52" s="1" t="s">
        <v>1240</v>
      </c>
      <c r="AI52" s="1" t="s">
        <v>332</v>
      </c>
      <c r="AJ52" s="1">
        <v>83.67</v>
      </c>
      <c r="AK52" s="1"/>
      <c r="AL52" s="1" t="s">
        <v>1241</v>
      </c>
      <c r="AM52" s="1" t="s">
        <v>1239</v>
      </c>
      <c r="AN52" s="1" t="s">
        <v>128</v>
      </c>
      <c r="AO52" s="1" t="s">
        <v>1242</v>
      </c>
      <c r="AP52" s="1">
        <v>78.2</v>
      </c>
      <c r="AQ52" s="1"/>
      <c r="AR52" s="1"/>
      <c r="AS52" s="1"/>
      <c r="AT52" s="1"/>
      <c r="AU52" s="1"/>
      <c r="AV52" s="1"/>
      <c r="AW52" s="1"/>
      <c r="AX52" s="1" t="s">
        <v>1243</v>
      </c>
      <c r="AY52" s="1" t="s">
        <v>1244</v>
      </c>
      <c r="AZ52" s="1" t="s">
        <v>1245</v>
      </c>
      <c r="BA52" s="1" t="s">
        <v>479</v>
      </c>
      <c r="BB52" s="1">
        <v>73.2</v>
      </c>
      <c r="BC52" s="1"/>
      <c r="BD52" s="1"/>
      <c r="BE52" s="1"/>
      <c r="BF52" s="1"/>
      <c r="BG52" s="1"/>
      <c r="BH52" s="1"/>
      <c r="BI52" s="1"/>
      <c r="BJ52" s="1" t="s">
        <v>1246</v>
      </c>
      <c r="BK52" s="1"/>
      <c r="BL52" s="1"/>
      <c r="BM52" s="1"/>
      <c r="BN52" s="1"/>
      <c r="BO52" s="1"/>
      <c r="BP52" s="1" t="str">
        <f>HYPERLINK("https://nconnect.nicmar.ac.in/storage/profile/6a263d01e588c.png","Download")</f>
        <v>0</v>
      </c>
      <c r="BQ52" s="3"/>
      <c r="BR52" s="3"/>
    </row>
    <row r="53" spans="1:70">
      <c r="A53" s="1" t="s">
        <v>1222</v>
      </c>
      <c r="B53" s="1" t="s">
        <v>1223</v>
      </c>
      <c r="C53" s="1" t="s">
        <v>1247</v>
      </c>
      <c r="D53" s="1" t="s">
        <v>1248</v>
      </c>
      <c r="E53" s="1" t="s">
        <v>1249</v>
      </c>
      <c r="F53" s="1" t="s">
        <v>111</v>
      </c>
      <c r="G53" s="1" t="s">
        <v>1250</v>
      </c>
      <c r="H53" s="1" t="s">
        <v>1251</v>
      </c>
      <c r="I53" s="1" t="s">
        <v>1251</v>
      </c>
      <c r="J53" s="1">
        <v>7902980092</v>
      </c>
      <c r="K53" s="1" t="s">
        <v>79</v>
      </c>
      <c r="L53" s="1" t="s">
        <v>1252</v>
      </c>
      <c r="M53" s="1" t="s">
        <v>81</v>
      </c>
      <c r="N53" s="1" t="s">
        <v>1253</v>
      </c>
      <c r="O53" s="1" t="s">
        <v>152</v>
      </c>
      <c r="P53" s="1" t="s">
        <v>117</v>
      </c>
      <c r="Q53" s="1" t="s">
        <v>1254</v>
      </c>
      <c r="R53" s="1" t="s">
        <v>1255</v>
      </c>
      <c r="S53" s="1">
        <v>8281104396</v>
      </c>
      <c r="T53" s="1" t="s">
        <v>1256</v>
      </c>
      <c r="U53" s="1" t="s">
        <v>1257</v>
      </c>
      <c r="V53" s="1">
        <v>8281103396</v>
      </c>
      <c r="W53" s="1" t="s">
        <v>1258</v>
      </c>
      <c r="X53" s="1" t="s">
        <v>1259</v>
      </c>
      <c r="Y53" s="1" t="s">
        <v>1260</v>
      </c>
      <c r="Z53" s="1" t="s">
        <v>125</v>
      </c>
      <c r="AA53" s="1" t="s">
        <v>1259</v>
      </c>
      <c r="AB53" s="1" t="s">
        <v>1260</v>
      </c>
      <c r="AC53" s="1" t="s">
        <v>125</v>
      </c>
      <c r="AD53" s="1" t="s">
        <v>93</v>
      </c>
      <c r="AE53" s="1" t="s">
        <v>93</v>
      </c>
      <c r="AF53" s="1" t="s">
        <v>1261</v>
      </c>
      <c r="AG53" s="1" t="s">
        <v>1262</v>
      </c>
      <c r="AH53" s="1" t="s">
        <v>96</v>
      </c>
      <c r="AI53" s="1" t="s">
        <v>503</v>
      </c>
      <c r="AJ53" s="1">
        <v>73.0</v>
      </c>
      <c r="AK53" s="1"/>
      <c r="AL53" s="1" t="s">
        <v>1263</v>
      </c>
      <c r="AM53" s="1" t="s">
        <v>1264</v>
      </c>
      <c r="AN53" s="1" t="s">
        <v>337</v>
      </c>
      <c r="AO53" s="1" t="s">
        <v>479</v>
      </c>
      <c r="AP53" s="1">
        <v>63.91</v>
      </c>
      <c r="AQ53" s="1"/>
      <c r="AR53" s="1"/>
      <c r="AS53" s="1"/>
      <c r="AT53" s="1"/>
      <c r="AU53" s="1"/>
      <c r="AV53" s="1"/>
      <c r="AW53" s="1"/>
      <c r="AX53" s="1" t="s">
        <v>1265</v>
      </c>
      <c r="AY53" s="1" t="s">
        <v>1266</v>
      </c>
      <c r="AZ53" s="1" t="s">
        <v>101</v>
      </c>
      <c r="BA53" s="1" t="s">
        <v>590</v>
      </c>
      <c r="BB53" s="1">
        <v>64.6</v>
      </c>
      <c r="BC53" s="1"/>
      <c r="BD53" s="1"/>
      <c r="BE53" s="1"/>
      <c r="BF53" s="1"/>
      <c r="BG53" s="1"/>
      <c r="BH53" s="1"/>
      <c r="BI53" s="1"/>
      <c r="BJ53" s="1" t="s">
        <v>1267</v>
      </c>
      <c r="BK53" s="1"/>
      <c r="BL53" s="1"/>
      <c r="BM53" s="1" t="s">
        <v>1268</v>
      </c>
      <c r="BN53" s="1">
        <v>2</v>
      </c>
      <c r="BO53" s="1"/>
      <c r="BP53" s="1" t="str">
        <f>HYPERLINK("https://nconnect.nicmar.ac.in/storage/profile/6a2643dfcb805.png","Download")</f>
        <v>0</v>
      </c>
      <c r="BQ53" s="3"/>
      <c r="BR53" s="3"/>
    </row>
    <row r="54" spans="1:70">
      <c r="A54" s="1" t="s">
        <v>70</v>
      </c>
      <c r="B54" s="1" t="s">
        <v>1269</v>
      </c>
      <c r="C54" s="1" t="s">
        <v>1270</v>
      </c>
      <c r="D54" s="1" t="s">
        <v>1271</v>
      </c>
      <c r="E54" s="1"/>
      <c r="F54" s="1" t="s">
        <v>1272</v>
      </c>
      <c r="G54" s="1" t="s">
        <v>1273</v>
      </c>
      <c r="H54" s="1" t="s">
        <v>1274</v>
      </c>
      <c r="I54" s="1" t="s">
        <v>1275</v>
      </c>
      <c r="J54" s="1">
        <v>9346561296</v>
      </c>
      <c r="K54" s="1" t="s">
        <v>79</v>
      </c>
      <c r="L54" s="1" t="s">
        <v>1276</v>
      </c>
      <c r="M54" s="1" t="s">
        <v>81</v>
      </c>
      <c r="N54" s="1" t="s">
        <v>1277</v>
      </c>
      <c r="O54" s="1"/>
      <c r="P54" s="1" t="s">
        <v>1278</v>
      </c>
      <c r="Q54" s="1" t="s">
        <v>1279</v>
      </c>
      <c r="R54" s="1" t="s">
        <v>1280</v>
      </c>
      <c r="S54" s="1">
        <v>9963721767</v>
      </c>
      <c r="T54" s="1" t="s">
        <v>154</v>
      </c>
      <c r="U54" s="1" t="s">
        <v>1281</v>
      </c>
      <c r="V54" s="1">
        <v>9963721767</v>
      </c>
      <c r="W54" s="1" t="s">
        <v>154</v>
      </c>
      <c r="X54" s="1" t="s">
        <v>1282</v>
      </c>
      <c r="Y54" s="1" t="s">
        <v>1283</v>
      </c>
      <c r="Z54" s="1" t="s">
        <v>609</v>
      </c>
      <c r="AA54" s="1" t="s">
        <v>1282</v>
      </c>
      <c r="AB54" s="1" t="s">
        <v>1283</v>
      </c>
      <c r="AC54" s="1" t="s">
        <v>609</v>
      </c>
      <c r="AD54" s="1">
        <v>9.1</v>
      </c>
      <c r="AE54" s="1" t="s">
        <v>93</v>
      </c>
      <c r="AF54" s="1" t="s">
        <v>1284</v>
      </c>
      <c r="AG54" s="1" t="s">
        <v>1285</v>
      </c>
      <c r="AH54" s="1" t="s">
        <v>161</v>
      </c>
      <c r="AI54" s="1" t="s">
        <v>281</v>
      </c>
      <c r="AJ54" s="1">
        <v>98</v>
      </c>
      <c r="AK54" s="1">
        <v>9.8</v>
      </c>
      <c r="AL54" s="1" t="s">
        <v>1286</v>
      </c>
      <c r="AM54" s="1" t="s">
        <v>1286</v>
      </c>
      <c r="AN54" s="1" t="s">
        <v>169</v>
      </c>
      <c r="AO54" s="1" t="s">
        <v>412</v>
      </c>
      <c r="AP54" s="1">
        <v>89.9</v>
      </c>
      <c r="AQ54" s="1">
        <v>8.99</v>
      </c>
      <c r="AR54" s="1"/>
      <c r="AS54" s="1"/>
      <c r="AT54" s="1"/>
      <c r="AU54" s="1"/>
      <c r="AV54" s="1"/>
      <c r="AW54" s="1"/>
      <c r="AX54" s="1" t="s">
        <v>1286</v>
      </c>
      <c r="AY54" s="1" t="s">
        <v>1286</v>
      </c>
      <c r="AZ54" s="1" t="s">
        <v>699</v>
      </c>
      <c r="BA54" s="1" t="s">
        <v>413</v>
      </c>
      <c r="BB54" s="1">
        <v>82</v>
      </c>
      <c r="BC54" s="1">
        <v>8.2</v>
      </c>
      <c r="BD54" s="1"/>
      <c r="BE54" s="1"/>
      <c r="BF54" s="1"/>
      <c r="BG54" s="1"/>
      <c r="BH54" s="1"/>
      <c r="BI54" s="1"/>
      <c r="BJ54" s="1" t="s">
        <v>1287</v>
      </c>
      <c r="BK54" s="1" t="s">
        <v>1288</v>
      </c>
      <c r="BL54" s="1" t="s">
        <v>1289</v>
      </c>
      <c r="BM54" s="1" t="s">
        <v>1290</v>
      </c>
      <c r="BN54" s="1">
        <v>14</v>
      </c>
      <c r="BO54" s="1"/>
      <c r="BP54" s="1" t="str">
        <f>HYPERLINK("https://nconnect.nicmar.ac.in/storage/profile/ProfilePhoto_P25700031_379814.jpg","Download")</f>
        <v>0</v>
      </c>
      <c r="BQ54" s="3"/>
      <c r="BR54" s="3"/>
    </row>
    <row r="55" spans="1:70">
      <c r="A55" s="1" t="s">
        <v>70</v>
      </c>
      <c r="B55" s="1" t="s">
        <v>1269</v>
      </c>
      <c r="C55" s="1" t="s">
        <v>1291</v>
      </c>
      <c r="D55" s="1" t="s">
        <v>1292</v>
      </c>
      <c r="E55" s="1"/>
      <c r="F55" s="1" t="s">
        <v>1293</v>
      </c>
      <c r="G55" s="1" t="s">
        <v>1294</v>
      </c>
      <c r="H55" s="1" t="s">
        <v>1295</v>
      </c>
      <c r="I55" s="1" t="s">
        <v>1296</v>
      </c>
      <c r="J55" s="1">
        <v>7671817459</v>
      </c>
      <c r="K55" s="1" t="s">
        <v>148</v>
      </c>
      <c r="L55" s="1" t="s">
        <v>1297</v>
      </c>
      <c r="M55" s="1" t="s">
        <v>81</v>
      </c>
      <c r="N55" s="1" t="s">
        <v>1277</v>
      </c>
      <c r="O55" s="1"/>
      <c r="P55" s="1" t="s">
        <v>1298</v>
      </c>
      <c r="Q55" s="1" t="s">
        <v>1299</v>
      </c>
      <c r="R55" s="1" t="s">
        <v>1300</v>
      </c>
      <c r="S55" s="1">
        <v>9491170937</v>
      </c>
      <c r="T55" s="1" t="s">
        <v>1301</v>
      </c>
      <c r="U55" s="1" t="s">
        <v>1302</v>
      </c>
      <c r="V55" s="1">
        <v>8919283213</v>
      </c>
      <c r="W55" s="1" t="s">
        <v>1301</v>
      </c>
      <c r="X55" s="1" t="s">
        <v>1303</v>
      </c>
      <c r="Y55" s="1" t="s">
        <v>1304</v>
      </c>
      <c r="Z55" s="1" t="s">
        <v>276</v>
      </c>
      <c r="AA55" s="1" t="s">
        <v>1303</v>
      </c>
      <c r="AB55" s="1" t="s">
        <v>1304</v>
      </c>
      <c r="AC55" s="1" t="s">
        <v>276</v>
      </c>
      <c r="AD55" s="1">
        <v>8.34</v>
      </c>
      <c r="AE55" s="1" t="s">
        <v>93</v>
      </c>
      <c r="AF55" s="1" t="s">
        <v>1305</v>
      </c>
      <c r="AG55" s="1" t="s">
        <v>1306</v>
      </c>
      <c r="AH55" s="1" t="s">
        <v>165</v>
      </c>
      <c r="AI55" s="1" t="s">
        <v>1307</v>
      </c>
      <c r="AJ55" s="1">
        <v>100</v>
      </c>
      <c r="AK55" s="1">
        <v>10</v>
      </c>
      <c r="AL55" s="1" t="s">
        <v>1308</v>
      </c>
      <c r="AM55" s="1" t="s">
        <v>1309</v>
      </c>
      <c r="AN55" s="1" t="s">
        <v>101</v>
      </c>
      <c r="AO55" s="1" t="s">
        <v>699</v>
      </c>
      <c r="AP55" s="1">
        <v>89.9</v>
      </c>
      <c r="AQ55" s="1">
        <v>9.38</v>
      </c>
      <c r="AR55" s="1"/>
      <c r="AS55" s="1"/>
      <c r="AT55" s="1"/>
      <c r="AU55" s="1"/>
      <c r="AV55" s="1"/>
      <c r="AW55" s="1"/>
      <c r="AX55" s="1" t="s">
        <v>1310</v>
      </c>
      <c r="AY55" s="1" t="s">
        <v>1311</v>
      </c>
      <c r="AZ55" s="1" t="s">
        <v>699</v>
      </c>
      <c r="BA55" s="1" t="s">
        <v>202</v>
      </c>
      <c r="BB55" s="1">
        <v>74.67</v>
      </c>
      <c r="BC55" s="1">
        <v>7.86</v>
      </c>
      <c r="BD55" s="1"/>
      <c r="BE55" s="1"/>
      <c r="BF55" s="1"/>
      <c r="BG55" s="1"/>
      <c r="BH55" s="1"/>
      <c r="BI55" s="1"/>
      <c r="BJ55" s="1" t="s">
        <v>1312</v>
      </c>
      <c r="BK55" s="1"/>
      <c r="BL55" s="1"/>
      <c r="BM55" s="1" t="s">
        <v>1313</v>
      </c>
      <c r="BN55" s="1">
        <v>25</v>
      </c>
      <c r="BO55" s="1"/>
      <c r="BP55" s="1" t="str">
        <f>HYPERLINK("https://nconnect.nicmar.ac.in/storage/profile/ProfilePhoto_P25700556_563978.jpg","Download")</f>
        <v>0</v>
      </c>
      <c r="BQ55" s="3"/>
      <c r="BR55" s="3"/>
    </row>
    <row r="56" spans="1:70">
      <c r="A56" s="1" t="s">
        <v>70</v>
      </c>
      <c r="B56" s="1" t="s">
        <v>1269</v>
      </c>
      <c r="C56" s="1" t="s">
        <v>1314</v>
      </c>
      <c r="D56" s="1" t="s">
        <v>1315</v>
      </c>
      <c r="E56" s="1" t="s">
        <v>1316</v>
      </c>
      <c r="F56" s="1" t="s">
        <v>1317</v>
      </c>
      <c r="G56" s="1" t="s">
        <v>1318</v>
      </c>
      <c r="H56" s="1" t="s">
        <v>1319</v>
      </c>
      <c r="I56" s="1" t="s">
        <v>1320</v>
      </c>
      <c r="J56" s="1">
        <v>9284394773</v>
      </c>
      <c r="K56" s="1" t="s">
        <v>148</v>
      </c>
      <c r="L56" s="1" t="s">
        <v>1321</v>
      </c>
      <c r="M56" s="1" t="s">
        <v>81</v>
      </c>
      <c r="N56" s="1" t="s">
        <v>1322</v>
      </c>
      <c r="O56" s="1"/>
      <c r="P56" s="1" t="s">
        <v>1323</v>
      </c>
      <c r="Q56" s="1" t="s">
        <v>1324</v>
      </c>
      <c r="R56" s="1" t="s">
        <v>1325</v>
      </c>
      <c r="S56" s="1">
        <v>9356181017</v>
      </c>
      <c r="T56" s="1" t="s">
        <v>1326</v>
      </c>
      <c r="U56" s="1" t="s">
        <v>1327</v>
      </c>
      <c r="V56" s="1">
        <v>9850076954</v>
      </c>
      <c r="W56" s="1" t="s">
        <v>122</v>
      </c>
      <c r="X56" s="1" t="s">
        <v>1328</v>
      </c>
      <c r="Y56" s="1" t="s">
        <v>328</v>
      </c>
      <c r="Z56" s="1" t="s">
        <v>92</v>
      </c>
      <c r="AA56" s="1" t="s">
        <v>1328</v>
      </c>
      <c r="AB56" s="1" t="s">
        <v>328</v>
      </c>
      <c r="AC56" s="1" t="s">
        <v>92</v>
      </c>
      <c r="AD56" s="1">
        <v>8.34</v>
      </c>
      <c r="AE56" s="1" t="s">
        <v>93</v>
      </c>
      <c r="AF56" s="1" t="s">
        <v>1329</v>
      </c>
      <c r="AG56" s="1" t="s">
        <v>1330</v>
      </c>
      <c r="AH56" s="1" t="s">
        <v>999</v>
      </c>
      <c r="AI56" s="1" t="s">
        <v>97</v>
      </c>
      <c r="AJ56" s="1">
        <v>88</v>
      </c>
      <c r="AK56" s="1"/>
      <c r="AL56" s="1" t="s">
        <v>1331</v>
      </c>
      <c r="AM56" s="1" t="s">
        <v>1330</v>
      </c>
      <c r="AN56" s="1" t="s">
        <v>1001</v>
      </c>
      <c r="AO56" s="1" t="s">
        <v>1332</v>
      </c>
      <c r="AP56" s="1">
        <v>65.54</v>
      </c>
      <c r="AQ56" s="1"/>
      <c r="AR56" s="1"/>
      <c r="AS56" s="1"/>
      <c r="AT56" s="1"/>
      <c r="AU56" s="1"/>
      <c r="AV56" s="1"/>
      <c r="AW56" s="1"/>
      <c r="AX56" s="1" t="s">
        <v>1333</v>
      </c>
      <c r="AY56" s="1" t="s">
        <v>1334</v>
      </c>
      <c r="AZ56" s="1" t="s">
        <v>165</v>
      </c>
      <c r="BA56" s="1" t="s">
        <v>575</v>
      </c>
      <c r="BB56" s="1">
        <v>73.64</v>
      </c>
      <c r="BC56" s="1"/>
      <c r="BD56" s="1"/>
      <c r="BE56" s="1"/>
      <c r="BF56" s="1"/>
      <c r="BG56" s="1"/>
      <c r="BH56" s="1"/>
      <c r="BI56" s="1"/>
      <c r="BJ56" s="1" t="s">
        <v>1335</v>
      </c>
      <c r="BK56" s="1" t="s">
        <v>1336</v>
      </c>
      <c r="BL56" s="1" t="s">
        <v>1337</v>
      </c>
      <c r="BM56" s="1" t="s">
        <v>1338</v>
      </c>
      <c r="BN56" s="1">
        <v>33</v>
      </c>
      <c r="BO56" s="1" t="s">
        <v>1339</v>
      </c>
      <c r="BP56" s="1" t="str">
        <f>HYPERLINK("https://nconnect.nicmar.ac.in/storage/profile/ProfilePhoto_P25700173_738295.jpg","Download")</f>
        <v>0</v>
      </c>
      <c r="BQ56" s="3"/>
      <c r="BR56" s="3"/>
    </row>
    <row r="57" spans="1:70">
      <c r="A57" s="1" t="s">
        <v>70</v>
      </c>
      <c r="B57" s="1" t="s">
        <v>1269</v>
      </c>
      <c r="C57" s="1" t="s">
        <v>1340</v>
      </c>
      <c r="D57" s="1" t="s">
        <v>1341</v>
      </c>
      <c r="E57" s="1" t="s">
        <v>1342</v>
      </c>
      <c r="F57" s="1" t="s">
        <v>835</v>
      </c>
      <c r="G57" s="1" t="s">
        <v>1343</v>
      </c>
      <c r="H57" s="1" t="s">
        <v>1344</v>
      </c>
      <c r="I57" s="1" t="s">
        <v>1345</v>
      </c>
      <c r="J57" s="1">
        <v>8004741658</v>
      </c>
      <c r="K57" s="1" t="s">
        <v>79</v>
      </c>
      <c r="L57" s="1" t="s">
        <v>1346</v>
      </c>
      <c r="M57" s="1" t="s">
        <v>81</v>
      </c>
      <c r="N57" s="1" t="s">
        <v>1347</v>
      </c>
      <c r="O57" s="1" t="s">
        <v>1348</v>
      </c>
      <c r="P57" s="1" t="s">
        <v>1323</v>
      </c>
      <c r="Q57" s="1" t="s">
        <v>1349</v>
      </c>
      <c r="R57" s="1" t="s">
        <v>1350</v>
      </c>
      <c r="S57" s="1">
        <v>9451690052</v>
      </c>
      <c r="T57" s="1" t="s">
        <v>1351</v>
      </c>
      <c r="U57" s="1" t="s">
        <v>1352</v>
      </c>
      <c r="V57" s="1">
        <v>8874470303</v>
      </c>
      <c r="W57" s="1" t="s">
        <v>651</v>
      </c>
      <c r="X57" s="1" t="s">
        <v>1353</v>
      </c>
      <c r="Y57" s="1" t="s">
        <v>1354</v>
      </c>
      <c r="Z57" s="1" t="s">
        <v>1355</v>
      </c>
      <c r="AA57" s="1" t="s">
        <v>1353</v>
      </c>
      <c r="AB57" s="1" t="s">
        <v>1354</v>
      </c>
      <c r="AC57" s="1" t="s">
        <v>1355</v>
      </c>
      <c r="AD57" s="1">
        <v>8.55</v>
      </c>
      <c r="AE57" s="1" t="s">
        <v>93</v>
      </c>
      <c r="AF57" s="1" t="s">
        <v>1356</v>
      </c>
      <c r="AG57" s="1" t="s">
        <v>1357</v>
      </c>
      <c r="AH57" s="1" t="s">
        <v>1307</v>
      </c>
      <c r="AI57" s="1" t="s">
        <v>1065</v>
      </c>
      <c r="AJ57" s="1">
        <v>89</v>
      </c>
      <c r="AK57" s="1"/>
      <c r="AL57" s="1" t="s">
        <v>1358</v>
      </c>
      <c r="AM57" s="1" t="s">
        <v>1357</v>
      </c>
      <c r="AN57" s="1" t="s">
        <v>1065</v>
      </c>
      <c r="AO57" s="1" t="s">
        <v>506</v>
      </c>
      <c r="AP57" s="1">
        <v>80.8</v>
      </c>
      <c r="AQ57" s="1"/>
      <c r="AR57" s="1"/>
      <c r="AS57" s="1"/>
      <c r="AT57" s="1"/>
      <c r="AU57" s="1"/>
      <c r="AV57" s="1"/>
      <c r="AW57" s="1"/>
      <c r="AX57" s="1" t="s">
        <v>1359</v>
      </c>
      <c r="AY57" s="1" t="s">
        <v>1360</v>
      </c>
      <c r="AZ57" s="1" t="s">
        <v>1051</v>
      </c>
      <c r="BA57" s="1" t="s">
        <v>1361</v>
      </c>
      <c r="BB57" s="1">
        <v>84.2</v>
      </c>
      <c r="BC57" s="1">
        <v>8.42</v>
      </c>
      <c r="BD57" s="1"/>
      <c r="BE57" s="1"/>
      <c r="BF57" s="1"/>
      <c r="BG57" s="1"/>
      <c r="BH57" s="1"/>
      <c r="BI57" s="1"/>
      <c r="BJ57" s="1" t="s">
        <v>1362</v>
      </c>
      <c r="BK57" s="1"/>
      <c r="BL57" s="1"/>
      <c r="BM57" s="1" t="s">
        <v>1363</v>
      </c>
      <c r="BN57" s="1">
        <v>20</v>
      </c>
      <c r="BO57" s="1"/>
      <c r="BP57" s="1" t="str">
        <f>HYPERLINK("https://nconnect.nicmar.ac.in/storage/profile/ProfilePhoto_P25700279_169785.jpg","Download")</f>
        <v>0</v>
      </c>
      <c r="BQ57" s="3"/>
      <c r="BR57" s="3"/>
    </row>
    <row r="58" spans="1:70">
      <c r="A58" s="1" t="s">
        <v>70</v>
      </c>
      <c r="B58" s="1" t="s">
        <v>1269</v>
      </c>
      <c r="C58" s="1" t="s">
        <v>1364</v>
      </c>
      <c r="D58" s="1" t="s">
        <v>1365</v>
      </c>
      <c r="E58" s="1"/>
      <c r="F58" s="1" t="s">
        <v>1366</v>
      </c>
      <c r="G58" s="1" t="s">
        <v>1367</v>
      </c>
      <c r="H58" s="1" t="s">
        <v>1368</v>
      </c>
      <c r="I58" s="1" t="s">
        <v>1369</v>
      </c>
      <c r="J58" s="1">
        <v>9025856149</v>
      </c>
      <c r="K58" s="1" t="s">
        <v>79</v>
      </c>
      <c r="L58" s="1" t="s">
        <v>1370</v>
      </c>
      <c r="M58" s="1" t="s">
        <v>81</v>
      </c>
      <c r="N58" s="1" t="s">
        <v>1371</v>
      </c>
      <c r="O58" s="1"/>
      <c r="P58" s="1" t="s">
        <v>1278</v>
      </c>
      <c r="Q58" s="1" t="s">
        <v>1372</v>
      </c>
      <c r="R58" s="1" t="s">
        <v>1373</v>
      </c>
      <c r="S58" s="1">
        <v>9942265081</v>
      </c>
      <c r="T58" s="1" t="s">
        <v>154</v>
      </c>
      <c r="U58" s="1" t="s">
        <v>1374</v>
      </c>
      <c r="V58" s="1">
        <v>9942750330</v>
      </c>
      <c r="W58" s="1" t="s">
        <v>273</v>
      </c>
      <c r="X58" s="1" t="s">
        <v>1375</v>
      </c>
      <c r="Y58" s="1" t="s">
        <v>1376</v>
      </c>
      <c r="Z58" s="1" t="s">
        <v>1377</v>
      </c>
      <c r="AA58" s="1" t="s">
        <v>1375</v>
      </c>
      <c r="AB58" s="1" t="s">
        <v>1376</v>
      </c>
      <c r="AC58" s="1" t="s">
        <v>1377</v>
      </c>
      <c r="AD58" s="1">
        <v>8.6</v>
      </c>
      <c r="AE58" s="1" t="s">
        <v>93</v>
      </c>
      <c r="AF58" s="1" t="s">
        <v>1378</v>
      </c>
      <c r="AG58" s="1" t="s">
        <v>1379</v>
      </c>
      <c r="AH58" s="1" t="s">
        <v>161</v>
      </c>
      <c r="AI58" s="1" t="s">
        <v>479</v>
      </c>
      <c r="AJ58" s="1">
        <v>90</v>
      </c>
      <c r="AK58" s="1"/>
      <c r="AL58" s="1" t="s">
        <v>1380</v>
      </c>
      <c r="AM58" s="1" t="s">
        <v>1379</v>
      </c>
      <c r="AN58" s="1" t="s">
        <v>1307</v>
      </c>
      <c r="AO58" s="1" t="s">
        <v>1065</v>
      </c>
      <c r="AP58" s="1">
        <v>71.5</v>
      </c>
      <c r="AQ58" s="1"/>
      <c r="AR58" s="1"/>
      <c r="AS58" s="1"/>
      <c r="AT58" s="1"/>
      <c r="AU58" s="1"/>
      <c r="AV58" s="1"/>
      <c r="AW58" s="1"/>
      <c r="AX58" s="1" t="s">
        <v>1381</v>
      </c>
      <c r="AY58" s="1" t="s">
        <v>1382</v>
      </c>
      <c r="AZ58" s="1" t="s">
        <v>433</v>
      </c>
      <c r="BA58" s="1" t="s">
        <v>590</v>
      </c>
      <c r="BB58" s="1">
        <v>82.3</v>
      </c>
      <c r="BC58" s="1">
        <v>8.23</v>
      </c>
      <c r="BD58" s="1"/>
      <c r="BE58" s="1"/>
      <c r="BF58" s="1"/>
      <c r="BG58" s="1"/>
      <c r="BH58" s="1"/>
      <c r="BI58" s="1"/>
      <c r="BJ58" s="1" t="s">
        <v>1383</v>
      </c>
      <c r="BK58" s="1" t="s">
        <v>1384</v>
      </c>
      <c r="BL58" s="1" t="s">
        <v>1385</v>
      </c>
      <c r="BM58" s="1" t="s">
        <v>1386</v>
      </c>
      <c r="BN58" s="1">
        <v>9</v>
      </c>
      <c r="BO58" s="1" t="s">
        <v>1387</v>
      </c>
      <c r="BP58" s="1" t="str">
        <f>HYPERLINK("https://nconnect.nicmar.ac.in/storage/profile/ProfilePhoto_P25700226_217845.jpg","Download")</f>
        <v>0</v>
      </c>
      <c r="BQ58" s="3"/>
      <c r="BR58" s="3"/>
    </row>
    <row r="59" spans="1:70">
      <c r="A59" s="1" t="s">
        <v>70</v>
      </c>
      <c r="B59" s="1" t="s">
        <v>1269</v>
      </c>
      <c r="C59" s="1" t="s">
        <v>1388</v>
      </c>
      <c r="D59" s="1" t="s">
        <v>1389</v>
      </c>
      <c r="E59" s="1"/>
      <c r="F59" s="1" t="s">
        <v>1390</v>
      </c>
      <c r="G59" s="1" t="s">
        <v>1391</v>
      </c>
      <c r="H59" s="1" t="s">
        <v>1392</v>
      </c>
      <c r="I59" s="1" t="s">
        <v>1393</v>
      </c>
      <c r="J59" s="1">
        <v>8304941139</v>
      </c>
      <c r="K59" s="1" t="s">
        <v>79</v>
      </c>
      <c r="L59" s="1" t="s">
        <v>1394</v>
      </c>
      <c r="M59" s="1" t="s">
        <v>81</v>
      </c>
      <c r="N59" s="1" t="s">
        <v>1395</v>
      </c>
      <c r="O59" s="1"/>
      <c r="P59" s="1" t="s">
        <v>1298</v>
      </c>
      <c r="Q59" s="1" t="s">
        <v>1396</v>
      </c>
      <c r="R59" s="1" t="s">
        <v>1397</v>
      </c>
      <c r="S59" s="1">
        <v>9496901548</v>
      </c>
      <c r="T59" s="1" t="s">
        <v>1398</v>
      </c>
      <c r="U59" s="1" t="s">
        <v>1399</v>
      </c>
      <c r="V59" s="1">
        <v>8281087139</v>
      </c>
      <c r="W59" s="1" t="s">
        <v>156</v>
      </c>
      <c r="X59" s="1" t="s">
        <v>1400</v>
      </c>
      <c r="Y59" s="1" t="s">
        <v>1401</v>
      </c>
      <c r="Z59" s="1" t="s">
        <v>125</v>
      </c>
      <c r="AA59" s="1" t="s">
        <v>1400</v>
      </c>
      <c r="AB59" s="1" t="s">
        <v>1401</v>
      </c>
      <c r="AC59" s="1" t="s">
        <v>125</v>
      </c>
      <c r="AD59" s="1">
        <v>8.74</v>
      </c>
      <c r="AE59" s="1" t="s">
        <v>93</v>
      </c>
      <c r="AF59" s="1" t="s">
        <v>1402</v>
      </c>
      <c r="AG59" s="1" t="s">
        <v>1403</v>
      </c>
      <c r="AH59" s="1" t="s">
        <v>165</v>
      </c>
      <c r="AI59" s="1" t="s">
        <v>281</v>
      </c>
      <c r="AJ59" s="1">
        <v>97.84</v>
      </c>
      <c r="AK59" s="1"/>
      <c r="AL59" s="1" t="s">
        <v>1402</v>
      </c>
      <c r="AM59" s="1" t="s">
        <v>1404</v>
      </c>
      <c r="AN59" s="1" t="s">
        <v>101</v>
      </c>
      <c r="AO59" s="1" t="s">
        <v>941</v>
      </c>
      <c r="AP59" s="1">
        <v>96.5</v>
      </c>
      <c r="AQ59" s="1"/>
      <c r="AR59" s="1"/>
      <c r="AS59" s="1"/>
      <c r="AT59" s="1"/>
      <c r="AU59" s="1"/>
      <c r="AV59" s="1"/>
      <c r="AW59" s="1"/>
      <c r="AX59" s="1" t="s">
        <v>1405</v>
      </c>
      <c r="AY59" s="1" t="s">
        <v>1406</v>
      </c>
      <c r="AZ59" s="1" t="s">
        <v>1407</v>
      </c>
      <c r="BA59" s="1" t="s">
        <v>1408</v>
      </c>
      <c r="BB59" s="1">
        <v>75.8</v>
      </c>
      <c r="BC59" s="1">
        <v>7.58</v>
      </c>
      <c r="BD59" s="1"/>
      <c r="BE59" s="1"/>
      <c r="BF59" s="1"/>
      <c r="BG59" s="1"/>
      <c r="BH59" s="1"/>
      <c r="BI59" s="1"/>
      <c r="BJ59" s="1" t="s">
        <v>1409</v>
      </c>
      <c r="BK59" s="1"/>
      <c r="BL59" s="1"/>
      <c r="BM59" s="1" t="s">
        <v>1410</v>
      </c>
      <c r="BN59" s="1">
        <v>10</v>
      </c>
      <c r="BO59" s="1" t="s">
        <v>1411</v>
      </c>
      <c r="BP59" s="1" t="str">
        <f>HYPERLINK("https://nconnect.nicmar.ac.in/storage/profile/ProfilePhoto_P25700221_715863.jpg","Download")</f>
        <v>0</v>
      </c>
      <c r="BQ59" s="3"/>
      <c r="BR59" s="3"/>
    </row>
    <row r="60" spans="1:70">
      <c r="A60" s="1" t="s">
        <v>70</v>
      </c>
      <c r="B60" s="1" t="s">
        <v>1269</v>
      </c>
      <c r="C60" s="1" t="s">
        <v>1412</v>
      </c>
      <c r="D60" s="1" t="s">
        <v>901</v>
      </c>
      <c r="E60" s="1"/>
      <c r="F60" s="1" t="s">
        <v>1413</v>
      </c>
      <c r="G60" s="1" t="s">
        <v>1414</v>
      </c>
      <c r="H60" s="1" t="s">
        <v>1415</v>
      </c>
      <c r="I60" s="1" t="s">
        <v>1416</v>
      </c>
      <c r="J60" s="1">
        <v>9130396516</v>
      </c>
      <c r="K60" s="1" t="s">
        <v>79</v>
      </c>
      <c r="L60" s="1" t="s">
        <v>1417</v>
      </c>
      <c r="M60" s="1" t="s">
        <v>81</v>
      </c>
      <c r="N60" s="1" t="s">
        <v>1418</v>
      </c>
      <c r="O60" s="1"/>
      <c r="P60" s="1" t="s">
        <v>1278</v>
      </c>
      <c r="Q60" s="1" t="s">
        <v>1419</v>
      </c>
      <c r="R60" s="1" t="s">
        <v>1420</v>
      </c>
      <c r="S60" s="1">
        <v>7218113381</v>
      </c>
      <c r="T60" s="1" t="s">
        <v>1421</v>
      </c>
      <c r="U60" s="1" t="s">
        <v>1422</v>
      </c>
      <c r="V60" s="1">
        <v>9823594106</v>
      </c>
      <c r="W60" s="1" t="s">
        <v>651</v>
      </c>
      <c r="X60" s="1" t="s">
        <v>1423</v>
      </c>
      <c r="Y60" s="1" t="s">
        <v>1424</v>
      </c>
      <c r="Z60" s="1" t="s">
        <v>92</v>
      </c>
      <c r="AA60" s="1" t="s">
        <v>1423</v>
      </c>
      <c r="AB60" s="1" t="s">
        <v>1424</v>
      </c>
      <c r="AC60" s="1" t="s">
        <v>92</v>
      </c>
      <c r="AD60" s="1">
        <v>7.96</v>
      </c>
      <c r="AE60" s="1" t="s">
        <v>93</v>
      </c>
      <c r="AF60" s="1" t="s">
        <v>1425</v>
      </c>
      <c r="AG60" s="1" t="s">
        <v>1426</v>
      </c>
      <c r="AH60" s="1" t="s">
        <v>161</v>
      </c>
      <c r="AI60" s="1" t="s">
        <v>527</v>
      </c>
      <c r="AJ60" s="1">
        <v>77.9</v>
      </c>
      <c r="AK60" s="1">
        <v>8.2</v>
      </c>
      <c r="AL60" s="1" t="s">
        <v>1427</v>
      </c>
      <c r="AM60" s="1" t="s">
        <v>455</v>
      </c>
      <c r="AN60" s="1" t="s">
        <v>165</v>
      </c>
      <c r="AO60" s="1" t="s">
        <v>166</v>
      </c>
      <c r="AP60" s="1">
        <v>73.08</v>
      </c>
      <c r="AQ60" s="1"/>
      <c r="AR60" s="1"/>
      <c r="AS60" s="1"/>
      <c r="AT60" s="1"/>
      <c r="AU60" s="1"/>
      <c r="AV60" s="1"/>
      <c r="AW60" s="1"/>
      <c r="AX60" s="1" t="s">
        <v>1428</v>
      </c>
      <c r="AY60" s="1" t="s">
        <v>1429</v>
      </c>
      <c r="AZ60" s="1" t="s">
        <v>101</v>
      </c>
      <c r="BA60" s="1" t="s">
        <v>1003</v>
      </c>
      <c r="BB60" s="1">
        <v>74.3</v>
      </c>
      <c r="BC60" s="1">
        <v>8.18</v>
      </c>
      <c r="BD60" s="1"/>
      <c r="BE60" s="1"/>
      <c r="BF60" s="1"/>
      <c r="BG60" s="1"/>
      <c r="BH60" s="1"/>
      <c r="BI60" s="1"/>
      <c r="BJ60" s="1" t="s">
        <v>1430</v>
      </c>
      <c r="BK60" s="1"/>
      <c r="BL60" s="1"/>
      <c r="BM60" s="1" t="s">
        <v>1431</v>
      </c>
      <c r="BN60" s="1">
        <v>9</v>
      </c>
      <c r="BO60" s="1" t="s">
        <v>1432</v>
      </c>
      <c r="BP60" s="1" t="str">
        <f>HYPERLINK("https://nconnect.nicmar.ac.in/storage/profile/ProfilePhoto_P25700199_537268.jpg","Download")</f>
        <v>0</v>
      </c>
      <c r="BQ60" s="3"/>
      <c r="BR60" s="3"/>
    </row>
    <row r="61" spans="1:70">
      <c r="A61" s="1" t="s">
        <v>70</v>
      </c>
      <c r="B61" s="1" t="s">
        <v>1269</v>
      </c>
      <c r="C61" s="1" t="s">
        <v>1433</v>
      </c>
      <c r="D61" s="1" t="s">
        <v>1434</v>
      </c>
      <c r="E61" s="1"/>
      <c r="F61" s="1" t="s">
        <v>1435</v>
      </c>
      <c r="G61" s="1" t="s">
        <v>1436</v>
      </c>
      <c r="H61" s="1" t="s">
        <v>1437</v>
      </c>
      <c r="I61" s="1" t="s">
        <v>1438</v>
      </c>
      <c r="J61" s="1">
        <v>7091398455</v>
      </c>
      <c r="K61" s="1" t="s">
        <v>79</v>
      </c>
      <c r="L61" s="1" t="s">
        <v>1439</v>
      </c>
      <c r="M61" s="1" t="s">
        <v>81</v>
      </c>
      <c r="N61" s="1" t="s">
        <v>350</v>
      </c>
      <c r="O61" s="1"/>
      <c r="P61" s="1" t="s">
        <v>1323</v>
      </c>
      <c r="Q61" s="1" t="s">
        <v>1440</v>
      </c>
      <c r="R61" s="1" t="s">
        <v>1441</v>
      </c>
      <c r="S61" s="1">
        <v>9507681915</v>
      </c>
      <c r="T61" s="1" t="s">
        <v>763</v>
      </c>
      <c r="U61" s="1" t="s">
        <v>1442</v>
      </c>
      <c r="V61" s="1">
        <v>8987034045</v>
      </c>
      <c r="W61" s="1" t="s">
        <v>763</v>
      </c>
      <c r="X61" s="1" t="s">
        <v>1443</v>
      </c>
      <c r="Y61" s="1" t="s">
        <v>845</v>
      </c>
      <c r="Z61" s="1" t="s">
        <v>846</v>
      </c>
      <c r="AA61" s="1" t="s">
        <v>1443</v>
      </c>
      <c r="AB61" s="1" t="s">
        <v>845</v>
      </c>
      <c r="AC61" s="1" t="s">
        <v>846</v>
      </c>
      <c r="AD61" s="1">
        <v>8.54</v>
      </c>
      <c r="AE61" s="1" t="s">
        <v>93</v>
      </c>
      <c r="AF61" s="1" t="s">
        <v>1444</v>
      </c>
      <c r="AG61" s="1" t="s">
        <v>1445</v>
      </c>
      <c r="AH61" s="1" t="s">
        <v>131</v>
      </c>
      <c r="AI61" s="1" t="s">
        <v>527</v>
      </c>
      <c r="AJ61" s="1">
        <v>95</v>
      </c>
      <c r="AK61" s="1">
        <v>10</v>
      </c>
      <c r="AL61" s="1" t="s">
        <v>1446</v>
      </c>
      <c r="AM61" s="1" t="s">
        <v>1447</v>
      </c>
      <c r="AN61" s="1" t="s">
        <v>166</v>
      </c>
      <c r="AO61" s="1" t="s">
        <v>308</v>
      </c>
      <c r="AP61" s="1">
        <v>61.8</v>
      </c>
      <c r="AQ61" s="1"/>
      <c r="AR61" s="1"/>
      <c r="AS61" s="1"/>
      <c r="AT61" s="1"/>
      <c r="AU61" s="1"/>
      <c r="AV61" s="1"/>
      <c r="AW61" s="1"/>
      <c r="AX61" s="1" t="s">
        <v>1448</v>
      </c>
      <c r="AY61" s="1" t="s">
        <v>1449</v>
      </c>
      <c r="AZ61" s="1" t="s">
        <v>310</v>
      </c>
      <c r="BA61" s="1" t="s">
        <v>229</v>
      </c>
      <c r="BB61" s="1">
        <v>81.3</v>
      </c>
      <c r="BC61" s="1">
        <v>8.13</v>
      </c>
      <c r="BD61" s="1"/>
      <c r="BE61" s="1"/>
      <c r="BF61" s="1"/>
      <c r="BG61" s="1"/>
      <c r="BH61" s="1"/>
      <c r="BI61" s="1"/>
      <c r="BJ61" s="1" t="s">
        <v>1450</v>
      </c>
      <c r="BK61" s="1" t="s">
        <v>1451</v>
      </c>
      <c r="BL61" s="1" t="s">
        <v>484</v>
      </c>
      <c r="BM61" s="1" t="s">
        <v>1452</v>
      </c>
      <c r="BN61" s="1">
        <v>91</v>
      </c>
      <c r="BO61" s="1"/>
      <c r="BP61" s="1" t="str">
        <f>HYPERLINK("https://nconnect.nicmar.ac.in/storage/profile/ProfilePhoto_P25700377_893524.jpg","Download")</f>
        <v>0</v>
      </c>
      <c r="BQ61" s="3"/>
      <c r="BR61" s="3"/>
    </row>
    <row r="62" spans="1:70">
      <c r="A62" s="1" t="s">
        <v>70</v>
      </c>
      <c r="B62" s="1" t="s">
        <v>1269</v>
      </c>
      <c r="C62" s="1" t="s">
        <v>1453</v>
      </c>
      <c r="D62" s="1" t="s">
        <v>1454</v>
      </c>
      <c r="E62" s="1" t="s">
        <v>1455</v>
      </c>
      <c r="F62" s="1" t="s">
        <v>1456</v>
      </c>
      <c r="G62" s="1" t="s">
        <v>1457</v>
      </c>
      <c r="H62" s="1" t="s">
        <v>1458</v>
      </c>
      <c r="I62" s="1" t="s">
        <v>1459</v>
      </c>
      <c r="J62" s="1">
        <v>9925116713</v>
      </c>
      <c r="K62" s="1" t="s">
        <v>79</v>
      </c>
      <c r="L62" s="1" t="s">
        <v>1460</v>
      </c>
      <c r="M62" s="1" t="s">
        <v>81</v>
      </c>
      <c r="N62" s="1" t="s">
        <v>1461</v>
      </c>
      <c r="O62" s="1"/>
      <c r="P62" s="1" t="s">
        <v>1462</v>
      </c>
      <c r="Q62" s="1" t="s">
        <v>1463</v>
      </c>
      <c r="R62" s="1" t="s">
        <v>1455</v>
      </c>
      <c r="S62" s="1">
        <v>9825116713</v>
      </c>
      <c r="T62" s="1" t="s">
        <v>1464</v>
      </c>
      <c r="U62" s="1" t="s">
        <v>1465</v>
      </c>
      <c r="V62" s="1">
        <v>9925016713</v>
      </c>
      <c r="W62" s="1" t="s">
        <v>156</v>
      </c>
      <c r="X62" s="1" t="s">
        <v>1466</v>
      </c>
      <c r="Y62" s="1" t="s">
        <v>1467</v>
      </c>
      <c r="Z62" s="1" t="s">
        <v>1468</v>
      </c>
      <c r="AA62" s="1" t="s">
        <v>1466</v>
      </c>
      <c r="AB62" s="1" t="s">
        <v>1467</v>
      </c>
      <c r="AC62" s="1" t="s">
        <v>1468</v>
      </c>
      <c r="AD62" s="1">
        <v>8.29</v>
      </c>
      <c r="AE62" s="1" t="s">
        <v>93</v>
      </c>
      <c r="AF62" s="1" t="s">
        <v>1469</v>
      </c>
      <c r="AG62" s="1" t="s">
        <v>1470</v>
      </c>
      <c r="AH62" s="1" t="s">
        <v>162</v>
      </c>
      <c r="AI62" s="1" t="s">
        <v>479</v>
      </c>
      <c r="AJ62" s="1">
        <v>73.2</v>
      </c>
      <c r="AK62" s="1"/>
      <c r="AL62" s="1" t="s">
        <v>1469</v>
      </c>
      <c r="AM62" s="1" t="s">
        <v>1471</v>
      </c>
      <c r="AN62" s="1" t="s">
        <v>101</v>
      </c>
      <c r="AO62" s="1" t="s">
        <v>308</v>
      </c>
      <c r="AP62" s="1">
        <v>71.25</v>
      </c>
      <c r="AQ62" s="1"/>
      <c r="AR62" s="1"/>
      <c r="AS62" s="1"/>
      <c r="AT62" s="1"/>
      <c r="AU62" s="1"/>
      <c r="AV62" s="1"/>
      <c r="AW62" s="1"/>
      <c r="AX62" s="1" t="s">
        <v>1024</v>
      </c>
      <c r="AY62" s="1" t="s">
        <v>1472</v>
      </c>
      <c r="AZ62" s="1" t="s">
        <v>433</v>
      </c>
      <c r="BA62" s="1" t="s">
        <v>413</v>
      </c>
      <c r="BB62" s="1">
        <v>75.9</v>
      </c>
      <c r="BC62" s="1">
        <v>7.59</v>
      </c>
      <c r="BD62" s="1"/>
      <c r="BE62" s="1"/>
      <c r="BF62" s="1"/>
      <c r="BG62" s="1"/>
      <c r="BH62" s="1"/>
      <c r="BI62" s="1"/>
      <c r="BJ62" s="1" t="s">
        <v>1473</v>
      </c>
      <c r="BK62" s="1" t="s">
        <v>1474</v>
      </c>
      <c r="BL62" s="1" t="s">
        <v>1475</v>
      </c>
      <c r="BM62" s="1" t="s">
        <v>1476</v>
      </c>
      <c r="BN62" s="1">
        <v>49</v>
      </c>
      <c r="BO62" s="1" t="s">
        <v>1477</v>
      </c>
      <c r="BP62" s="1" t="str">
        <f>HYPERLINK("https://nconnect.nicmar.ac.in/storage/profile/6a65d4fbd315c.png","Download")</f>
        <v>0</v>
      </c>
      <c r="BQ62" s="3"/>
      <c r="BR62" s="3"/>
    </row>
    <row r="63" spans="1:70">
      <c r="A63" s="1" t="s">
        <v>70</v>
      </c>
      <c r="B63" s="1" t="s">
        <v>1269</v>
      </c>
      <c r="C63" s="1" t="s">
        <v>1478</v>
      </c>
      <c r="D63" s="1" t="s">
        <v>1479</v>
      </c>
      <c r="E63" s="1"/>
      <c r="F63" s="1" t="s">
        <v>1480</v>
      </c>
      <c r="G63" s="1" t="s">
        <v>1481</v>
      </c>
      <c r="H63" s="1" t="s">
        <v>1482</v>
      </c>
      <c r="I63" s="1" t="s">
        <v>1483</v>
      </c>
      <c r="J63" s="1">
        <v>8921956185</v>
      </c>
      <c r="K63" s="1" t="s">
        <v>148</v>
      </c>
      <c r="L63" s="1" t="s">
        <v>1484</v>
      </c>
      <c r="M63" s="1" t="s">
        <v>81</v>
      </c>
      <c r="N63" s="1" t="s">
        <v>1485</v>
      </c>
      <c r="O63" s="1"/>
      <c r="P63" s="1" t="s">
        <v>1462</v>
      </c>
      <c r="Q63" s="1" t="s">
        <v>1486</v>
      </c>
      <c r="R63" s="1" t="s">
        <v>1487</v>
      </c>
      <c r="S63" s="1">
        <v>9446934807</v>
      </c>
      <c r="T63" s="1" t="s">
        <v>1488</v>
      </c>
      <c r="U63" s="1" t="s">
        <v>1489</v>
      </c>
      <c r="V63" s="1">
        <v>9497414807</v>
      </c>
      <c r="W63" s="1" t="s">
        <v>651</v>
      </c>
      <c r="X63" s="1" t="s">
        <v>1490</v>
      </c>
      <c r="Y63" s="1" t="s">
        <v>1491</v>
      </c>
      <c r="Z63" s="1" t="s">
        <v>125</v>
      </c>
      <c r="AA63" s="1" t="s">
        <v>1490</v>
      </c>
      <c r="AB63" s="1" t="s">
        <v>1491</v>
      </c>
      <c r="AC63" s="1" t="s">
        <v>125</v>
      </c>
      <c r="AD63" s="1">
        <v>8.79</v>
      </c>
      <c r="AE63" s="1" t="s">
        <v>93</v>
      </c>
      <c r="AF63" s="1" t="s">
        <v>1492</v>
      </c>
      <c r="AG63" s="1" t="s">
        <v>894</v>
      </c>
      <c r="AH63" s="1" t="s">
        <v>162</v>
      </c>
      <c r="AI63" s="1" t="s">
        <v>678</v>
      </c>
      <c r="AJ63" s="1">
        <v>87.4</v>
      </c>
      <c r="AK63" s="1">
        <v>9.2</v>
      </c>
      <c r="AL63" s="1" t="s">
        <v>1492</v>
      </c>
      <c r="AM63" s="1" t="s">
        <v>1493</v>
      </c>
      <c r="AN63" s="1" t="s">
        <v>101</v>
      </c>
      <c r="AO63" s="1" t="s">
        <v>1065</v>
      </c>
      <c r="AP63" s="1">
        <v>93.4</v>
      </c>
      <c r="AQ63" s="1"/>
      <c r="AR63" s="1"/>
      <c r="AS63" s="1"/>
      <c r="AT63" s="1"/>
      <c r="AU63" s="1"/>
      <c r="AV63" s="1"/>
      <c r="AW63" s="1"/>
      <c r="AX63" s="1" t="s">
        <v>1494</v>
      </c>
      <c r="AY63" s="1" t="s">
        <v>1495</v>
      </c>
      <c r="AZ63" s="1" t="s">
        <v>201</v>
      </c>
      <c r="BA63" s="1" t="s">
        <v>229</v>
      </c>
      <c r="BB63" s="1">
        <v>80.6</v>
      </c>
      <c r="BC63" s="1">
        <v>8.06</v>
      </c>
      <c r="BD63" s="1"/>
      <c r="BE63" s="1"/>
      <c r="BF63" s="1"/>
      <c r="BG63" s="1"/>
      <c r="BH63" s="1"/>
      <c r="BI63" s="1"/>
      <c r="BJ63" s="1" t="s">
        <v>364</v>
      </c>
      <c r="BK63" s="1" t="s">
        <v>1496</v>
      </c>
      <c r="BL63" s="1" t="s">
        <v>1497</v>
      </c>
      <c r="BM63" s="1" t="s">
        <v>1498</v>
      </c>
      <c r="BN63" s="1">
        <v>12</v>
      </c>
      <c r="BO63" s="1" t="s">
        <v>1499</v>
      </c>
      <c r="BP63" s="1" t="str">
        <f>HYPERLINK("https://nconnect.nicmar.ac.in/storage/profile/ProfilePhoto_P25700003_859234.jpg","Download")</f>
        <v>0</v>
      </c>
      <c r="BQ63" s="3"/>
      <c r="BR63" s="3"/>
    </row>
    <row r="64" spans="1:70">
      <c r="A64" s="1" t="s">
        <v>70</v>
      </c>
      <c r="B64" s="1" t="s">
        <v>1269</v>
      </c>
      <c r="C64" s="1" t="s">
        <v>1500</v>
      </c>
      <c r="D64" s="1" t="s">
        <v>1501</v>
      </c>
      <c r="E64" s="1"/>
      <c r="F64" s="1" t="s">
        <v>1502</v>
      </c>
      <c r="G64" s="1" t="s">
        <v>1503</v>
      </c>
      <c r="H64" s="1" t="s">
        <v>1504</v>
      </c>
      <c r="I64" s="1" t="s">
        <v>1505</v>
      </c>
      <c r="J64" s="1">
        <v>7829440576</v>
      </c>
      <c r="K64" s="1" t="s">
        <v>79</v>
      </c>
      <c r="L64" s="1" t="s">
        <v>1506</v>
      </c>
      <c r="M64" s="1" t="s">
        <v>81</v>
      </c>
      <c r="N64" s="1" t="s">
        <v>1507</v>
      </c>
      <c r="O64" s="1"/>
      <c r="P64" s="1" t="s">
        <v>1323</v>
      </c>
      <c r="Q64" s="1" t="s">
        <v>1508</v>
      </c>
      <c r="R64" s="1" t="s">
        <v>1509</v>
      </c>
      <c r="S64" s="1">
        <v>9741597469</v>
      </c>
      <c r="T64" s="1" t="s">
        <v>1510</v>
      </c>
      <c r="U64" s="1" t="s">
        <v>1511</v>
      </c>
      <c r="V64" s="1">
        <v>8105736319</v>
      </c>
      <c r="W64" s="1" t="s">
        <v>156</v>
      </c>
      <c r="X64" s="1" t="s">
        <v>1512</v>
      </c>
      <c r="Y64" s="1" t="s">
        <v>1513</v>
      </c>
      <c r="Z64" s="1" t="s">
        <v>276</v>
      </c>
      <c r="AA64" s="1" t="s">
        <v>1512</v>
      </c>
      <c r="AB64" s="1" t="s">
        <v>1513</v>
      </c>
      <c r="AC64" s="1" t="s">
        <v>276</v>
      </c>
      <c r="AD64" s="1">
        <v>8.51</v>
      </c>
      <c r="AE64" s="1" t="s">
        <v>93</v>
      </c>
      <c r="AF64" s="1" t="s">
        <v>1514</v>
      </c>
      <c r="AG64" s="1" t="s">
        <v>1515</v>
      </c>
      <c r="AH64" s="1" t="s">
        <v>1516</v>
      </c>
      <c r="AI64" s="1" t="s">
        <v>131</v>
      </c>
      <c r="AJ64" s="1">
        <v>83.68</v>
      </c>
      <c r="AK64" s="1"/>
      <c r="AL64" s="1" t="s">
        <v>1517</v>
      </c>
      <c r="AM64" s="1" t="s">
        <v>1518</v>
      </c>
      <c r="AN64" s="1" t="s">
        <v>131</v>
      </c>
      <c r="AO64" s="1" t="s">
        <v>479</v>
      </c>
      <c r="AP64" s="1">
        <v>61</v>
      </c>
      <c r="AQ64" s="1"/>
      <c r="AR64" s="1"/>
      <c r="AS64" s="1"/>
      <c r="AT64" s="1"/>
      <c r="AU64" s="1"/>
      <c r="AV64" s="1"/>
      <c r="AW64" s="1"/>
      <c r="AX64" s="1" t="s">
        <v>1519</v>
      </c>
      <c r="AY64" s="1" t="s">
        <v>1520</v>
      </c>
      <c r="AZ64" s="1" t="s">
        <v>225</v>
      </c>
      <c r="BA64" s="1" t="s">
        <v>436</v>
      </c>
      <c r="BB64" s="1">
        <v>69.9</v>
      </c>
      <c r="BC64" s="1"/>
      <c r="BD64" s="1"/>
      <c r="BE64" s="1"/>
      <c r="BF64" s="1"/>
      <c r="BG64" s="1"/>
      <c r="BH64" s="1"/>
      <c r="BI64" s="1"/>
      <c r="BJ64" s="1" t="s">
        <v>1521</v>
      </c>
      <c r="BK64" s="1" t="s">
        <v>1522</v>
      </c>
      <c r="BL64" s="1" t="s">
        <v>1523</v>
      </c>
      <c r="BM64" s="1" t="s">
        <v>1524</v>
      </c>
      <c r="BN64" s="1">
        <v>32</v>
      </c>
      <c r="BO64" s="1"/>
      <c r="BP64" s="1" t="str">
        <f>HYPERLINK("https://nconnect.nicmar.ac.in/storage/profile/ProfilePhoto_P25700112_517384.jpg","Download")</f>
        <v>0</v>
      </c>
      <c r="BQ64" s="3"/>
      <c r="BR64" s="3"/>
    </row>
    <row r="65" spans="1:70">
      <c r="A65" s="1" t="s">
        <v>70</v>
      </c>
      <c r="B65" s="1" t="s">
        <v>1269</v>
      </c>
      <c r="C65" s="1" t="s">
        <v>1525</v>
      </c>
      <c r="D65" s="1" t="s">
        <v>1526</v>
      </c>
      <c r="E65" s="1"/>
      <c r="F65" s="1" t="s">
        <v>1527</v>
      </c>
      <c r="G65" s="1" t="s">
        <v>1528</v>
      </c>
      <c r="H65" s="1" t="s">
        <v>1529</v>
      </c>
      <c r="I65" s="1" t="s">
        <v>1530</v>
      </c>
      <c r="J65" s="1">
        <v>8010109972</v>
      </c>
      <c r="K65" s="1" t="s">
        <v>148</v>
      </c>
      <c r="L65" s="1" t="s">
        <v>1531</v>
      </c>
      <c r="M65" s="1" t="s">
        <v>81</v>
      </c>
      <c r="N65" s="1" t="s">
        <v>1532</v>
      </c>
      <c r="O65" s="1"/>
      <c r="P65" s="1" t="s">
        <v>1323</v>
      </c>
      <c r="Q65" s="1" t="s">
        <v>1533</v>
      </c>
      <c r="R65" s="1" t="s">
        <v>1534</v>
      </c>
      <c r="S65" s="1">
        <v>7972618864</v>
      </c>
      <c r="T65" s="1" t="s">
        <v>154</v>
      </c>
      <c r="U65" s="1" t="s">
        <v>1535</v>
      </c>
      <c r="V65" s="1">
        <v>9146099675</v>
      </c>
      <c r="W65" s="1" t="s">
        <v>89</v>
      </c>
      <c r="X65" s="1" t="s">
        <v>1536</v>
      </c>
      <c r="Y65" s="1" t="s">
        <v>191</v>
      </c>
      <c r="Z65" s="1" t="s">
        <v>92</v>
      </c>
      <c r="AA65" s="1" t="s">
        <v>1537</v>
      </c>
      <c r="AB65" s="1" t="s">
        <v>191</v>
      </c>
      <c r="AC65" s="1" t="s">
        <v>92</v>
      </c>
      <c r="AD65" s="1">
        <v>8.24</v>
      </c>
      <c r="AE65" s="1" t="s">
        <v>93</v>
      </c>
      <c r="AF65" s="1" t="s">
        <v>1538</v>
      </c>
      <c r="AG65" s="1" t="s">
        <v>1539</v>
      </c>
      <c r="AH65" s="1" t="s">
        <v>279</v>
      </c>
      <c r="AI65" s="1" t="s">
        <v>165</v>
      </c>
      <c r="AJ65" s="1">
        <v>84.7</v>
      </c>
      <c r="AK65" s="1">
        <v>8.8</v>
      </c>
      <c r="AL65" s="1" t="s">
        <v>1538</v>
      </c>
      <c r="AM65" s="1" t="s">
        <v>1539</v>
      </c>
      <c r="AN65" s="1" t="s">
        <v>1307</v>
      </c>
      <c r="AO65" s="1" t="s">
        <v>308</v>
      </c>
      <c r="AP65" s="1">
        <v>71.8</v>
      </c>
      <c r="AQ65" s="1"/>
      <c r="AR65" s="1"/>
      <c r="AS65" s="1"/>
      <c r="AT65" s="1"/>
      <c r="AU65" s="1"/>
      <c r="AV65" s="1"/>
      <c r="AW65" s="1"/>
      <c r="AX65" s="1" t="s">
        <v>361</v>
      </c>
      <c r="AY65" s="1" t="s">
        <v>1540</v>
      </c>
      <c r="AZ65" s="1" t="s">
        <v>310</v>
      </c>
      <c r="BA65" s="1" t="s">
        <v>174</v>
      </c>
      <c r="BB65" s="1">
        <v>79.75</v>
      </c>
      <c r="BC65" s="1">
        <v>8.38</v>
      </c>
      <c r="BD65" s="1"/>
      <c r="BE65" s="1"/>
      <c r="BF65" s="1"/>
      <c r="BG65" s="1"/>
      <c r="BH65" s="1"/>
      <c r="BI65" s="1"/>
      <c r="BJ65" s="1" t="s">
        <v>1541</v>
      </c>
      <c r="BK65" s="1" t="s">
        <v>1542</v>
      </c>
      <c r="BL65" s="1" t="s">
        <v>1543</v>
      </c>
      <c r="BM65" s="1" t="s">
        <v>1544</v>
      </c>
      <c r="BN65" s="1">
        <v>13</v>
      </c>
      <c r="BO65" s="1"/>
      <c r="BP65" s="1" t="str">
        <f>HYPERLINK("https://nconnect.nicmar.ac.in/storage/profile/ProfilePhoto_P25700315_842651.jpg","Download")</f>
        <v>0</v>
      </c>
      <c r="BQ65" s="3"/>
      <c r="BR65" s="3"/>
    </row>
    <row r="66" spans="1:70">
      <c r="A66" s="1" t="s">
        <v>70</v>
      </c>
      <c r="B66" s="1" t="s">
        <v>1269</v>
      </c>
      <c r="C66" s="1" t="s">
        <v>1545</v>
      </c>
      <c r="D66" s="1" t="s">
        <v>533</v>
      </c>
      <c r="E66" s="1" t="s">
        <v>1546</v>
      </c>
      <c r="F66" s="1" t="s">
        <v>1547</v>
      </c>
      <c r="G66" s="1" t="s">
        <v>1548</v>
      </c>
      <c r="H66" s="1" t="s">
        <v>1549</v>
      </c>
      <c r="I66" s="1" t="s">
        <v>1550</v>
      </c>
      <c r="J66" s="1">
        <v>7775970740</v>
      </c>
      <c r="K66" s="1" t="s">
        <v>79</v>
      </c>
      <c r="L66" s="1" t="s">
        <v>1551</v>
      </c>
      <c r="M66" s="1" t="s">
        <v>81</v>
      </c>
      <c r="N66" s="1" t="s">
        <v>860</v>
      </c>
      <c r="O66" s="1"/>
      <c r="P66" s="1" t="s">
        <v>1323</v>
      </c>
      <c r="Q66" s="1" t="s">
        <v>1552</v>
      </c>
      <c r="R66" s="1" t="s">
        <v>1553</v>
      </c>
      <c r="S66" s="1">
        <v>9850353870</v>
      </c>
      <c r="T66" s="1" t="s">
        <v>1554</v>
      </c>
      <c r="U66" s="1" t="s">
        <v>1555</v>
      </c>
      <c r="V66" s="1">
        <v>9011917642</v>
      </c>
      <c r="W66" s="1" t="s">
        <v>156</v>
      </c>
      <c r="X66" s="1" t="s">
        <v>1556</v>
      </c>
      <c r="Y66" s="1" t="s">
        <v>1424</v>
      </c>
      <c r="Z66" s="1" t="s">
        <v>92</v>
      </c>
      <c r="AA66" s="1" t="s">
        <v>1556</v>
      </c>
      <c r="AB66" s="1" t="s">
        <v>1424</v>
      </c>
      <c r="AC66" s="1" t="s">
        <v>92</v>
      </c>
      <c r="AD66" s="1">
        <v>8.28</v>
      </c>
      <c r="AE66" s="1" t="s">
        <v>93</v>
      </c>
      <c r="AF66" s="1" t="s">
        <v>1557</v>
      </c>
      <c r="AG66" s="1" t="s">
        <v>939</v>
      </c>
      <c r="AH66" s="1" t="s">
        <v>161</v>
      </c>
      <c r="AI66" s="1" t="s">
        <v>527</v>
      </c>
      <c r="AJ66" s="1">
        <v>95</v>
      </c>
      <c r="AK66" s="1">
        <v>10</v>
      </c>
      <c r="AL66" s="1" t="s">
        <v>1558</v>
      </c>
      <c r="AM66" s="1" t="s">
        <v>160</v>
      </c>
      <c r="AN66" s="1" t="s">
        <v>165</v>
      </c>
      <c r="AO66" s="1" t="s">
        <v>1307</v>
      </c>
      <c r="AP66" s="1">
        <v>93.85</v>
      </c>
      <c r="AQ66" s="1"/>
      <c r="AR66" s="1"/>
      <c r="AS66" s="1"/>
      <c r="AT66" s="1"/>
      <c r="AU66" s="1"/>
      <c r="AV66" s="1"/>
      <c r="AW66" s="1"/>
      <c r="AX66" s="1" t="s">
        <v>361</v>
      </c>
      <c r="AY66" s="1" t="s">
        <v>1559</v>
      </c>
      <c r="AZ66" s="1" t="s">
        <v>101</v>
      </c>
      <c r="BA66" s="1" t="s">
        <v>284</v>
      </c>
      <c r="BB66" s="1">
        <v>81.92</v>
      </c>
      <c r="BC66" s="1">
        <v>8.91</v>
      </c>
      <c r="BD66" s="1"/>
      <c r="BE66" s="1"/>
      <c r="BF66" s="1"/>
      <c r="BG66" s="1"/>
      <c r="BH66" s="1"/>
      <c r="BI66" s="1"/>
      <c r="BJ66" s="1" t="s">
        <v>364</v>
      </c>
      <c r="BK66" s="1" t="s">
        <v>1560</v>
      </c>
      <c r="BL66" s="1" t="s">
        <v>1561</v>
      </c>
      <c r="BM66" s="1" t="s">
        <v>1562</v>
      </c>
      <c r="BN66" s="1">
        <v>33</v>
      </c>
      <c r="BO66" s="1"/>
      <c r="BP66" s="1" t="str">
        <f>HYPERLINK("https://nconnect.nicmar.ac.in/storage/profile/ProfilePhoto_P25700584_287936.jpg","Download")</f>
        <v>0</v>
      </c>
      <c r="BQ66" s="3"/>
      <c r="BR66" s="3"/>
    </row>
    <row r="67" spans="1:70">
      <c r="A67" s="1" t="s">
        <v>1563</v>
      </c>
      <c r="B67" s="1" t="s">
        <v>1269</v>
      </c>
      <c r="C67" s="1" t="s">
        <v>1564</v>
      </c>
      <c r="D67" s="1" t="s">
        <v>1565</v>
      </c>
      <c r="E67" s="1"/>
      <c r="F67" s="1" t="s">
        <v>1566</v>
      </c>
      <c r="G67" s="1" t="s">
        <v>1567</v>
      </c>
      <c r="H67" s="1" t="s">
        <v>1568</v>
      </c>
      <c r="I67" s="1" t="s">
        <v>1569</v>
      </c>
      <c r="J67" s="1">
        <v>9346714289</v>
      </c>
      <c r="K67" s="1" t="s">
        <v>79</v>
      </c>
      <c r="L67" s="1" t="s">
        <v>1570</v>
      </c>
      <c r="M67" s="1" t="s">
        <v>81</v>
      </c>
      <c r="N67" s="1" t="s">
        <v>1571</v>
      </c>
      <c r="O67" s="1" t="s">
        <v>1572</v>
      </c>
      <c r="P67" s="1" t="s">
        <v>1278</v>
      </c>
      <c r="Q67" s="1" t="s">
        <v>1573</v>
      </c>
      <c r="R67" s="1" t="s">
        <v>1574</v>
      </c>
      <c r="S67" s="1">
        <v>9908019108</v>
      </c>
      <c r="T67" s="1" t="s">
        <v>1575</v>
      </c>
      <c r="U67" s="1" t="s">
        <v>1576</v>
      </c>
      <c r="V67" s="1">
        <v>7358756268</v>
      </c>
      <c r="W67" s="1" t="s">
        <v>89</v>
      </c>
      <c r="X67" s="1" t="s">
        <v>1577</v>
      </c>
      <c r="Y67" s="1" t="s">
        <v>1578</v>
      </c>
      <c r="Z67" s="1" t="s">
        <v>276</v>
      </c>
      <c r="AA67" s="1" t="s">
        <v>1577</v>
      </c>
      <c r="AB67" s="1" t="s">
        <v>1578</v>
      </c>
      <c r="AC67" s="1" t="s">
        <v>276</v>
      </c>
      <c r="AD67" s="1">
        <v>7.37</v>
      </c>
      <c r="AE67" s="1" t="s">
        <v>93</v>
      </c>
      <c r="AF67" s="1" t="s">
        <v>1579</v>
      </c>
      <c r="AG67" s="1" t="s">
        <v>1580</v>
      </c>
      <c r="AH67" s="1" t="s">
        <v>165</v>
      </c>
      <c r="AI67" s="1" t="s">
        <v>308</v>
      </c>
      <c r="AJ67" s="1">
        <v>74.67</v>
      </c>
      <c r="AK67" s="1">
        <v>0</v>
      </c>
      <c r="AL67" s="1" t="s">
        <v>1581</v>
      </c>
      <c r="AM67" s="1" t="s">
        <v>1582</v>
      </c>
      <c r="AN67" s="1" t="s">
        <v>433</v>
      </c>
      <c r="AO67" s="1" t="s">
        <v>1131</v>
      </c>
      <c r="AP67" s="1">
        <v>70.83</v>
      </c>
      <c r="AQ67" s="1">
        <v>0</v>
      </c>
      <c r="AR67" s="1"/>
      <c r="AS67" s="1"/>
      <c r="AT67" s="1"/>
      <c r="AU67" s="1"/>
      <c r="AV67" s="1"/>
      <c r="AW67" s="1"/>
      <c r="AX67" s="1" t="s">
        <v>1359</v>
      </c>
      <c r="AY67" s="1" t="s">
        <v>1583</v>
      </c>
      <c r="AZ67" s="1" t="s">
        <v>436</v>
      </c>
      <c r="BA67" s="1" t="s">
        <v>1584</v>
      </c>
      <c r="BB67" s="1">
        <v>80</v>
      </c>
      <c r="BC67" s="1">
        <v>8</v>
      </c>
      <c r="BD67" s="1"/>
      <c r="BE67" s="1"/>
      <c r="BF67" s="1"/>
      <c r="BG67" s="1"/>
      <c r="BH67" s="1"/>
      <c r="BI67" s="1"/>
      <c r="BJ67" s="1" t="s">
        <v>1585</v>
      </c>
      <c r="BK67" s="1"/>
      <c r="BL67" s="1"/>
      <c r="BM67" s="1" t="s">
        <v>1586</v>
      </c>
      <c r="BN67" s="1">
        <v>13</v>
      </c>
      <c r="BO67" s="1" t="s">
        <v>1587</v>
      </c>
      <c r="BP67" s="1" t="str">
        <f>HYPERLINK("https://nconnect.nicmar.ac.in/storage/profile/ProfilePhoto_P25701019_941678.jpg","Download")</f>
        <v>0</v>
      </c>
      <c r="BQ67" s="3"/>
      <c r="BR67" s="3"/>
    </row>
    <row r="68" spans="1:70">
      <c r="A68" s="1" t="s">
        <v>1563</v>
      </c>
      <c r="B68" s="1" t="s">
        <v>1269</v>
      </c>
      <c r="C68" s="1" t="s">
        <v>1588</v>
      </c>
      <c r="D68" s="1" t="s">
        <v>1589</v>
      </c>
      <c r="E68" s="1" t="s">
        <v>1590</v>
      </c>
      <c r="F68" s="1" t="s">
        <v>1591</v>
      </c>
      <c r="G68" s="1" t="s">
        <v>1592</v>
      </c>
      <c r="H68" s="1" t="s">
        <v>1593</v>
      </c>
      <c r="I68" s="1" t="s">
        <v>1594</v>
      </c>
      <c r="J68" s="1">
        <v>7829294049</v>
      </c>
      <c r="K68" s="1" t="s">
        <v>79</v>
      </c>
      <c r="L68" s="1" t="s">
        <v>1595</v>
      </c>
      <c r="M68" s="1" t="s">
        <v>81</v>
      </c>
      <c r="N68" s="1" t="s">
        <v>1596</v>
      </c>
      <c r="O68" s="1" t="s">
        <v>1597</v>
      </c>
      <c r="P68" s="1" t="s">
        <v>1298</v>
      </c>
      <c r="Q68" s="1" t="s">
        <v>1598</v>
      </c>
      <c r="R68" s="1" t="s">
        <v>1599</v>
      </c>
      <c r="S68" s="1">
        <v>9845062530</v>
      </c>
      <c r="T68" s="1" t="s">
        <v>271</v>
      </c>
      <c r="U68" s="1" t="s">
        <v>1600</v>
      </c>
      <c r="V68" s="1">
        <v>9141107491</v>
      </c>
      <c r="W68" s="1" t="s">
        <v>89</v>
      </c>
      <c r="X68" s="1" t="s">
        <v>1601</v>
      </c>
      <c r="Y68" s="1" t="s">
        <v>1083</v>
      </c>
      <c r="Z68" s="1" t="s">
        <v>1084</v>
      </c>
      <c r="AA68" s="1" t="s">
        <v>1601</v>
      </c>
      <c r="AB68" s="1" t="s">
        <v>1083</v>
      </c>
      <c r="AC68" s="1" t="s">
        <v>1084</v>
      </c>
      <c r="AD68" s="1">
        <v>8.52</v>
      </c>
      <c r="AE68" s="1" t="s">
        <v>93</v>
      </c>
      <c r="AF68" s="1" t="s">
        <v>1602</v>
      </c>
      <c r="AG68" s="1" t="s">
        <v>1603</v>
      </c>
      <c r="AH68" s="1" t="s">
        <v>165</v>
      </c>
      <c r="AI68" s="1" t="s">
        <v>166</v>
      </c>
      <c r="AJ68" s="1">
        <v>89.83</v>
      </c>
      <c r="AK68" s="1"/>
      <c r="AL68" s="1" t="s">
        <v>1604</v>
      </c>
      <c r="AM68" s="1" t="s">
        <v>1605</v>
      </c>
      <c r="AN68" s="1" t="s">
        <v>433</v>
      </c>
      <c r="AO68" s="1" t="s">
        <v>173</v>
      </c>
      <c r="AP68" s="1">
        <v>80.16</v>
      </c>
      <c r="AQ68" s="1"/>
      <c r="AR68" s="1"/>
      <c r="AS68" s="1"/>
      <c r="AT68" s="1"/>
      <c r="AU68" s="1"/>
      <c r="AV68" s="1"/>
      <c r="AW68" s="1"/>
      <c r="AX68" s="1" t="s">
        <v>1606</v>
      </c>
      <c r="AY68" s="1" t="s">
        <v>1607</v>
      </c>
      <c r="AZ68" s="1" t="s">
        <v>699</v>
      </c>
      <c r="BA68" s="1" t="s">
        <v>202</v>
      </c>
      <c r="BB68" s="1">
        <v>74.6</v>
      </c>
      <c r="BC68" s="1">
        <v>7.46</v>
      </c>
      <c r="BD68" s="1"/>
      <c r="BE68" s="1"/>
      <c r="BF68" s="1"/>
      <c r="BG68" s="1"/>
      <c r="BH68" s="1"/>
      <c r="BI68" s="1"/>
      <c r="BJ68" s="1" t="s">
        <v>1608</v>
      </c>
      <c r="BK68" s="1" t="s">
        <v>1609</v>
      </c>
      <c r="BL68" s="1" t="s">
        <v>1475</v>
      </c>
      <c r="BM68" s="1" t="s">
        <v>1610</v>
      </c>
      <c r="BN68" s="1">
        <v>333</v>
      </c>
      <c r="BO68" s="1"/>
      <c r="BP68" s="1" t="str">
        <f>HYPERLINK("https://nconnect.nicmar.ac.in/storage/profile/ProfilePhoto_P25701079_578231.jpg","Download")</f>
        <v>0</v>
      </c>
      <c r="BQ68" s="3"/>
      <c r="BR68" s="3"/>
    </row>
    <row r="69" spans="1:70">
      <c r="A69" s="1" t="s">
        <v>1563</v>
      </c>
      <c r="B69" s="1" t="s">
        <v>1269</v>
      </c>
      <c r="C69" s="1" t="s">
        <v>1611</v>
      </c>
      <c r="D69" s="1" t="s">
        <v>985</v>
      </c>
      <c r="E69" s="1" t="s">
        <v>1612</v>
      </c>
      <c r="F69" s="1" t="s">
        <v>1613</v>
      </c>
      <c r="G69" s="1" t="s">
        <v>1614</v>
      </c>
      <c r="H69" s="1" t="s">
        <v>1615</v>
      </c>
      <c r="I69" s="1" t="s">
        <v>1616</v>
      </c>
      <c r="J69" s="1">
        <v>9867833346</v>
      </c>
      <c r="K69" s="1" t="s">
        <v>148</v>
      </c>
      <c r="L69" s="1" t="s">
        <v>1617</v>
      </c>
      <c r="M69" s="1" t="s">
        <v>81</v>
      </c>
      <c r="N69" s="1" t="s">
        <v>1618</v>
      </c>
      <c r="O69" s="1" t="s">
        <v>1619</v>
      </c>
      <c r="P69" s="1" t="s">
        <v>1298</v>
      </c>
      <c r="Q69" s="1" t="s">
        <v>1620</v>
      </c>
      <c r="R69" s="1" t="s">
        <v>1612</v>
      </c>
      <c r="S69" s="1">
        <v>9892324307</v>
      </c>
      <c r="T69" s="1" t="s">
        <v>120</v>
      </c>
      <c r="U69" s="1" t="s">
        <v>1621</v>
      </c>
      <c r="V69" s="1">
        <v>9867112680</v>
      </c>
      <c r="W69" s="1" t="s">
        <v>216</v>
      </c>
      <c r="X69" s="1" t="s">
        <v>1622</v>
      </c>
      <c r="Y69" s="1" t="s">
        <v>1623</v>
      </c>
      <c r="Z69" s="1" t="s">
        <v>92</v>
      </c>
      <c r="AA69" s="1" t="s">
        <v>1622</v>
      </c>
      <c r="AB69" s="1" t="s">
        <v>1623</v>
      </c>
      <c r="AC69" s="1" t="s">
        <v>92</v>
      </c>
      <c r="AD69" s="1">
        <v>8.5</v>
      </c>
      <c r="AE69" s="1" t="s">
        <v>93</v>
      </c>
      <c r="AF69" s="1" t="s">
        <v>1624</v>
      </c>
      <c r="AG69" s="1" t="s">
        <v>160</v>
      </c>
      <c r="AH69" s="1" t="s">
        <v>161</v>
      </c>
      <c r="AI69" s="1" t="s">
        <v>456</v>
      </c>
      <c r="AJ69" s="1">
        <v>91</v>
      </c>
      <c r="AK69" s="1">
        <v>0</v>
      </c>
      <c r="AL69" s="1" t="s">
        <v>1625</v>
      </c>
      <c r="AM69" s="1" t="s">
        <v>160</v>
      </c>
      <c r="AN69" s="1" t="s">
        <v>165</v>
      </c>
      <c r="AO69" s="1" t="s">
        <v>457</v>
      </c>
      <c r="AP69" s="1">
        <v>77.23</v>
      </c>
      <c r="AQ69" s="1">
        <v>0</v>
      </c>
      <c r="AR69" s="1"/>
      <c r="AS69" s="1"/>
      <c r="AT69" s="1"/>
      <c r="AU69" s="1"/>
      <c r="AV69" s="1"/>
      <c r="AW69" s="1"/>
      <c r="AX69" s="1" t="s">
        <v>1024</v>
      </c>
      <c r="AY69" s="1" t="s">
        <v>1626</v>
      </c>
      <c r="AZ69" s="1" t="s">
        <v>101</v>
      </c>
      <c r="BA69" s="1" t="s">
        <v>229</v>
      </c>
      <c r="BB69" s="1">
        <v>75.86</v>
      </c>
      <c r="BC69" s="1">
        <v>8.63</v>
      </c>
      <c r="BD69" s="1"/>
      <c r="BE69" s="1"/>
      <c r="BF69" s="1"/>
      <c r="BG69" s="1"/>
      <c r="BH69" s="1"/>
      <c r="BI69" s="1"/>
      <c r="BJ69" s="1" t="s">
        <v>1627</v>
      </c>
      <c r="BK69" s="1" t="s">
        <v>1628</v>
      </c>
      <c r="BL69" s="1" t="s">
        <v>1629</v>
      </c>
      <c r="BM69" s="1" t="s">
        <v>1630</v>
      </c>
      <c r="BN69" s="1">
        <v>21</v>
      </c>
      <c r="BO69" s="1"/>
      <c r="BP69" s="1" t="str">
        <f>HYPERLINK("https://nconnect.nicmar.ac.in/storage/profile/ProfilePhoto_P25701096_463592.jpg","Download")</f>
        <v>0</v>
      </c>
      <c r="BQ69" s="3"/>
      <c r="BR69" s="3"/>
    </row>
    <row r="70" spans="1:70">
      <c r="A70" s="1" t="s">
        <v>1563</v>
      </c>
      <c r="B70" s="1" t="s">
        <v>1269</v>
      </c>
      <c r="C70" s="1" t="s">
        <v>1631</v>
      </c>
      <c r="D70" s="1" t="s">
        <v>1632</v>
      </c>
      <c r="E70" s="1"/>
      <c r="F70" s="1" t="s">
        <v>1633</v>
      </c>
      <c r="G70" s="1" t="s">
        <v>1634</v>
      </c>
      <c r="H70" s="1" t="s">
        <v>1635</v>
      </c>
      <c r="I70" s="1" t="s">
        <v>1636</v>
      </c>
      <c r="J70" s="1">
        <v>9421513085</v>
      </c>
      <c r="K70" s="1" t="s">
        <v>79</v>
      </c>
      <c r="L70" s="1" t="s">
        <v>1637</v>
      </c>
      <c r="M70" s="1" t="s">
        <v>81</v>
      </c>
      <c r="N70" s="1" t="s">
        <v>1638</v>
      </c>
      <c r="O70" s="1"/>
      <c r="P70" s="1" t="s">
        <v>1278</v>
      </c>
      <c r="Q70" s="1" t="s">
        <v>1639</v>
      </c>
      <c r="R70" s="1" t="s">
        <v>1640</v>
      </c>
      <c r="S70" s="1">
        <v>9405403857</v>
      </c>
      <c r="T70" s="1" t="s">
        <v>120</v>
      </c>
      <c r="U70" s="1" t="s">
        <v>1641</v>
      </c>
      <c r="V70" s="1">
        <v>9405403617</v>
      </c>
      <c r="W70" s="1" t="s">
        <v>156</v>
      </c>
      <c r="X70" s="1" t="s">
        <v>1642</v>
      </c>
      <c r="Y70" s="1" t="s">
        <v>191</v>
      </c>
      <c r="Z70" s="1" t="s">
        <v>92</v>
      </c>
      <c r="AA70" s="1" t="s">
        <v>1643</v>
      </c>
      <c r="AB70" s="1" t="s">
        <v>304</v>
      </c>
      <c r="AC70" s="1" t="s">
        <v>92</v>
      </c>
      <c r="AD70" s="1">
        <v>7.41</v>
      </c>
      <c r="AE70" s="1" t="s">
        <v>93</v>
      </c>
      <c r="AF70" s="1" t="s">
        <v>1644</v>
      </c>
      <c r="AG70" s="1" t="s">
        <v>160</v>
      </c>
      <c r="AH70" s="1" t="s">
        <v>161</v>
      </c>
      <c r="AI70" s="1" t="s">
        <v>162</v>
      </c>
      <c r="AJ70" s="1">
        <v>79.2</v>
      </c>
      <c r="AK70" s="1"/>
      <c r="AL70" s="1" t="s">
        <v>1644</v>
      </c>
      <c r="AM70" s="1" t="s">
        <v>160</v>
      </c>
      <c r="AN70" s="1" t="s">
        <v>165</v>
      </c>
      <c r="AO70" s="1" t="s">
        <v>166</v>
      </c>
      <c r="AP70" s="1">
        <v>66.92</v>
      </c>
      <c r="AQ70" s="1"/>
      <c r="AR70" s="1"/>
      <c r="AS70" s="1"/>
      <c r="AT70" s="1"/>
      <c r="AU70" s="1"/>
      <c r="AV70" s="1"/>
      <c r="AW70" s="1"/>
      <c r="AX70" s="1" t="s">
        <v>1645</v>
      </c>
      <c r="AY70" s="1" t="s">
        <v>1646</v>
      </c>
      <c r="AZ70" s="1" t="s">
        <v>636</v>
      </c>
      <c r="BA70" s="1" t="s">
        <v>481</v>
      </c>
      <c r="BB70" s="1">
        <v>70.5</v>
      </c>
      <c r="BC70" s="1">
        <v>7.8</v>
      </c>
      <c r="BD70" s="1"/>
      <c r="BE70" s="1" t="s">
        <v>1647</v>
      </c>
      <c r="BF70" s="1" t="s">
        <v>1090</v>
      </c>
      <c r="BG70" s="1" t="s">
        <v>549</v>
      </c>
      <c r="BH70" s="1">
        <v>63.38</v>
      </c>
      <c r="BI70" s="1"/>
      <c r="BJ70" s="1" t="s">
        <v>1648</v>
      </c>
      <c r="BK70" s="1" t="s">
        <v>1649</v>
      </c>
      <c r="BL70" s="1" t="s">
        <v>1289</v>
      </c>
      <c r="BM70" s="1" t="s">
        <v>1650</v>
      </c>
      <c r="BN70" s="1">
        <v>47</v>
      </c>
      <c r="BO70" s="1" t="s">
        <v>1651</v>
      </c>
      <c r="BP70" s="1" t="str">
        <f>HYPERLINK("https://nconnect.nicmar.ac.in/storage/profile/ProfilePhoto_P25701146_485671.jpg","Download")</f>
        <v>0</v>
      </c>
      <c r="BQ70" s="3"/>
      <c r="BR70" s="3"/>
    </row>
    <row r="71" spans="1:70">
      <c r="A71" s="1" t="s">
        <v>70</v>
      </c>
      <c r="B71" s="1" t="s">
        <v>1269</v>
      </c>
      <c r="C71" s="1" t="s">
        <v>1652</v>
      </c>
      <c r="D71" s="1" t="s">
        <v>1653</v>
      </c>
      <c r="E71" s="1"/>
      <c r="F71" s="1" t="s">
        <v>835</v>
      </c>
      <c r="G71" s="1" t="s">
        <v>1654</v>
      </c>
      <c r="H71" s="1" t="s">
        <v>1655</v>
      </c>
      <c r="I71" s="1" t="s">
        <v>1656</v>
      </c>
      <c r="J71" s="1">
        <v>9368948950</v>
      </c>
      <c r="K71" s="1" t="s">
        <v>79</v>
      </c>
      <c r="L71" s="1" t="s">
        <v>1657</v>
      </c>
      <c r="M71" s="1" t="s">
        <v>81</v>
      </c>
      <c r="N71" s="1" t="s">
        <v>1658</v>
      </c>
      <c r="O71" s="1"/>
      <c r="P71" s="1" t="s">
        <v>1278</v>
      </c>
      <c r="Q71" s="1" t="s">
        <v>1659</v>
      </c>
      <c r="R71" s="1" t="s">
        <v>1660</v>
      </c>
      <c r="S71" s="1">
        <v>9149634667</v>
      </c>
      <c r="T71" s="1" t="s">
        <v>1554</v>
      </c>
      <c r="U71" s="1" t="s">
        <v>1661</v>
      </c>
      <c r="V71" s="1">
        <v>9149634667</v>
      </c>
      <c r="W71" s="1" t="s">
        <v>156</v>
      </c>
      <c r="X71" s="1" t="s">
        <v>1662</v>
      </c>
      <c r="Y71" s="1" t="s">
        <v>1663</v>
      </c>
      <c r="Z71" s="1" t="s">
        <v>1355</v>
      </c>
      <c r="AA71" s="1" t="s">
        <v>1662</v>
      </c>
      <c r="AB71" s="1" t="s">
        <v>1663</v>
      </c>
      <c r="AC71" s="1" t="s">
        <v>1355</v>
      </c>
      <c r="AD71" s="1" t="s">
        <v>93</v>
      </c>
      <c r="AE71" s="1" t="s">
        <v>93</v>
      </c>
      <c r="AF71" s="1" t="s">
        <v>1664</v>
      </c>
      <c r="AG71" s="1" t="s">
        <v>1665</v>
      </c>
      <c r="AH71" s="1" t="s">
        <v>1666</v>
      </c>
      <c r="AI71" s="1" t="s">
        <v>1667</v>
      </c>
      <c r="AJ71" s="1">
        <v>64.8</v>
      </c>
      <c r="AK71" s="1">
        <v>0</v>
      </c>
      <c r="AL71" s="1" t="s">
        <v>1664</v>
      </c>
      <c r="AM71" s="1" t="s">
        <v>1665</v>
      </c>
      <c r="AN71" s="1" t="s">
        <v>1668</v>
      </c>
      <c r="AO71" s="1" t="s">
        <v>332</v>
      </c>
      <c r="AP71" s="1">
        <v>58.2</v>
      </c>
      <c r="AQ71" s="1">
        <v>0</v>
      </c>
      <c r="AR71" s="1" t="s">
        <v>98</v>
      </c>
      <c r="AS71" s="1" t="s">
        <v>1669</v>
      </c>
      <c r="AT71" s="1" t="s">
        <v>1670</v>
      </c>
      <c r="AU71" s="1" t="s">
        <v>129</v>
      </c>
      <c r="AV71" s="1">
        <v>66.94</v>
      </c>
      <c r="AW71" s="1">
        <v>0</v>
      </c>
      <c r="AX71" s="1" t="s">
        <v>1671</v>
      </c>
      <c r="AY71" s="1" t="s">
        <v>1672</v>
      </c>
      <c r="AZ71" s="1" t="s">
        <v>1245</v>
      </c>
      <c r="BA71" s="1" t="s">
        <v>527</v>
      </c>
      <c r="BB71" s="1">
        <v>65.73</v>
      </c>
      <c r="BC71" s="1">
        <v>0</v>
      </c>
      <c r="BD71" s="1"/>
      <c r="BE71" s="1"/>
      <c r="BF71" s="1"/>
      <c r="BG71" s="1"/>
      <c r="BH71" s="1"/>
      <c r="BI71" s="1"/>
      <c r="BJ71" s="1" t="s">
        <v>1673</v>
      </c>
      <c r="BK71" s="1" t="s">
        <v>1674</v>
      </c>
      <c r="BL71" s="1" t="s">
        <v>1675</v>
      </c>
      <c r="BM71" s="1" t="s">
        <v>1676</v>
      </c>
      <c r="BN71" s="1">
        <v>8</v>
      </c>
      <c r="BO71" s="1" t="s">
        <v>1677</v>
      </c>
      <c r="BP71" s="1" t="str">
        <f>HYPERLINK("https://nconnect.nicmar.ac.in/storage/profile/6a658926a6983.png","Download")</f>
        <v>0</v>
      </c>
      <c r="BQ71" s="3"/>
      <c r="BR71" s="3"/>
    </row>
    <row r="72" spans="1:70">
      <c r="A72" s="1" t="s">
        <v>70</v>
      </c>
      <c r="B72" s="1" t="s">
        <v>1269</v>
      </c>
      <c r="C72" s="1" t="s">
        <v>1678</v>
      </c>
      <c r="D72" s="1" t="s">
        <v>1679</v>
      </c>
      <c r="E72" s="1"/>
      <c r="F72" s="1" t="s">
        <v>1680</v>
      </c>
      <c r="G72" s="1" t="s">
        <v>1681</v>
      </c>
      <c r="H72" s="1" t="s">
        <v>1682</v>
      </c>
      <c r="I72" s="1" t="s">
        <v>1683</v>
      </c>
      <c r="J72" s="1">
        <v>9487829008</v>
      </c>
      <c r="K72" s="1" t="s">
        <v>79</v>
      </c>
      <c r="L72" s="1" t="s">
        <v>1684</v>
      </c>
      <c r="M72" s="1" t="s">
        <v>81</v>
      </c>
      <c r="N72" s="1" t="s">
        <v>1685</v>
      </c>
      <c r="O72" s="1"/>
      <c r="P72" s="1" t="s">
        <v>1323</v>
      </c>
      <c r="Q72" s="1" t="s">
        <v>1686</v>
      </c>
      <c r="R72" s="1" t="s">
        <v>1687</v>
      </c>
      <c r="S72" s="1">
        <v>9443435008</v>
      </c>
      <c r="T72" s="1" t="s">
        <v>87</v>
      </c>
      <c r="U72" s="1" t="s">
        <v>1688</v>
      </c>
      <c r="V72" s="1">
        <v>9597963693</v>
      </c>
      <c r="W72" s="1" t="s">
        <v>651</v>
      </c>
      <c r="X72" s="1" t="s">
        <v>1689</v>
      </c>
      <c r="Y72" s="1" t="s">
        <v>1690</v>
      </c>
      <c r="Z72" s="1" t="s">
        <v>1377</v>
      </c>
      <c r="AA72" s="1" t="s">
        <v>1689</v>
      </c>
      <c r="AB72" s="1" t="s">
        <v>1690</v>
      </c>
      <c r="AC72" s="1" t="s">
        <v>1377</v>
      </c>
      <c r="AD72" s="1">
        <v>8.23</v>
      </c>
      <c r="AE72" s="1" t="s">
        <v>93</v>
      </c>
      <c r="AF72" s="1" t="s">
        <v>1691</v>
      </c>
      <c r="AG72" s="1" t="s">
        <v>1692</v>
      </c>
      <c r="AH72" s="1" t="s">
        <v>101</v>
      </c>
      <c r="AI72" s="1" t="s">
        <v>1065</v>
      </c>
      <c r="AJ72" s="1">
        <v>70.4</v>
      </c>
      <c r="AK72" s="1"/>
      <c r="AL72" s="1" t="s">
        <v>1691</v>
      </c>
      <c r="AM72" s="1" t="s">
        <v>1692</v>
      </c>
      <c r="AN72" s="1" t="s">
        <v>699</v>
      </c>
      <c r="AO72" s="1" t="s">
        <v>506</v>
      </c>
      <c r="AP72" s="1">
        <v>77.99</v>
      </c>
      <c r="AQ72" s="1"/>
      <c r="AR72" s="1"/>
      <c r="AS72" s="1"/>
      <c r="AT72" s="1"/>
      <c r="AU72" s="1"/>
      <c r="AV72" s="1"/>
      <c r="AW72" s="1"/>
      <c r="AX72" s="1" t="s">
        <v>1381</v>
      </c>
      <c r="AY72" s="1" t="s">
        <v>1693</v>
      </c>
      <c r="AZ72" s="1" t="s">
        <v>135</v>
      </c>
      <c r="BA72" s="1" t="s">
        <v>1408</v>
      </c>
      <c r="BB72" s="1">
        <v>78.6</v>
      </c>
      <c r="BC72" s="1">
        <v>7.86</v>
      </c>
      <c r="BD72" s="1"/>
      <c r="BE72" s="1"/>
      <c r="BF72" s="1"/>
      <c r="BG72" s="1"/>
      <c r="BH72" s="1"/>
      <c r="BI72" s="1"/>
      <c r="BJ72" s="1" t="s">
        <v>1694</v>
      </c>
      <c r="BK72" s="1"/>
      <c r="BL72" s="1"/>
      <c r="BM72" s="1" t="s">
        <v>1695</v>
      </c>
      <c r="BN72" s="1">
        <v>16</v>
      </c>
      <c r="BO72" s="1"/>
      <c r="BP72" s="1" t="str">
        <f>HYPERLINK("https://nconnect.nicmar.ac.in/storage/profile/ProfilePhoto_P25700001_756293.jpg","Download")</f>
        <v>0</v>
      </c>
      <c r="BQ72" s="3"/>
      <c r="BR72" s="3"/>
    </row>
    <row r="73" spans="1:70">
      <c r="A73" s="1" t="s">
        <v>70</v>
      </c>
      <c r="B73" s="1" t="s">
        <v>1269</v>
      </c>
      <c r="C73" s="1" t="s">
        <v>1696</v>
      </c>
      <c r="D73" s="1" t="s">
        <v>1697</v>
      </c>
      <c r="E73" s="1" t="s">
        <v>1698</v>
      </c>
      <c r="F73" s="1" t="s">
        <v>1699</v>
      </c>
      <c r="G73" s="1" t="s">
        <v>1700</v>
      </c>
      <c r="H73" s="1" t="s">
        <v>1701</v>
      </c>
      <c r="I73" s="1" t="s">
        <v>1702</v>
      </c>
      <c r="J73" s="1">
        <v>8668621095</v>
      </c>
      <c r="K73" s="1" t="s">
        <v>79</v>
      </c>
      <c r="L73" s="1" t="s">
        <v>1703</v>
      </c>
      <c r="M73" s="1" t="s">
        <v>81</v>
      </c>
      <c r="N73" s="1" t="s">
        <v>1704</v>
      </c>
      <c r="O73" s="1"/>
      <c r="P73" s="1" t="s">
        <v>1298</v>
      </c>
      <c r="Q73" s="1" t="s">
        <v>1705</v>
      </c>
      <c r="R73" s="1" t="s">
        <v>1706</v>
      </c>
      <c r="S73" s="1">
        <v>9890094393</v>
      </c>
      <c r="T73" s="1" t="s">
        <v>496</v>
      </c>
      <c r="U73" s="1" t="s">
        <v>1707</v>
      </c>
      <c r="V73" s="1">
        <v>9923291602</v>
      </c>
      <c r="W73" s="1" t="s">
        <v>156</v>
      </c>
      <c r="X73" s="1" t="s">
        <v>1708</v>
      </c>
      <c r="Y73" s="1" t="s">
        <v>191</v>
      </c>
      <c r="Z73" s="1" t="s">
        <v>92</v>
      </c>
      <c r="AA73" s="1" t="s">
        <v>1708</v>
      </c>
      <c r="AB73" s="1" t="s">
        <v>191</v>
      </c>
      <c r="AC73" s="1" t="s">
        <v>92</v>
      </c>
      <c r="AD73" s="1">
        <v>8.29</v>
      </c>
      <c r="AE73" s="1" t="s">
        <v>93</v>
      </c>
      <c r="AF73" s="1" t="s">
        <v>1709</v>
      </c>
      <c r="AG73" s="1" t="s">
        <v>1710</v>
      </c>
      <c r="AH73" s="1" t="s">
        <v>101</v>
      </c>
      <c r="AI73" s="1" t="s">
        <v>308</v>
      </c>
      <c r="AJ73" s="1">
        <v>86.6</v>
      </c>
      <c r="AK73" s="1"/>
      <c r="AL73" s="1" t="s">
        <v>1711</v>
      </c>
      <c r="AM73" s="1" t="s">
        <v>160</v>
      </c>
      <c r="AN73" s="1" t="s">
        <v>699</v>
      </c>
      <c r="AO73" s="1" t="s">
        <v>1712</v>
      </c>
      <c r="AP73" s="1">
        <v>78</v>
      </c>
      <c r="AQ73" s="1"/>
      <c r="AR73" s="1"/>
      <c r="AS73" s="1"/>
      <c r="AT73" s="1"/>
      <c r="AU73" s="1"/>
      <c r="AV73" s="1"/>
      <c r="AW73" s="1"/>
      <c r="AX73" s="1" t="s">
        <v>361</v>
      </c>
      <c r="AY73" s="1" t="s">
        <v>1713</v>
      </c>
      <c r="AZ73" s="1" t="s">
        <v>1131</v>
      </c>
      <c r="BA73" s="1" t="s">
        <v>1714</v>
      </c>
      <c r="BB73" s="1">
        <v>65.7</v>
      </c>
      <c r="BC73" s="1">
        <v>7.32</v>
      </c>
      <c r="BD73" s="1"/>
      <c r="BE73" s="1"/>
      <c r="BF73" s="1"/>
      <c r="BG73" s="1"/>
      <c r="BH73" s="1"/>
      <c r="BI73" s="1"/>
      <c r="BJ73" s="1" t="s">
        <v>1715</v>
      </c>
      <c r="BK73" s="1"/>
      <c r="BL73" s="1"/>
      <c r="BM73" s="1" t="s">
        <v>1716</v>
      </c>
      <c r="BN73" s="1">
        <v>37</v>
      </c>
      <c r="BO73" s="1"/>
      <c r="BP73" s="1" t="str">
        <f>HYPERLINK("https://nconnect.nicmar.ac.in/storage/profile/ProfilePhoto_P25700002_549178.jpg","Download")</f>
        <v>0</v>
      </c>
      <c r="BQ73" s="3"/>
      <c r="BR73" s="3"/>
    </row>
    <row r="74" spans="1:70">
      <c r="A74" s="1" t="s">
        <v>70</v>
      </c>
      <c r="B74" s="1" t="s">
        <v>1269</v>
      </c>
      <c r="C74" s="1" t="s">
        <v>1717</v>
      </c>
      <c r="D74" s="1" t="s">
        <v>1718</v>
      </c>
      <c r="E74" s="1"/>
      <c r="F74" s="1" t="s">
        <v>1719</v>
      </c>
      <c r="G74" s="1" t="s">
        <v>1720</v>
      </c>
      <c r="H74" s="1" t="s">
        <v>1721</v>
      </c>
      <c r="I74" s="1" t="s">
        <v>1722</v>
      </c>
      <c r="J74" s="1">
        <v>7326972273</v>
      </c>
      <c r="K74" s="1" t="s">
        <v>148</v>
      </c>
      <c r="L74" s="1" t="s">
        <v>1723</v>
      </c>
      <c r="M74" s="1" t="s">
        <v>81</v>
      </c>
      <c r="N74" s="1" t="s">
        <v>1724</v>
      </c>
      <c r="O74" s="1"/>
      <c r="P74" s="1" t="s">
        <v>1323</v>
      </c>
      <c r="Q74" s="1" t="s">
        <v>1725</v>
      </c>
      <c r="R74" s="1" t="s">
        <v>1726</v>
      </c>
      <c r="S74" s="1">
        <v>7978169041</v>
      </c>
      <c r="T74" s="1" t="s">
        <v>1727</v>
      </c>
      <c r="U74" s="1" t="s">
        <v>1728</v>
      </c>
      <c r="V74" s="1">
        <v>9348052260</v>
      </c>
      <c r="W74" s="1" t="s">
        <v>651</v>
      </c>
      <c r="X74" s="1" t="s">
        <v>1729</v>
      </c>
      <c r="Y74" s="1" t="s">
        <v>1730</v>
      </c>
      <c r="Z74" s="1" t="s">
        <v>1731</v>
      </c>
      <c r="AA74" s="1" t="s">
        <v>1729</v>
      </c>
      <c r="AB74" s="1" t="s">
        <v>1730</v>
      </c>
      <c r="AC74" s="1" t="s">
        <v>1731</v>
      </c>
      <c r="AD74" s="1">
        <v>8.29</v>
      </c>
      <c r="AE74" s="1" t="s">
        <v>93</v>
      </c>
      <c r="AF74" s="1" t="s">
        <v>1732</v>
      </c>
      <c r="AG74" s="1" t="s">
        <v>1733</v>
      </c>
      <c r="AH74" s="1" t="s">
        <v>281</v>
      </c>
      <c r="AI74" s="1" t="s">
        <v>308</v>
      </c>
      <c r="AJ74" s="1">
        <v>85.8</v>
      </c>
      <c r="AK74" s="1"/>
      <c r="AL74" s="1" t="s">
        <v>1732</v>
      </c>
      <c r="AM74" s="1" t="s">
        <v>1734</v>
      </c>
      <c r="AN74" s="1" t="s">
        <v>941</v>
      </c>
      <c r="AO74" s="1" t="s">
        <v>506</v>
      </c>
      <c r="AP74" s="1">
        <v>83.6</v>
      </c>
      <c r="AQ74" s="1"/>
      <c r="AR74" s="1"/>
      <c r="AS74" s="1"/>
      <c r="AT74" s="1"/>
      <c r="AU74" s="1"/>
      <c r="AV74" s="1"/>
      <c r="AW74" s="1"/>
      <c r="AX74" s="1" t="s">
        <v>1735</v>
      </c>
      <c r="AY74" s="1" t="s">
        <v>1736</v>
      </c>
      <c r="AZ74" s="1" t="s">
        <v>897</v>
      </c>
      <c r="BA74" s="1" t="s">
        <v>1408</v>
      </c>
      <c r="BB74" s="1">
        <v>83.6</v>
      </c>
      <c r="BC74" s="1">
        <v>8.86</v>
      </c>
      <c r="BD74" s="1"/>
      <c r="BE74" s="1"/>
      <c r="BF74" s="1"/>
      <c r="BG74" s="1"/>
      <c r="BH74" s="1"/>
      <c r="BI74" s="1"/>
      <c r="BJ74" s="1" t="s">
        <v>1737</v>
      </c>
      <c r="BK74" s="1"/>
      <c r="BL74" s="1"/>
      <c r="BM74" s="1" t="s">
        <v>1738</v>
      </c>
      <c r="BN74" s="1">
        <v>17</v>
      </c>
      <c r="BO74" s="1"/>
      <c r="BP74" s="1" t="str">
        <f>HYPERLINK("https://nconnect.nicmar.ac.in/storage/profile/ProfilePhoto_P25700004_129356.jpg","Download")</f>
        <v>0</v>
      </c>
      <c r="BQ74" s="3"/>
      <c r="BR74" s="3"/>
    </row>
    <row r="75" spans="1:70">
      <c r="A75" s="1" t="s">
        <v>70</v>
      </c>
      <c r="B75" s="1" t="s">
        <v>1269</v>
      </c>
      <c r="C75" s="1" t="s">
        <v>1739</v>
      </c>
      <c r="D75" s="1" t="s">
        <v>1740</v>
      </c>
      <c r="E75" s="1"/>
      <c r="F75" s="1" t="s">
        <v>1741</v>
      </c>
      <c r="G75" s="1" t="s">
        <v>1742</v>
      </c>
      <c r="H75" s="1" t="s">
        <v>1743</v>
      </c>
      <c r="I75" s="1" t="s">
        <v>1744</v>
      </c>
      <c r="J75" s="1">
        <v>8908092210</v>
      </c>
      <c r="K75" s="1" t="s">
        <v>79</v>
      </c>
      <c r="L75" s="1" t="s">
        <v>1745</v>
      </c>
      <c r="M75" s="1" t="s">
        <v>81</v>
      </c>
      <c r="N75" s="1" t="s">
        <v>1746</v>
      </c>
      <c r="O75" s="1"/>
      <c r="P75" s="1" t="s">
        <v>1278</v>
      </c>
      <c r="Q75" s="1" t="s">
        <v>1747</v>
      </c>
      <c r="R75" s="1" t="s">
        <v>1748</v>
      </c>
      <c r="S75" s="1">
        <v>9437130525</v>
      </c>
      <c r="T75" s="1" t="s">
        <v>496</v>
      </c>
      <c r="U75" s="1" t="s">
        <v>1749</v>
      </c>
      <c r="V75" s="1">
        <v>9668523777</v>
      </c>
      <c r="W75" s="1" t="s">
        <v>89</v>
      </c>
      <c r="X75" s="1" t="s">
        <v>1750</v>
      </c>
      <c r="Y75" s="1" t="s">
        <v>1751</v>
      </c>
      <c r="Z75" s="1" t="s">
        <v>1731</v>
      </c>
      <c r="AA75" s="1" t="s">
        <v>1750</v>
      </c>
      <c r="AB75" s="1" t="s">
        <v>1751</v>
      </c>
      <c r="AC75" s="1" t="s">
        <v>1731</v>
      </c>
      <c r="AD75" s="1">
        <v>8.75</v>
      </c>
      <c r="AE75" s="1" t="s">
        <v>93</v>
      </c>
      <c r="AF75" s="1" t="s">
        <v>1752</v>
      </c>
      <c r="AG75" s="1" t="s">
        <v>1753</v>
      </c>
      <c r="AH75" s="1" t="s">
        <v>479</v>
      </c>
      <c r="AI75" s="1" t="s">
        <v>166</v>
      </c>
      <c r="AJ75" s="1">
        <v>69.66</v>
      </c>
      <c r="AK75" s="1"/>
      <c r="AL75" s="1" t="s">
        <v>1752</v>
      </c>
      <c r="AM75" s="1" t="s">
        <v>1753</v>
      </c>
      <c r="AN75" s="1" t="s">
        <v>310</v>
      </c>
      <c r="AO75" s="1" t="s">
        <v>173</v>
      </c>
      <c r="AP75" s="1">
        <v>67.16</v>
      </c>
      <c r="AQ75" s="1"/>
      <c r="AR75" s="1"/>
      <c r="AS75" s="1"/>
      <c r="AT75" s="1"/>
      <c r="AU75" s="1"/>
      <c r="AV75" s="1"/>
      <c r="AW75" s="1"/>
      <c r="AX75" s="1" t="s">
        <v>1754</v>
      </c>
      <c r="AY75" s="1" t="s">
        <v>1754</v>
      </c>
      <c r="AZ75" s="1" t="s">
        <v>920</v>
      </c>
      <c r="BA75" s="1" t="s">
        <v>202</v>
      </c>
      <c r="BB75" s="1">
        <v>75.2</v>
      </c>
      <c r="BC75" s="1">
        <v>8.02</v>
      </c>
      <c r="BD75" s="1"/>
      <c r="BE75" s="1"/>
      <c r="BF75" s="1"/>
      <c r="BG75" s="1"/>
      <c r="BH75" s="1"/>
      <c r="BI75" s="1"/>
      <c r="BJ75" s="1" t="s">
        <v>1383</v>
      </c>
      <c r="BK75" s="1" t="s">
        <v>1755</v>
      </c>
      <c r="BL75" s="1" t="s">
        <v>1220</v>
      </c>
      <c r="BM75" s="1" t="s">
        <v>1756</v>
      </c>
      <c r="BN75" s="1">
        <v>13</v>
      </c>
      <c r="BO75" s="1"/>
      <c r="BP75" s="1" t="str">
        <f>HYPERLINK("https://nconnect.nicmar.ac.in/storage/profile/ProfilePhoto_P25700005_154637.jpg","Download")</f>
        <v>0</v>
      </c>
      <c r="BQ75" s="3"/>
      <c r="BR75" s="3"/>
    </row>
    <row r="76" spans="1:70">
      <c r="A76" s="1" t="s">
        <v>70</v>
      </c>
      <c r="B76" s="1" t="s">
        <v>1269</v>
      </c>
      <c r="C76" s="1" t="s">
        <v>1757</v>
      </c>
      <c r="D76" s="1" t="s">
        <v>1758</v>
      </c>
      <c r="E76" s="1" t="s">
        <v>1759</v>
      </c>
      <c r="F76" s="1" t="s">
        <v>1760</v>
      </c>
      <c r="G76" s="1" t="s">
        <v>1761</v>
      </c>
      <c r="H76" s="1" t="s">
        <v>1762</v>
      </c>
      <c r="I76" s="1" t="s">
        <v>1763</v>
      </c>
      <c r="J76" s="1">
        <v>9146795457</v>
      </c>
      <c r="K76" s="1" t="s">
        <v>79</v>
      </c>
      <c r="L76" s="1" t="s">
        <v>1764</v>
      </c>
      <c r="M76" s="1" t="s">
        <v>81</v>
      </c>
      <c r="N76" s="1" t="s">
        <v>1765</v>
      </c>
      <c r="O76" s="1"/>
      <c r="P76" s="1" t="s">
        <v>1766</v>
      </c>
      <c r="Q76" s="1" t="s">
        <v>1767</v>
      </c>
      <c r="R76" s="1" t="s">
        <v>1768</v>
      </c>
      <c r="S76" s="1">
        <v>9422765760</v>
      </c>
      <c r="T76" s="1" t="s">
        <v>1769</v>
      </c>
      <c r="U76" s="1" t="s">
        <v>1770</v>
      </c>
      <c r="V76" s="1">
        <v>8208766402</v>
      </c>
      <c r="W76" s="1" t="s">
        <v>1771</v>
      </c>
      <c r="X76" s="1" t="s">
        <v>1772</v>
      </c>
      <c r="Y76" s="1" t="s">
        <v>1174</v>
      </c>
      <c r="Z76" s="1" t="s">
        <v>92</v>
      </c>
      <c r="AA76" s="1" t="s">
        <v>1772</v>
      </c>
      <c r="AB76" s="1" t="s">
        <v>1174</v>
      </c>
      <c r="AC76" s="1" t="s">
        <v>92</v>
      </c>
      <c r="AD76" s="1">
        <v>7.74</v>
      </c>
      <c r="AE76" s="1" t="s">
        <v>93</v>
      </c>
      <c r="AF76" s="1" t="s">
        <v>1773</v>
      </c>
      <c r="AG76" s="1" t="s">
        <v>1774</v>
      </c>
      <c r="AH76" s="1" t="s">
        <v>165</v>
      </c>
      <c r="AI76" s="1" t="s">
        <v>166</v>
      </c>
      <c r="AJ76" s="1">
        <v>89.6</v>
      </c>
      <c r="AK76" s="1">
        <v>0</v>
      </c>
      <c r="AL76" s="1" t="s">
        <v>1775</v>
      </c>
      <c r="AM76" s="1" t="s">
        <v>1774</v>
      </c>
      <c r="AN76" s="1" t="s">
        <v>310</v>
      </c>
      <c r="AO76" s="1" t="s">
        <v>412</v>
      </c>
      <c r="AP76" s="1">
        <v>82.31</v>
      </c>
      <c r="AQ76" s="1">
        <v>0</v>
      </c>
      <c r="AR76" s="1"/>
      <c r="AS76" s="1"/>
      <c r="AT76" s="1"/>
      <c r="AU76" s="1"/>
      <c r="AV76" s="1"/>
      <c r="AW76" s="1"/>
      <c r="AX76" s="1" t="s">
        <v>361</v>
      </c>
      <c r="AY76" s="1" t="s">
        <v>1776</v>
      </c>
      <c r="AZ76" s="1" t="s">
        <v>1131</v>
      </c>
      <c r="BA76" s="1" t="s">
        <v>202</v>
      </c>
      <c r="BB76" s="1">
        <v>70.2</v>
      </c>
      <c r="BC76" s="1">
        <v>7.77</v>
      </c>
      <c r="BD76" s="1"/>
      <c r="BE76" s="1"/>
      <c r="BF76" s="1"/>
      <c r="BG76" s="1"/>
      <c r="BH76" s="1"/>
      <c r="BI76" s="1"/>
      <c r="BJ76" s="1" t="s">
        <v>1777</v>
      </c>
      <c r="BK76" s="1" t="s">
        <v>1778</v>
      </c>
      <c r="BL76" s="1" t="s">
        <v>1220</v>
      </c>
      <c r="BM76" s="1" t="s">
        <v>1779</v>
      </c>
      <c r="BN76" s="1">
        <v>4</v>
      </c>
      <c r="BO76" s="1"/>
      <c r="BP76" s="1" t="str">
        <f>HYPERLINK("https://nconnect.nicmar.ac.in/storage/profile/ProfilePhoto_P25700006_264513.jpg","Download")</f>
        <v>0</v>
      </c>
      <c r="BQ76" s="3"/>
      <c r="BR76" s="3"/>
    </row>
    <row r="77" spans="1:70">
      <c r="A77" s="1" t="s">
        <v>70</v>
      </c>
      <c r="B77" s="1" t="s">
        <v>1269</v>
      </c>
      <c r="C77" s="1" t="s">
        <v>1780</v>
      </c>
      <c r="D77" s="1" t="s">
        <v>1781</v>
      </c>
      <c r="E77" s="1"/>
      <c r="F77" s="1" t="s">
        <v>835</v>
      </c>
      <c r="G77" s="1" t="s">
        <v>1782</v>
      </c>
      <c r="H77" s="1" t="s">
        <v>1783</v>
      </c>
      <c r="I77" s="1" t="s">
        <v>1784</v>
      </c>
      <c r="J77" s="1">
        <v>7054367148</v>
      </c>
      <c r="K77" s="1" t="s">
        <v>79</v>
      </c>
      <c r="L77" s="1" t="s">
        <v>1785</v>
      </c>
      <c r="M77" s="1" t="s">
        <v>81</v>
      </c>
      <c r="N77" s="1" t="s">
        <v>241</v>
      </c>
      <c r="O77" s="1"/>
      <c r="P77" s="1" t="s">
        <v>1298</v>
      </c>
      <c r="Q77" s="1" t="s">
        <v>1786</v>
      </c>
      <c r="R77" s="1" t="s">
        <v>1787</v>
      </c>
      <c r="S77" s="1">
        <v>9415286161</v>
      </c>
      <c r="T77" s="1" t="s">
        <v>842</v>
      </c>
      <c r="U77" s="1" t="s">
        <v>1788</v>
      </c>
      <c r="V77" s="1">
        <v>6393880769</v>
      </c>
      <c r="W77" s="1" t="s">
        <v>156</v>
      </c>
      <c r="X77" s="1" t="s">
        <v>1789</v>
      </c>
      <c r="Y77" s="1" t="s">
        <v>1790</v>
      </c>
      <c r="Z77" s="1" t="s">
        <v>1355</v>
      </c>
      <c r="AA77" s="1" t="s">
        <v>1789</v>
      </c>
      <c r="AB77" s="1" t="s">
        <v>1790</v>
      </c>
      <c r="AC77" s="1" t="s">
        <v>1355</v>
      </c>
      <c r="AD77" s="1">
        <v>8.36</v>
      </c>
      <c r="AE77" s="1" t="s">
        <v>93</v>
      </c>
      <c r="AF77" s="1" t="s">
        <v>1791</v>
      </c>
      <c r="AG77" s="1" t="s">
        <v>1792</v>
      </c>
      <c r="AH77" s="1" t="s">
        <v>131</v>
      </c>
      <c r="AI77" s="1" t="s">
        <v>527</v>
      </c>
      <c r="AJ77" s="1">
        <v>85.5</v>
      </c>
      <c r="AK77" s="1">
        <v>9</v>
      </c>
      <c r="AL77" s="1" t="s">
        <v>1791</v>
      </c>
      <c r="AM77" s="1" t="s">
        <v>1793</v>
      </c>
      <c r="AN77" s="1" t="s">
        <v>479</v>
      </c>
      <c r="AO77" s="1" t="s">
        <v>166</v>
      </c>
      <c r="AP77" s="1">
        <v>67.6</v>
      </c>
      <c r="AQ77" s="1"/>
      <c r="AR77" s="1"/>
      <c r="AS77" s="1"/>
      <c r="AT77" s="1"/>
      <c r="AU77" s="1"/>
      <c r="AV77" s="1"/>
      <c r="AW77" s="1"/>
      <c r="AX77" s="1" t="s">
        <v>1794</v>
      </c>
      <c r="AY77" s="1" t="s">
        <v>1795</v>
      </c>
      <c r="AZ77" s="1" t="s">
        <v>201</v>
      </c>
      <c r="BA77" s="1" t="s">
        <v>549</v>
      </c>
      <c r="BB77" s="1">
        <v>69.1</v>
      </c>
      <c r="BC77" s="1">
        <v>6.91</v>
      </c>
      <c r="BD77" s="1"/>
      <c r="BE77" s="1"/>
      <c r="BF77" s="1"/>
      <c r="BG77" s="1"/>
      <c r="BH77" s="1"/>
      <c r="BI77" s="1"/>
      <c r="BJ77" s="1" t="s">
        <v>1796</v>
      </c>
      <c r="BK77" s="1"/>
      <c r="BL77" s="1"/>
      <c r="BM77" s="1" t="s">
        <v>1797</v>
      </c>
      <c r="BN77" s="1">
        <v>9</v>
      </c>
      <c r="BO77" s="1" t="s">
        <v>1798</v>
      </c>
      <c r="BP77" s="1" t="str">
        <f>HYPERLINK("https://nconnect.nicmar.ac.in/storage/profile/ProfilePhoto_P25700007_897142.jpg","Download")</f>
        <v>0</v>
      </c>
      <c r="BQ77" s="3"/>
      <c r="BR77" s="3"/>
    </row>
    <row r="78" spans="1:70">
      <c r="A78" s="1" t="s">
        <v>70</v>
      </c>
      <c r="B78" s="1" t="s">
        <v>1269</v>
      </c>
      <c r="C78" s="1" t="s">
        <v>1799</v>
      </c>
      <c r="D78" s="1" t="s">
        <v>1800</v>
      </c>
      <c r="E78" s="1" t="s">
        <v>1801</v>
      </c>
      <c r="F78" s="1" t="s">
        <v>1802</v>
      </c>
      <c r="G78" s="1" t="s">
        <v>1803</v>
      </c>
      <c r="H78" s="1" t="s">
        <v>1804</v>
      </c>
      <c r="I78" s="1" t="s">
        <v>1805</v>
      </c>
      <c r="J78" s="1">
        <v>9404977653</v>
      </c>
      <c r="K78" s="1" t="s">
        <v>79</v>
      </c>
      <c r="L78" s="1" t="s">
        <v>1806</v>
      </c>
      <c r="M78" s="1" t="s">
        <v>81</v>
      </c>
      <c r="N78" s="1" t="s">
        <v>1807</v>
      </c>
      <c r="O78" s="1"/>
      <c r="P78" s="1" t="s">
        <v>1298</v>
      </c>
      <c r="Q78" s="1" t="s">
        <v>1808</v>
      </c>
      <c r="R78" s="1" t="s">
        <v>1801</v>
      </c>
      <c r="S78" s="1">
        <v>9850350800</v>
      </c>
      <c r="T78" s="1" t="s">
        <v>154</v>
      </c>
      <c r="U78" s="1" t="s">
        <v>1809</v>
      </c>
      <c r="V78" s="1">
        <v>9822236604</v>
      </c>
      <c r="W78" s="1" t="s">
        <v>156</v>
      </c>
      <c r="X78" s="1" t="s">
        <v>1810</v>
      </c>
      <c r="Y78" s="1" t="s">
        <v>191</v>
      </c>
      <c r="Z78" s="1" t="s">
        <v>92</v>
      </c>
      <c r="AA78" s="1" t="s">
        <v>1811</v>
      </c>
      <c r="AB78" s="1" t="s">
        <v>158</v>
      </c>
      <c r="AC78" s="1" t="s">
        <v>92</v>
      </c>
      <c r="AD78" s="1">
        <v>7.25</v>
      </c>
      <c r="AE78" s="1" t="s">
        <v>93</v>
      </c>
      <c r="AF78" s="1" t="s">
        <v>1812</v>
      </c>
      <c r="AG78" s="1" t="s">
        <v>160</v>
      </c>
      <c r="AH78" s="1" t="s">
        <v>162</v>
      </c>
      <c r="AI78" s="1" t="s">
        <v>195</v>
      </c>
      <c r="AJ78" s="1">
        <v>82</v>
      </c>
      <c r="AK78" s="1"/>
      <c r="AL78" s="1" t="s">
        <v>1813</v>
      </c>
      <c r="AM78" s="1" t="s">
        <v>160</v>
      </c>
      <c r="AN78" s="1" t="s">
        <v>101</v>
      </c>
      <c r="AO78" s="1" t="s">
        <v>198</v>
      </c>
      <c r="AP78" s="1">
        <v>60</v>
      </c>
      <c r="AQ78" s="1"/>
      <c r="AR78" s="1"/>
      <c r="AS78" s="1"/>
      <c r="AT78" s="1"/>
      <c r="AU78" s="1"/>
      <c r="AV78" s="1"/>
      <c r="AW78" s="1"/>
      <c r="AX78" s="1" t="s">
        <v>361</v>
      </c>
      <c r="AY78" s="1" t="s">
        <v>1814</v>
      </c>
      <c r="AZ78" s="1" t="s">
        <v>201</v>
      </c>
      <c r="BA78" s="1" t="s">
        <v>682</v>
      </c>
      <c r="BB78" s="1">
        <v>68.1</v>
      </c>
      <c r="BC78" s="1">
        <v>7.56</v>
      </c>
      <c r="BD78" s="1"/>
      <c r="BE78" s="1"/>
      <c r="BF78" s="1"/>
      <c r="BG78" s="1"/>
      <c r="BH78" s="1"/>
      <c r="BI78" s="1"/>
      <c r="BJ78" s="1" t="s">
        <v>364</v>
      </c>
      <c r="BK78" s="1" t="s">
        <v>1815</v>
      </c>
      <c r="BL78" s="1" t="s">
        <v>1561</v>
      </c>
      <c r="BM78" s="1" t="s">
        <v>1816</v>
      </c>
      <c r="BN78" s="1">
        <v>13</v>
      </c>
      <c r="BO78" s="1"/>
      <c r="BP78" s="1" t="str">
        <f>HYPERLINK("https://nconnect.nicmar.ac.in/storage/profile/ProfilePhoto_P25700008_976184.jpg","Download")</f>
        <v>0</v>
      </c>
      <c r="BQ78" s="3"/>
      <c r="BR78" s="3"/>
    </row>
    <row r="79" spans="1:70">
      <c r="A79" s="1" t="s">
        <v>70</v>
      </c>
      <c r="B79" s="1" t="s">
        <v>1269</v>
      </c>
      <c r="C79" s="1" t="s">
        <v>1817</v>
      </c>
      <c r="D79" s="1" t="s">
        <v>1818</v>
      </c>
      <c r="E79" s="1"/>
      <c r="F79" s="1" t="s">
        <v>1226</v>
      </c>
      <c r="G79" s="1" t="s">
        <v>1819</v>
      </c>
      <c r="H79" s="1" t="s">
        <v>1820</v>
      </c>
      <c r="I79" s="1" t="s">
        <v>1821</v>
      </c>
      <c r="J79" s="1">
        <v>9006389544</v>
      </c>
      <c r="K79" s="1" t="s">
        <v>79</v>
      </c>
      <c r="L79" s="1" t="s">
        <v>1822</v>
      </c>
      <c r="M79" s="1" t="s">
        <v>81</v>
      </c>
      <c r="N79" s="1" t="s">
        <v>1823</v>
      </c>
      <c r="O79" s="1"/>
      <c r="P79" s="1" t="s">
        <v>1278</v>
      </c>
      <c r="Q79" s="1" t="s">
        <v>1824</v>
      </c>
      <c r="R79" s="1" t="s">
        <v>1825</v>
      </c>
      <c r="S79" s="1">
        <v>7488584196</v>
      </c>
      <c r="T79" s="1" t="s">
        <v>87</v>
      </c>
      <c r="U79" s="1" t="s">
        <v>1826</v>
      </c>
      <c r="V79" s="1">
        <v>9006389544</v>
      </c>
      <c r="W79" s="1" t="s">
        <v>156</v>
      </c>
      <c r="X79" s="1" t="s">
        <v>1827</v>
      </c>
      <c r="Y79" s="1" t="s">
        <v>1828</v>
      </c>
      <c r="Z79" s="1" t="s">
        <v>1829</v>
      </c>
      <c r="AA79" s="1" t="s">
        <v>1827</v>
      </c>
      <c r="AB79" s="1" t="s">
        <v>1828</v>
      </c>
      <c r="AC79" s="1" t="s">
        <v>1829</v>
      </c>
      <c r="AD79" s="1">
        <v>8.44</v>
      </c>
      <c r="AE79" s="1" t="s">
        <v>93</v>
      </c>
      <c r="AF79" s="1" t="s">
        <v>1830</v>
      </c>
      <c r="AG79" s="1" t="s">
        <v>1831</v>
      </c>
      <c r="AH79" s="1" t="s">
        <v>1307</v>
      </c>
      <c r="AI79" s="1" t="s">
        <v>308</v>
      </c>
      <c r="AJ79" s="1">
        <v>75.2</v>
      </c>
      <c r="AK79" s="1">
        <v>7.5</v>
      </c>
      <c r="AL79" s="1" t="s">
        <v>1832</v>
      </c>
      <c r="AM79" s="1" t="s">
        <v>1833</v>
      </c>
      <c r="AN79" s="1" t="s">
        <v>1834</v>
      </c>
      <c r="AO79" s="1" t="s">
        <v>506</v>
      </c>
      <c r="AP79" s="1">
        <v>84</v>
      </c>
      <c r="AQ79" s="1">
        <v>8.4</v>
      </c>
      <c r="AR79" s="1"/>
      <c r="AS79" s="1"/>
      <c r="AT79" s="1"/>
      <c r="AU79" s="1"/>
      <c r="AV79" s="1"/>
      <c r="AW79" s="1"/>
      <c r="AX79" s="1" t="s">
        <v>1835</v>
      </c>
      <c r="AY79" s="1" t="s">
        <v>1836</v>
      </c>
      <c r="AZ79" s="1" t="s">
        <v>506</v>
      </c>
      <c r="BA79" s="1" t="s">
        <v>1714</v>
      </c>
      <c r="BB79" s="1">
        <v>77</v>
      </c>
      <c r="BC79" s="1">
        <v>7.77</v>
      </c>
      <c r="BD79" s="1"/>
      <c r="BE79" s="1"/>
      <c r="BF79" s="1"/>
      <c r="BG79" s="1"/>
      <c r="BH79" s="1"/>
      <c r="BI79" s="1"/>
      <c r="BJ79" s="1" t="s">
        <v>1837</v>
      </c>
      <c r="BK79" s="1"/>
      <c r="BL79" s="1"/>
      <c r="BM79" s="1" t="s">
        <v>1838</v>
      </c>
      <c r="BN79" s="1">
        <v>15</v>
      </c>
      <c r="BO79" s="1"/>
      <c r="BP79" s="1" t="str">
        <f>HYPERLINK("https://nconnect.nicmar.ac.in/storage/profile/ProfilePhoto_P25700009_213976.jpg","Download")</f>
        <v>0</v>
      </c>
      <c r="BQ79" s="3"/>
      <c r="BR79" s="3"/>
    </row>
    <row r="80" spans="1:70">
      <c r="A80" s="1" t="s">
        <v>70</v>
      </c>
      <c r="B80" s="1" t="s">
        <v>1269</v>
      </c>
      <c r="C80" s="1" t="s">
        <v>1839</v>
      </c>
      <c r="D80" s="1" t="s">
        <v>1840</v>
      </c>
      <c r="E80" s="1" t="s">
        <v>1841</v>
      </c>
      <c r="F80" s="1" t="s">
        <v>1842</v>
      </c>
      <c r="G80" s="1" t="s">
        <v>1843</v>
      </c>
      <c r="H80" s="1" t="s">
        <v>1844</v>
      </c>
      <c r="I80" s="1" t="s">
        <v>1845</v>
      </c>
      <c r="J80" s="1">
        <v>9527992237</v>
      </c>
      <c r="K80" s="1" t="s">
        <v>79</v>
      </c>
      <c r="L80" s="1" t="s">
        <v>1846</v>
      </c>
      <c r="M80" s="1" t="s">
        <v>81</v>
      </c>
      <c r="N80" s="1" t="s">
        <v>1847</v>
      </c>
      <c r="O80" s="1"/>
      <c r="P80" s="1" t="s">
        <v>1323</v>
      </c>
      <c r="Q80" s="1" t="s">
        <v>1848</v>
      </c>
      <c r="R80" s="1" t="s">
        <v>1849</v>
      </c>
      <c r="S80" s="1">
        <v>9850829798</v>
      </c>
      <c r="T80" s="1" t="s">
        <v>763</v>
      </c>
      <c r="U80" s="1" t="s">
        <v>1850</v>
      </c>
      <c r="V80" s="1">
        <v>9850081714</v>
      </c>
      <c r="W80" s="1" t="s">
        <v>156</v>
      </c>
      <c r="X80" s="1" t="s">
        <v>1851</v>
      </c>
      <c r="Y80" s="1" t="s">
        <v>405</v>
      </c>
      <c r="Z80" s="1" t="s">
        <v>92</v>
      </c>
      <c r="AA80" s="1" t="s">
        <v>1851</v>
      </c>
      <c r="AB80" s="1" t="s">
        <v>405</v>
      </c>
      <c r="AC80" s="1" t="s">
        <v>92</v>
      </c>
      <c r="AD80" s="1">
        <v>8.3</v>
      </c>
      <c r="AE80" s="1" t="s">
        <v>93</v>
      </c>
      <c r="AF80" s="1" t="s">
        <v>1852</v>
      </c>
      <c r="AG80" s="1" t="s">
        <v>544</v>
      </c>
      <c r="AH80" s="1" t="s">
        <v>165</v>
      </c>
      <c r="AI80" s="1" t="s">
        <v>101</v>
      </c>
      <c r="AJ80" s="1">
        <v>80.6</v>
      </c>
      <c r="AK80" s="1"/>
      <c r="AL80" s="1" t="s">
        <v>1852</v>
      </c>
      <c r="AM80" s="1" t="s">
        <v>544</v>
      </c>
      <c r="AN80" s="1" t="s">
        <v>433</v>
      </c>
      <c r="AO80" s="1" t="s">
        <v>699</v>
      </c>
      <c r="AP80" s="1">
        <v>69.38</v>
      </c>
      <c r="AQ80" s="1"/>
      <c r="AR80" s="1"/>
      <c r="AS80" s="1"/>
      <c r="AT80" s="1"/>
      <c r="AU80" s="1"/>
      <c r="AV80" s="1"/>
      <c r="AW80" s="1"/>
      <c r="AX80" s="1" t="s">
        <v>1853</v>
      </c>
      <c r="AY80" s="1" t="s">
        <v>1854</v>
      </c>
      <c r="AZ80" s="1" t="s">
        <v>363</v>
      </c>
      <c r="BA80" s="1" t="s">
        <v>413</v>
      </c>
      <c r="BB80" s="1">
        <v>64.3</v>
      </c>
      <c r="BC80" s="1">
        <v>7.18</v>
      </c>
      <c r="BD80" s="1"/>
      <c r="BE80" s="1"/>
      <c r="BF80" s="1"/>
      <c r="BG80" s="1"/>
      <c r="BH80" s="1"/>
      <c r="BI80" s="1"/>
      <c r="BJ80" s="1" t="s">
        <v>364</v>
      </c>
      <c r="BK80" s="1"/>
      <c r="BL80" s="1"/>
      <c r="BM80" s="1" t="s">
        <v>1855</v>
      </c>
      <c r="BN80" s="1">
        <v>26</v>
      </c>
      <c r="BO80" s="1"/>
      <c r="BP80" s="1" t="str">
        <f>HYPERLINK("https://nconnect.nicmar.ac.in/storage/profile/ProfilePhoto_P25700010_176259.jpg","Download")</f>
        <v>0</v>
      </c>
      <c r="BQ80" s="3"/>
      <c r="BR80" s="3"/>
    </row>
    <row r="81" spans="1:70">
      <c r="A81" s="1" t="s">
        <v>70</v>
      </c>
      <c r="B81" s="1" t="s">
        <v>1269</v>
      </c>
      <c r="C81" s="1" t="s">
        <v>1856</v>
      </c>
      <c r="D81" s="1" t="s">
        <v>1857</v>
      </c>
      <c r="E81" s="1"/>
      <c r="F81" s="1" t="s">
        <v>1858</v>
      </c>
      <c r="G81" s="1" t="s">
        <v>1859</v>
      </c>
      <c r="H81" s="1" t="s">
        <v>1860</v>
      </c>
      <c r="I81" s="1" t="s">
        <v>1861</v>
      </c>
      <c r="J81" s="1">
        <v>9588491747</v>
      </c>
      <c r="K81" s="1" t="s">
        <v>148</v>
      </c>
      <c r="L81" s="1" t="s">
        <v>1862</v>
      </c>
      <c r="M81" s="1" t="s">
        <v>81</v>
      </c>
      <c r="N81" s="1" t="s">
        <v>1863</v>
      </c>
      <c r="O81" s="1"/>
      <c r="P81" s="1" t="s">
        <v>1278</v>
      </c>
      <c r="Q81" s="1" t="s">
        <v>1864</v>
      </c>
      <c r="R81" s="1" t="s">
        <v>1865</v>
      </c>
      <c r="S81" s="1">
        <v>9823283222</v>
      </c>
      <c r="T81" s="1" t="s">
        <v>763</v>
      </c>
      <c r="U81" s="1" t="s">
        <v>1866</v>
      </c>
      <c r="V81" s="1">
        <v>7447771437</v>
      </c>
      <c r="W81" s="1" t="s">
        <v>89</v>
      </c>
      <c r="X81" s="1" t="s">
        <v>1867</v>
      </c>
      <c r="Y81" s="1" t="s">
        <v>766</v>
      </c>
      <c r="Z81" s="1" t="s">
        <v>92</v>
      </c>
      <c r="AA81" s="1" t="s">
        <v>1867</v>
      </c>
      <c r="AB81" s="1" t="s">
        <v>766</v>
      </c>
      <c r="AC81" s="1" t="s">
        <v>92</v>
      </c>
      <c r="AD81" s="1">
        <v>9.21</v>
      </c>
      <c r="AE81" s="1" t="s">
        <v>93</v>
      </c>
      <c r="AF81" s="1" t="s">
        <v>1868</v>
      </c>
      <c r="AG81" s="1" t="s">
        <v>160</v>
      </c>
      <c r="AH81" s="1" t="s">
        <v>165</v>
      </c>
      <c r="AI81" s="1" t="s">
        <v>281</v>
      </c>
      <c r="AJ81" s="1">
        <v>96.2</v>
      </c>
      <c r="AK81" s="1"/>
      <c r="AL81" s="1" t="s">
        <v>1869</v>
      </c>
      <c r="AM81" s="1" t="s">
        <v>160</v>
      </c>
      <c r="AN81" s="1" t="s">
        <v>433</v>
      </c>
      <c r="AO81" s="1" t="s">
        <v>360</v>
      </c>
      <c r="AP81" s="1">
        <v>80.62</v>
      </c>
      <c r="AQ81" s="1"/>
      <c r="AR81" s="1"/>
      <c r="AS81" s="1"/>
      <c r="AT81" s="1"/>
      <c r="AU81" s="1"/>
      <c r="AV81" s="1"/>
      <c r="AW81" s="1"/>
      <c r="AX81" s="1" t="s">
        <v>253</v>
      </c>
      <c r="AY81" s="1" t="s">
        <v>1870</v>
      </c>
      <c r="AZ81" s="1" t="s">
        <v>173</v>
      </c>
      <c r="BA81" s="1" t="s">
        <v>1408</v>
      </c>
      <c r="BB81" s="1">
        <v>75.93</v>
      </c>
      <c r="BC81" s="1">
        <v>8.64</v>
      </c>
      <c r="BD81" s="1"/>
      <c r="BE81" s="1"/>
      <c r="BF81" s="1"/>
      <c r="BG81" s="1"/>
      <c r="BH81" s="1"/>
      <c r="BI81" s="1"/>
      <c r="BJ81" s="1" t="s">
        <v>1871</v>
      </c>
      <c r="BK81" s="1"/>
      <c r="BL81" s="1"/>
      <c r="BM81" s="1" t="s">
        <v>1872</v>
      </c>
      <c r="BN81" s="1">
        <v>30</v>
      </c>
      <c r="BO81" s="1" t="s">
        <v>1873</v>
      </c>
      <c r="BP81" s="1" t="str">
        <f>HYPERLINK("https://nconnect.nicmar.ac.in/storage/profile/ProfilePhoto_P25700011_739251.jpg","Download")</f>
        <v>0</v>
      </c>
      <c r="BQ81" s="3"/>
      <c r="BR81" s="3"/>
    </row>
    <row r="82" spans="1:70">
      <c r="A82" s="1" t="s">
        <v>70</v>
      </c>
      <c r="B82" s="1" t="s">
        <v>1269</v>
      </c>
      <c r="C82" s="1" t="s">
        <v>1874</v>
      </c>
      <c r="D82" s="1" t="s">
        <v>1875</v>
      </c>
      <c r="E82" s="1" t="s">
        <v>1876</v>
      </c>
      <c r="F82" s="1" t="s">
        <v>1877</v>
      </c>
      <c r="G82" s="1" t="s">
        <v>1878</v>
      </c>
      <c r="H82" s="1" t="s">
        <v>1879</v>
      </c>
      <c r="I82" s="1" t="s">
        <v>1880</v>
      </c>
      <c r="J82" s="1">
        <v>8010918142</v>
      </c>
      <c r="K82" s="1" t="s">
        <v>79</v>
      </c>
      <c r="L82" s="1" t="s">
        <v>1881</v>
      </c>
      <c r="M82" s="1" t="s">
        <v>81</v>
      </c>
      <c r="N82" s="1" t="s">
        <v>1882</v>
      </c>
      <c r="O82" s="1"/>
      <c r="P82" s="1" t="s">
        <v>1766</v>
      </c>
      <c r="Q82" s="1" t="s">
        <v>1883</v>
      </c>
      <c r="R82" s="1" t="s">
        <v>1884</v>
      </c>
      <c r="S82" s="1">
        <v>9823149756</v>
      </c>
      <c r="T82" s="1" t="s">
        <v>496</v>
      </c>
      <c r="U82" s="1" t="s">
        <v>1885</v>
      </c>
      <c r="V82" s="1">
        <v>9028418958</v>
      </c>
      <c r="W82" s="1" t="s">
        <v>156</v>
      </c>
      <c r="X82" s="1" t="s">
        <v>1886</v>
      </c>
      <c r="Y82" s="1" t="s">
        <v>1887</v>
      </c>
      <c r="Z82" s="1" t="s">
        <v>92</v>
      </c>
      <c r="AA82" s="1" t="s">
        <v>1886</v>
      </c>
      <c r="AB82" s="1" t="s">
        <v>1887</v>
      </c>
      <c r="AC82" s="1" t="s">
        <v>92</v>
      </c>
      <c r="AD82" s="1">
        <v>8.62</v>
      </c>
      <c r="AE82" s="1" t="s">
        <v>93</v>
      </c>
      <c r="AF82" s="1" t="s">
        <v>1888</v>
      </c>
      <c r="AG82" s="1" t="s">
        <v>1889</v>
      </c>
      <c r="AH82" s="1" t="s">
        <v>165</v>
      </c>
      <c r="AI82" s="1" t="s">
        <v>281</v>
      </c>
      <c r="AJ82" s="1">
        <v>93.8</v>
      </c>
      <c r="AK82" s="1"/>
      <c r="AL82" s="1" t="s">
        <v>1890</v>
      </c>
      <c r="AM82" s="1" t="s">
        <v>1891</v>
      </c>
      <c r="AN82" s="1" t="s">
        <v>1065</v>
      </c>
      <c r="AO82" s="1" t="s">
        <v>360</v>
      </c>
      <c r="AP82" s="1">
        <v>70.31</v>
      </c>
      <c r="AQ82" s="1"/>
      <c r="AR82" s="1"/>
      <c r="AS82" s="1"/>
      <c r="AT82" s="1"/>
      <c r="AU82" s="1"/>
      <c r="AV82" s="1"/>
      <c r="AW82" s="1"/>
      <c r="AX82" s="1" t="s">
        <v>1892</v>
      </c>
      <c r="AY82" s="1" t="s">
        <v>1893</v>
      </c>
      <c r="AZ82" s="1" t="s">
        <v>681</v>
      </c>
      <c r="BA82" s="1" t="s">
        <v>413</v>
      </c>
      <c r="BB82" s="1">
        <v>65.6</v>
      </c>
      <c r="BC82" s="1">
        <v>7.31</v>
      </c>
      <c r="BD82" s="1"/>
      <c r="BE82" s="1"/>
      <c r="BF82" s="1"/>
      <c r="BG82" s="1"/>
      <c r="BH82" s="1"/>
      <c r="BI82" s="1"/>
      <c r="BJ82" s="1" t="s">
        <v>1894</v>
      </c>
      <c r="BK82" s="1" t="s">
        <v>1895</v>
      </c>
      <c r="BL82" s="1" t="s">
        <v>1896</v>
      </c>
      <c r="BM82" s="1" t="s">
        <v>1897</v>
      </c>
      <c r="BN82" s="1">
        <v>14</v>
      </c>
      <c r="BO82" s="1"/>
      <c r="BP82" s="1" t="str">
        <f>HYPERLINK("https://nconnect.nicmar.ac.in/storage/profile/ProfilePhoto_P25700012_849315.jpg","Download")</f>
        <v>0</v>
      </c>
      <c r="BQ82" s="3"/>
      <c r="BR82" s="3"/>
    </row>
    <row r="83" spans="1:70">
      <c r="A83" s="1" t="s">
        <v>70</v>
      </c>
      <c r="B83" s="1" t="s">
        <v>1269</v>
      </c>
      <c r="C83" s="1" t="s">
        <v>1898</v>
      </c>
      <c r="D83" s="1" t="s">
        <v>1899</v>
      </c>
      <c r="E83" s="1"/>
      <c r="F83" s="1" t="s">
        <v>1900</v>
      </c>
      <c r="G83" s="1" t="s">
        <v>1901</v>
      </c>
      <c r="H83" s="1" t="s">
        <v>1902</v>
      </c>
      <c r="I83" s="1" t="s">
        <v>1903</v>
      </c>
      <c r="J83" s="1">
        <v>7275960888</v>
      </c>
      <c r="K83" s="1" t="s">
        <v>79</v>
      </c>
      <c r="L83" s="1" t="s">
        <v>1904</v>
      </c>
      <c r="M83" s="1" t="s">
        <v>81</v>
      </c>
      <c r="N83" s="1" t="s">
        <v>1905</v>
      </c>
      <c r="O83" s="1"/>
      <c r="P83" s="1" t="s">
        <v>1766</v>
      </c>
      <c r="Q83" s="1" t="s">
        <v>1906</v>
      </c>
      <c r="R83" s="1" t="s">
        <v>1907</v>
      </c>
      <c r="S83" s="1">
        <v>9936918443</v>
      </c>
      <c r="T83" s="1" t="s">
        <v>271</v>
      </c>
      <c r="U83" s="1" t="s">
        <v>1908</v>
      </c>
      <c r="V83" s="1">
        <v>9936918443</v>
      </c>
      <c r="W83" s="1" t="s">
        <v>1909</v>
      </c>
      <c r="X83" s="1" t="s">
        <v>1910</v>
      </c>
      <c r="Y83" s="1" t="s">
        <v>191</v>
      </c>
      <c r="Z83" s="1" t="s">
        <v>92</v>
      </c>
      <c r="AA83" s="1" t="s">
        <v>1911</v>
      </c>
      <c r="AB83" s="1" t="s">
        <v>1912</v>
      </c>
      <c r="AC83" s="1" t="s">
        <v>1355</v>
      </c>
      <c r="AD83" s="1">
        <v>8.13</v>
      </c>
      <c r="AE83" s="1" t="s">
        <v>93</v>
      </c>
      <c r="AF83" s="1" t="s">
        <v>723</v>
      </c>
      <c r="AG83" s="1" t="s">
        <v>1913</v>
      </c>
      <c r="AH83" s="1" t="s">
        <v>162</v>
      </c>
      <c r="AI83" s="1" t="s">
        <v>165</v>
      </c>
      <c r="AJ83" s="1">
        <v>79.8</v>
      </c>
      <c r="AK83" s="1">
        <v>8.4</v>
      </c>
      <c r="AL83" s="1"/>
      <c r="AM83" s="1"/>
      <c r="AN83" s="1"/>
      <c r="AO83" s="1"/>
      <c r="AP83" s="1"/>
      <c r="AQ83" s="1"/>
      <c r="AR83" s="1" t="s">
        <v>1914</v>
      </c>
      <c r="AS83" s="1" t="s">
        <v>1915</v>
      </c>
      <c r="AT83" s="1" t="s">
        <v>636</v>
      </c>
      <c r="AU83" s="1" t="s">
        <v>1051</v>
      </c>
      <c r="AV83" s="1">
        <v>73.18</v>
      </c>
      <c r="AW83" s="1"/>
      <c r="AX83" s="1" t="s">
        <v>1916</v>
      </c>
      <c r="AY83" s="1" t="s">
        <v>1917</v>
      </c>
      <c r="AZ83" s="1" t="s">
        <v>506</v>
      </c>
      <c r="BA83" s="1" t="s">
        <v>202</v>
      </c>
      <c r="BB83" s="1">
        <v>83.98</v>
      </c>
      <c r="BC83" s="1"/>
      <c r="BD83" s="1"/>
      <c r="BE83" s="1"/>
      <c r="BF83" s="1"/>
      <c r="BG83" s="1"/>
      <c r="BH83" s="1"/>
      <c r="BI83" s="1"/>
      <c r="BJ83" s="1" t="s">
        <v>1918</v>
      </c>
      <c r="BK83" s="1" t="s">
        <v>1919</v>
      </c>
      <c r="BL83" s="1" t="s">
        <v>1920</v>
      </c>
      <c r="BM83" s="1" t="s">
        <v>1921</v>
      </c>
      <c r="BN83" s="1">
        <v>21</v>
      </c>
      <c r="BO83" s="1"/>
      <c r="BP83" s="1" t="str">
        <f>HYPERLINK("https://nconnect.nicmar.ac.in/storage/profile/ProfilePhoto_P25700013_135872.jpg","Download")</f>
        <v>0</v>
      </c>
      <c r="BQ83" s="3"/>
      <c r="BR83" s="3"/>
    </row>
    <row r="84" spans="1:70">
      <c r="A84" s="1" t="s">
        <v>70</v>
      </c>
      <c r="B84" s="1" t="s">
        <v>1269</v>
      </c>
      <c r="C84" s="1" t="s">
        <v>1922</v>
      </c>
      <c r="D84" s="1" t="s">
        <v>1923</v>
      </c>
      <c r="E84" s="1" t="s">
        <v>1924</v>
      </c>
      <c r="F84" s="1" t="s">
        <v>1925</v>
      </c>
      <c r="G84" s="1" t="s">
        <v>1926</v>
      </c>
      <c r="H84" s="1" t="s">
        <v>1927</v>
      </c>
      <c r="I84" s="1" t="s">
        <v>1928</v>
      </c>
      <c r="J84" s="1">
        <v>8793859482</v>
      </c>
      <c r="K84" s="1" t="s">
        <v>79</v>
      </c>
      <c r="L84" s="1" t="s">
        <v>1929</v>
      </c>
      <c r="M84" s="1" t="s">
        <v>81</v>
      </c>
      <c r="N84" s="1" t="s">
        <v>1930</v>
      </c>
      <c r="O84" s="1"/>
      <c r="P84" s="1" t="s">
        <v>1323</v>
      </c>
      <c r="Q84" s="1" t="s">
        <v>1931</v>
      </c>
      <c r="R84" s="1" t="s">
        <v>1932</v>
      </c>
      <c r="S84" s="1">
        <v>8983188171</v>
      </c>
      <c r="T84" s="1" t="s">
        <v>763</v>
      </c>
      <c r="U84" s="1" t="s">
        <v>1933</v>
      </c>
      <c r="V84" s="1">
        <v>9850425366</v>
      </c>
      <c r="W84" s="1" t="s">
        <v>156</v>
      </c>
      <c r="X84" s="1" t="s">
        <v>1934</v>
      </c>
      <c r="Y84" s="1" t="s">
        <v>405</v>
      </c>
      <c r="Z84" s="1" t="s">
        <v>92</v>
      </c>
      <c r="AA84" s="1" t="s">
        <v>1934</v>
      </c>
      <c r="AB84" s="1" t="s">
        <v>405</v>
      </c>
      <c r="AC84" s="1" t="s">
        <v>92</v>
      </c>
      <c r="AD84" s="1">
        <v>8.02</v>
      </c>
      <c r="AE84" s="1" t="s">
        <v>93</v>
      </c>
      <c r="AF84" s="1" t="s">
        <v>1935</v>
      </c>
      <c r="AG84" s="1" t="s">
        <v>1936</v>
      </c>
      <c r="AH84" s="1" t="s">
        <v>195</v>
      </c>
      <c r="AI84" s="1" t="s">
        <v>281</v>
      </c>
      <c r="AJ84" s="1">
        <v>78.2</v>
      </c>
      <c r="AK84" s="1"/>
      <c r="AL84" s="1" t="s">
        <v>1937</v>
      </c>
      <c r="AM84" s="1" t="s">
        <v>1936</v>
      </c>
      <c r="AN84" s="1" t="s">
        <v>198</v>
      </c>
      <c r="AO84" s="1" t="s">
        <v>360</v>
      </c>
      <c r="AP84" s="1">
        <v>69.54</v>
      </c>
      <c r="AQ84" s="1"/>
      <c r="AR84" s="1"/>
      <c r="AS84" s="1"/>
      <c r="AT84" s="1"/>
      <c r="AU84" s="1"/>
      <c r="AV84" s="1"/>
      <c r="AW84" s="1"/>
      <c r="AX84" s="1" t="s">
        <v>410</v>
      </c>
      <c r="AY84" s="1" t="s">
        <v>1938</v>
      </c>
      <c r="AZ84" s="1" t="s">
        <v>173</v>
      </c>
      <c r="BA84" s="1" t="s">
        <v>1939</v>
      </c>
      <c r="BB84" s="1">
        <v>65.3</v>
      </c>
      <c r="BC84" s="1">
        <v>7.28</v>
      </c>
      <c r="BD84" s="1"/>
      <c r="BE84" s="1"/>
      <c r="BF84" s="1"/>
      <c r="BG84" s="1"/>
      <c r="BH84" s="1"/>
      <c r="BI84" s="1"/>
      <c r="BJ84" s="1" t="s">
        <v>1940</v>
      </c>
      <c r="BK84" s="1" t="s">
        <v>1941</v>
      </c>
      <c r="BL84" s="1" t="s">
        <v>1475</v>
      </c>
      <c r="BM84" s="1" t="s">
        <v>1942</v>
      </c>
      <c r="BN84" s="1">
        <v>41</v>
      </c>
      <c r="BO84" s="1" t="s">
        <v>1943</v>
      </c>
      <c r="BP84" s="1" t="str">
        <f>HYPERLINK("https://nconnect.nicmar.ac.in/storage/profile/ProfilePhoto_P25700014_935186.jpg","Download")</f>
        <v>0</v>
      </c>
      <c r="BQ84" s="3"/>
      <c r="BR84" s="3"/>
    </row>
    <row r="85" spans="1:70">
      <c r="A85" s="1" t="s">
        <v>70</v>
      </c>
      <c r="B85" s="1" t="s">
        <v>1269</v>
      </c>
      <c r="C85" s="1" t="s">
        <v>1944</v>
      </c>
      <c r="D85" s="1" t="s">
        <v>1945</v>
      </c>
      <c r="E85" s="1"/>
      <c r="F85" s="1" t="s">
        <v>1946</v>
      </c>
      <c r="G85" s="1" t="s">
        <v>1947</v>
      </c>
      <c r="H85" s="1" t="s">
        <v>1948</v>
      </c>
      <c r="I85" s="1" t="s">
        <v>1949</v>
      </c>
      <c r="J85" s="1">
        <v>8860236608</v>
      </c>
      <c r="K85" s="1" t="s">
        <v>79</v>
      </c>
      <c r="L85" s="1" t="s">
        <v>1950</v>
      </c>
      <c r="M85" s="1" t="s">
        <v>81</v>
      </c>
      <c r="N85" s="1" t="s">
        <v>1951</v>
      </c>
      <c r="O85" s="1"/>
      <c r="P85" s="1" t="s">
        <v>1323</v>
      </c>
      <c r="Q85" s="1" t="s">
        <v>1952</v>
      </c>
      <c r="R85" s="1" t="s">
        <v>1953</v>
      </c>
      <c r="S85" s="1">
        <v>9717787805</v>
      </c>
      <c r="T85" s="1" t="s">
        <v>1954</v>
      </c>
      <c r="U85" s="1" t="s">
        <v>1955</v>
      </c>
      <c r="V85" s="1">
        <v>9971748647</v>
      </c>
      <c r="W85" s="1" t="s">
        <v>156</v>
      </c>
      <c r="X85" s="1" t="s">
        <v>1956</v>
      </c>
      <c r="Y85" s="1" t="s">
        <v>1957</v>
      </c>
      <c r="Z85" s="1" t="s">
        <v>1355</v>
      </c>
      <c r="AA85" s="1" t="s">
        <v>1956</v>
      </c>
      <c r="AB85" s="1" t="s">
        <v>1957</v>
      </c>
      <c r="AC85" s="1" t="s">
        <v>1355</v>
      </c>
      <c r="AD85" s="1">
        <v>7.39</v>
      </c>
      <c r="AE85" s="1" t="s">
        <v>93</v>
      </c>
      <c r="AF85" s="1" t="s">
        <v>1958</v>
      </c>
      <c r="AG85" s="1" t="s">
        <v>1959</v>
      </c>
      <c r="AH85" s="1" t="s">
        <v>503</v>
      </c>
      <c r="AI85" s="1" t="s">
        <v>456</v>
      </c>
      <c r="AJ85" s="1">
        <v>77.9</v>
      </c>
      <c r="AK85" s="1">
        <v>8.2</v>
      </c>
      <c r="AL85" s="1" t="s">
        <v>1958</v>
      </c>
      <c r="AM85" s="1" t="s">
        <v>1959</v>
      </c>
      <c r="AN85" s="1" t="s">
        <v>678</v>
      </c>
      <c r="AO85" s="1" t="s">
        <v>281</v>
      </c>
      <c r="AP85" s="1">
        <v>75.8</v>
      </c>
      <c r="AQ85" s="1"/>
      <c r="AR85" s="1"/>
      <c r="AS85" s="1"/>
      <c r="AT85" s="1"/>
      <c r="AU85" s="1"/>
      <c r="AV85" s="1"/>
      <c r="AW85" s="1"/>
      <c r="AX85" s="1" t="s">
        <v>1960</v>
      </c>
      <c r="AY85" s="1" t="s">
        <v>1961</v>
      </c>
      <c r="AZ85" s="1" t="s">
        <v>169</v>
      </c>
      <c r="BA85" s="1" t="s">
        <v>284</v>
      </c>
      <c r="BB85" s="1">
        <v>67.2</v>
      </c>
      <c r="BC85" s="1">
        <v>6.72</v>
      </c>
      <c r="BD85" s="1"/>
      <c r="BE85" s="1"/>
      <c r="BF85" s="1"/>
      <c r="BG85" s="1"/>
      <c r="BH85" s="1"/>
      <c r="BI85" s="1"/>
      <c r="BJ85" s="1" t="s">
        <v>1383</v>
      </c>
      <c r="BK85" s="1" t="s">
        <v>1962</v>
      </c>
      <c r="BL85" s="1" t="s">
        <v>1289</v>
      </c>
      <c r="BM85" s="1" t="s">
        <v>1963</v>
      </c>
      <c r="BN85" s="1">
        <v>34</v>
      </c>
      <c r="BO85" s="1"/>
      <c r="BP85" s="1" t="str">
        <f>HYPERLINK("https://nconnect.nicmar.ac.in/storage/profile/ProfilePhoto_P25700015_562978.jpg","Download")</f>
        <v>0</v>
      </c>
      <c r="BQ85" s="3"/>
      <c r="BR85" s="3"/>
    </row>
    <row r="86" spans="1:70">
      <c r="A86" s="1" t="s">
        <v>70</v>
      </c>
      <c r="B86" s="1" t="s">
        <v>1269</v>
      </c>
      <c r="C86" s="1" t="s">
        <v>1964</v>
      </c>
      <c r="D86" s="1" t="s">
        <v>1965</v>
      </c>
      <c r="E86" s="1" t="s">
        <v>1966</v>
      </c>
      <c r="F86" s="1" t="s">
        <v>1967</v>
      </c>
      <c r="G86" s="1" t="s">
        <v>1968</v>
      </c>
      <c r="H86" s="1" t="s">
        <v>1969</v>
      </c>
      <c r="I86" s="1" t="s">
        <v>1970</v>
      </c>
      <c r="J86" s="1">
        <v>9156686578</v>
      </c>
      <c r="K86" s="1" t="s">
        <v>79</v>
      </c>
      <c r="L86" s="1" t="s">
        <v>1971</v>
      </c>
      <c r="M86" s="1" t="s">
        <v>81</v>
      </c>
      <c r="N86" s="1" t="s">
        <v>860</v>
      </c>
      <c r="O86" s="1"/>
      <c r="P86" s="1" t="s">
        <v>1278</v>
      </c>
      <c r="Q86" s="1" t="s">
        <v>1972</v>
      </c>
      <c r="R86" s="1" t="s">
        <v>1966</v>
      </c>
      <c r="S86" s="1">
        <v>9922381754</v>
      </c>
      <c r="T86" s="1" t="s">
        <v>496</v>
      </c>
      <c r="U86" s="1" t="s">
        <v>693</v>
      </c>
      <c r="V86" s="1">
        <v>9284156494</v>
      </c>
      <c r="W86" s="1" t="s">
        <v>273</v>
      </c>
      <c r="X86" s="1" t="s">
        <v>1973</v>
      </c>
      <c r="Y86" s="1" t="s">
        <v>158</v>
      </c>
      <c r="Z86" s="1" t="s">
        <v>92</v>
      </c>
      <c r="AA86" s="1" t="s">
        <v>1973</v>
      </c>
      <c r="AB86" s="1" t="s">
        <v>158</v>
      </c>
      <c r="AC86" s="1" t="s">
        <v>92</v>
      </c>
      <c r="AD86" s="1">
        <v>6.48</v>
      </c>
      <c r="AE86" s="1" t="s">
        <v>93</v>
      </c>
      <c r="AF86" s="1" t="s">
        <v>1974</v>
      </c>
      <c r="AG86" s="1" t="s">
        <v>1975</v>
      </c>
      <c r="AH86" s="1" t="s">
        <v>165</v>
      </c>
      <c r="AI86" s="1" t="s">
        <v>281</v>
      </c>
      <c r="AJ86" s="1">
        <v>62.2</v>
      </c>
      <c r="AK86" s="1"/>
      <c r="AL86" s="1" t="s">
        <v>1976</v>
      </c>
      <c r="AM86" s="1" t="s">
        <v>1975</v>
      </c>
      <c r="AN86" s="1" t="s">
        <v>433</v>
      </c>
      <c r="AO86" s="1" t="s">
        <v>360</v>
      </c>
      <c r="AP86" s="1">
        <v>65.23</v>
      </c>
      <c r="AQ86" s="1"/>
      <c r="AR86" s="1"/>
      <c r="AS86" s="1"/>
      <c r="AT86" s="1"/>
      <c r="AU86" s="1"/>
      <c r="AV86" s="1"/>
      <c r="AW86" s="1"/>
      <c r="AX86" s="1" t="s">
        <v>361</v>
      </c>
      <c r="AY86" s="1" t="s">
        <v>1977</v>
      </c>
      <c r="AZ86" s="1" t="s">
        <v>1712</v>
      </c>
      <c r="BA86" s="1" t="s">
        <v>1978</v>
      </c>
      <c r="BB86" s="1">
        <v>63.02</v>
      </c>
      <c r="BC86" s="1">
        <v>7.08</v>
      </c>
      <c r="BD86" s="1"/>
      <c r="BE86" s="1"/>
      <c r="BF86" s="1"/>
      <c r="BG86" s="1"/>
      <c r="BH86" s="1"/>
      <c r="BI86" s="1"/>
      <c r="BJ86" s="1" t="s">
        <v>255</v>
      </c>
      <c r="BK86" s="1"/>
      <c r="BL86" s="1"/>
      <c r="BM86" s="1" t="s">
        <v>1979</v>
      </c>
      <c r="BN86" s="1">
        <v>25</v>
      </c>
      <c r="BO86" s="1"/>
      <c r="BP86" s="1" t="str">
        <f>HYPERLINK("https://nconnect.nicmar.ac.in/storage/profile/ProfilePhoto_P25700016_175486.jpg","Download")</f>
        <v>0</v>
      </c>
      <c r="BQ86" s="3"/>
      <c r="BR86" s="3"/>
    </row>
    <row r="87" spans="1:70">
      <c r="A87" s="1" t="s">
        <v>70</v>
      </c>
      <c r="B87" s="1" t="s">
        <v>1269</v>
      </c>
      <c r="C87" s="1" t="s">
        <v>1980</v>
      </c>
      <c r="D87" s="1" t="s">
        <v>1981</v>
      </c>
      <c r="E87" s="1" t="s">
        <v>1982</v>
      </c>
      <c r="F87" s="1" t="s">
        <v>142</v>
      </c>
      <c r="G87" s="1" t="s">
        <v>1983</v>
      </c>
      <c r="H87" s="1" t="s">
        <v>1984</v>
      </c>
      <c r="I87" s="1" t="s">
        <v>1985</v>
      </c>
      <c r="J87" s="1">
        <v>7666173714</v>
      </c>
      <c r="K87" s="1" t="s">
        <v>79</v>
      </c>
      <c r="L87" s="1" t="s">
        <v>1986</v>
      </c>
      <c r="M87" s="1" t="s">
        <v>81</v>
      </c>
      <c r="N87" s="1" t="s">
        <v>860</v>
      </c>
      <c r="O87" s="1" t="s">
        <v>152</v>
      </c>
      <c r="P87" s="1" t="s">
        <v>351</v>
      </c>
      <c r="Q87" s="1" t="s">
        <v>1987</v>
      </c>
      <c r="R87" s="1" t="s">
        <v>1988</v>
      </c>
      <c r="S87" s="1">
        <v>9890697361</v>
      </c>
      <c r="T87" s="1" t="s">
        <v>122</v>
      </c>
      <c r="U87" s="1" t="s">
        <v>1989</v>
      </c>
      <c r="V87" s="1">
        <v>9561877051</v>
      </c>
      <c r="W87" s="1" t="s">
        <v>156</v>
      </c>
      <c r="X87" s="1" t="s">
        <v>1990</v>
      </c>
      <c r="Y87" s="1" t="s">
        <v>1991</v>
      </c>
      <c r="Z87" s="1" t="s">
        <v>92</v>
      </c>
      <c r="AA87" s="1" t="s">
        <v>1992</v>
      </c>
      <c r="AB87" s="1" t="s">
        <v>191</v>
      </c>
      <c r="AC87" s="1" t="s">
        <v>92</v>
      </c>
      <c r="AD87" s="1">
        <v>9.08</v>
      </c>
      <c r="AE87" s="1" t="s">
        <v>93</v>
      </c>
      <c r="AF87" s="1" t="s">
        <v>1993</v>
      </c>
      <c r="AG87" s="1" t="s">
        <v>160</v>
      </c>
      <c r="AH87" s="1" t="s">
        <v>162</v>
      </c>
      <c r="AI87" s="1" t="s">
        <v>195</v>
      </c>
      <c r="AJ87" s="1">
        <v>94.4</v>
      </c>
      <c r="AK87" s="1"/>
      <c r="AL87" s="1" t="s">
        <v>1994</v>
      </c>
      <c r="AM87" s="1" t="s">
        <v>160</v>
      </c>
      <c r="AN87" s="1" t="s">
        <v>101</v>
      </c>
      <c r="AO87" s="1" t="s">
        <v>198</v>
      </c>
      <c r="AP87" s="1">
        <v>65.38</v>
      </c>
      <c r="AQ87" s="1"/>
      <c r="AR87" s="1"/>
      <c r="AS87" s="1"/>
      <c r="AT87" s="1"/>
      <c r="AU87" s="1"/>
      <c r="AV87" s="1"/>
      <c r="AW87" s="1"/>
      <c r="AX87" s="1" t="s">
        <v>361</v>
      </c>
      <c r="AY87" s="1" t="s">
        <v>1995</v>
      </c>
      <c r="AZ87" s="1" t="s">
        <v>201</v>
      </c>
      <c r="BA87" s="1" t="s">
        <v>229</v>
      </c>
      <c r="BB87" s="1">
        <v>79.6</v>
      </c>
      <c r="BC87" s="1">
        <v>8.71</v>
      </c>
      <c r="BD87" s="1"/>
      <c r="BE87" s="1"/>
      <c r="BF87" s="1"/>
      <c r="BG87" s="1"/>
      <c r="BH87" s="1"/>
      <c r="BI87" s="1"/>
      <c r="BJ87" s="1" t="s">
        <v>1996</v>
      </c>
      <c r="BK87" s="1" t="s">
        <v>1997</v>
      </c>
      <c r="BL87" s="1" t="s">
        <v>1629</v>
      </c>
      <c r="BM87" s="1" t="s">
        <v>1998</v>
      </c>
      <c r="BN87" s="1">
        <v>20</v>
      </c>
      <c r="BO87" s="1" t="s">
        <v>1999</v>
      </c>
      <c r="BP87" s="1" t="str">
        <f>HYPERLINK("https://nconnect.nicmar.ac.in/storage/profile/ProfilePhoto_P25700017_325687.jpg","Download")</f>
        <v>0</v>
      </c>
      <c r="BQ87" s="3"/>
      <c r="BR87" s="3"/>
    </row>
    <row r="88" spans="1:70">
      <c r="A88" s="1" t="s">
        <v>70</v>
      </c>
      <c r="B88" s="1" t="s">
        <v>1269</v>
      </c>
      <c r="C88" s="1" t="s">
        <v>2000</v>
      </c>
      <c r="D88" s="1" t="s">
        <v>2001</v>
      </c>
      <c r="E88" s="1" t="s">
        <v>2002</v>
      </c>
      <c r="F88" s="1" t="s">
        <v>2003</v>
      </c>
      <c r="G88" s="1" t="s">
        <v>2004</v>
      </c>
      <c r="H88" s="1" t="s">
        <v>2005</v>
      </c>
      <c r="I88" s="1" t="s">
        <v>2006</v>
      </c>
      <c r="J88" s="1">
        <v>9284135423</v>
      </c>
      <c r="K88" s="1" t="s">
        <v>79</v>
      </c>
      <c r="L88" s="1" t="s">
        <v>2007</v>
      </c>
      <c r="M88" s="1" t="s">
        <v>81</v>
      </c>
      <c r="N88" s="1" t="s">
        <v>2008</v>
      </c>
      <c r="O88" s="1"/>
      <c r="P88" s="1" t="s">
        <v>1278</v>
      </c>
      <c r="Q88" s="1" t="s">
        <v>2009</v>
      </c>
      <c r="R88" s="1" t="s">
        <v>2010</v>
      </c>
      <c r="S88" s="1">
        <v>9975721584</v>
      </c>
      <c r="T88" s="1" t="s">
        <v>763</v>
      </c>
      <c r="U88" s="1" t="s">
        <v>2011</v>
      </c>
      <c r="V88" s="1">
        <v>9960097816</v>
      </c>
      <c r="W88" s="1" t="s">
        <v>763</v>
      </c>
      <c r="X88" s="1" t="s">
        <v>2012</v>
      </c>
      <c r="Y88" s="1" t="s">
        <v>158</v>
      </c>
      <c r="Z88" s="1" t="s">
        <v>92</v>
      </c>
      <c r="AA88" s="1" t="s">
        <v>2012</v>
      </c>
      <c r="AB88" s="1" t="s">
        <v>158</v>
      </c>
      <c r="AC88" s="1" t="s">
        <v>92</v>
      </c>
      <c r="AD88" s="1">
        <v>8.39</v>
      </c>
      <c r="AE88" s="1" t="s">
        <v>93</v>
      </c>
      <c r="AF88" s="1" t="s">
        <v>2013</v>
      </c>
      <c r="AG88" s="1" t="s">
        <v>160</v>
      </c>
      <c r="AH88" s="1" t="s">
        <v>165</v>
      </c>
      <c r="AI88" s="1" t="s">
        <v>281</v>
      </c>
      <c r="AJ88" s="1">
        <v>88.6</v>
      </c>
      <c r="AK88" s="1"/>
      <c r="AL88" s="1" t="s">
        <v>2014</v>
      </c>
      <c r="AM88" s="1" t="s">
        <v>160</v>
      </c>
      <c r="AN88" s="1" t="s">
        <v>433</v>
      </c>
      <c r="AO88" s="1" t="s">
        <v>360</v>
      </c>
      <c r="AP88" s="1">
        <v>78.77</v>
      </c>
      <c r="AQ88" s="1"/>
      <c r="AR88" s="1"/>
      <c r="AS88" s="1"/>
      <c r="AT88" s="1"/>
      <c r="AU88" s="1"/>
      <c r="AV88" s="1"/>
      <c r="AW88" s="1"/>
      <c r="AX88" s="1" t="s">
        <v>1892</v>
      </c>
      <c r="AY88" s="1" t="s">
        <v>2015</v>
      </c>
      <c r="AZ88" s="1" t="s">
        <v>2016</v>
      </c>
      <c r="BA88" s="1" t="s">
        <v>413</v>
      </c>
      <c r="BB88" s="1">
        <v>65</v>
      </c>
      <c r="BC88" s="1">
        <v>7.25</v>
      </c>
      <c r="BD88" s="1"/>
      <c r="BE88" s="1"/>
      <c r="BF88" s="1"/>
      <c r="BG88" s="1"/>
      <c r="BH88" s="1"/>
      <c r="BI88" s="1"/>
      <c r="BJ88" s="1" t="s">
        <v>2017</v>
      </c>
      <c r="BK88" s="1" t="s">
        <v>2018</v>
      </c>
      <c r="BL88" s="1" t="s">
        <v>2019</v>
      </c>
      <c r="BM88" s="1" t="s">
        <v>2020</v>
      </c>
      <c r="BN88" s="1">
        <v>18</v>
      </c>
      <c r="BO88" s="1"/>
      <c r="BP88" s="1" t="str">
        <f>HYPERLINK("https://nconnect.nicmar.ac.in/storage/profile/ProfilePhoto_P25700018_349268.jpg","Download")</f>
        <v>0</v>
      </c>
      <c r="BQ88" s="3"/>
      <c r="BR88" s="3"/>
    </row>
    <row r="89" spans="1:70">
      <c r="A89" s="1" t="s">
        <v>70</v>
      </c>
      <c r="B89" s="1" t="s">
        <v>1269</v>
      </c>
      <c r="C89" s="1" t="s">
        <v>2021</v>
      </c>
      <c r="D89" s="1" t="s">
        <v>2022</v>
      </c>
      <c r="E89" s="1" t="s">
        <v>2023</v>
      </c>
      <c r="F89" s="1" t="s">
        <v>2024</v>
      </c>
      <c r="G89" s="1" t="s">
        <v>2025</v>
      </c>
      <c r="H89" s="1" t="s">
        <v>2026</v>
      </c>
      <c r="I89" s="1" t="s">
        <v>2027</v>
      </c>
      <c r="J89" s="1">
        <v>7385339761</v>
      </c>
      <c r="K89" s="1" t="s">
        <v>79</v>
      </c>
      <c r="L89" s="1" t="s">
        <v>2028</v>
      </c>
      <c r="M89" s="1" t="s">
        <v>81</v>
      </c>
      <c r="N89" s="1" t="s">
        <v>2029</v>
      </c>
      <c r="O89" s="1"/>
      <c r="P89" s="1" t="s">
        <v>1278</v>
      </c>
      <c r="Q89" s="1" t="s">
        <v>2030</v>
      </c>
      <c r="R89" s="1" t="s">
        <v>2031</v>
      </c>
      <c r="S89" s="1">
        <v>9004969014</v>
      </c>
      <c r="T89" s="1" t="s">
        <v>496</v>
      </c>
      <c r="U89" s="1" t="s">
        <v>2032</v>
      </c>
      <c r="V89" s="1">
        <v>9004969014</v>
      </c>
      <c r="W89" s="1" t="s">
        <v>156</v>
      </c>
      <c r="X89" s="1" t="s">
        <v>2033</v>
      </c>
      <c r="Y89" s="1" t="s">
        <v>1018</v>
      </c>
      <c r="Z89" s="1" t="s">
        <v>92</v>
      </c>
      <c r="AA89" s="1" t="s">
        <v>2033</v>
      </c>
      <c r="AB89" s="1" t="s">
        <v>1018</v>
      </c>
      <c r="AC89" s="1" t="s">
        <v>92</v>
      </c>
      <c r="AD89" s="1">
        <v>8.43</v>
      </c>
      <c r="AE89" s="1" t="s">
        <v>93</v>
      </c>
      <c r="AF89" s="1" t="s">
        <v>2034</v>
      </c>
      <c r="AG89" s="1" t="s">
        <v>455</v>
      </c>
      <c r="AH89" s="1" t="s">
        <v>281</v>
      </c>
      <c r="AI89" s="1" t="s">
        <v>409</v>
      </c>
      <c r="AJ89" s="1">
        <v>73.4</v>
      </c>
      <c r="AK89" s="1"/>
      <c r="AL89" s="1" t="s">
        <v>2035</v>
      </c>
      <c r="AM89" s="1" t="s">
        <v>455</v>
      </c>
      <c r="AN89" s="1" t="s">
        <v>941</v>
      </c>
      <c r="AO89" s="1" t="s">
        <v>504</v>
      </c>
      <c r="AP89" s="1">
        <v>86.83</v>
      </c>
      <c r="AQ89" s="1"/>
      <c r="AR89" s="1"/>
      <c r="AS89" s="1"/>
      <c r="AT89" s="1"/>
      <c r="AU89" s="1"/>
      <c r="AV89" s="1"/>
      <c r="AW89" s="1"/>
      <c r="AX89" s="1" t="s">
        <v>253</v>
      </c>
      <c r="AY89" s="1" t="s">
        <v>2036</v>
      </c>
      <c r="AZ89" s="1" t="s">
        <v>504</v>
      </c>
      <c r="BA89" s="1" t="s">
        <v>1361</v>
      </c>
      <c r="BB89" s="1">
        <v>69.18</v>
      </c>
      <c r="BC89" s="1">
        <v>7.67</v>
      </c>
      <c r="BD89" s="1"/>
      <c r="BE89" s="1"/>
      <c r="BF89" s="1"/>
      <c r="BG89" s="1"/>
      <c r="BH89" s="1"/>
      <c r="BI89" s="1"/>
      <c r="BJ89" s="1" t="s">
        <v>255</v>
      </c>
      <c r="BK89" s="1"/>
      <c r="BL89" s="1"/>
      <c r="BM89" s="1" t="s">
        <v>2037</v>
      </c>
      <c r="BN89" s="1">
        <v>21</v>
      </c>
      <c r="BO89" s="1" t="s">
        <v>2038</v>
      </c>
      <c r="BP89" s="1" t="str">
        <f>HYPERLINK("https://nconnect.nicmar.ac.in/storage/profile/ProfilePhoto_P25700019_693821.jpg","Download")</f>
        <v>0</v>
      </c>
      <c r="BQ89" s="3"/>
      <c r="BR89" s="3"/>
    </row>
    <row r="90" spans="1:70">
      <c r="A90" s="1" t="s">
        <v>70</v>
      </c>
      <c r="B90" s="1" t="s">
        <v>1269</v>
      </c>
      <c r="C90" s="1" t="s">
        <v>2039</v>
      </c>
      <c r="D90" s="1" t="s">
        <v>2040</v>
      </c>
      <c r="E90" s="1"/>
      <c r="F90" s="1" t="s">
        <v>2041</v>
      </c>
      <c r="G90" s="1" t="s">
        <v>2042</v>
      </c>
      <c r="H90" s="1" t="s">
        <v>2043</v>
      </c>
      <c r="I90" s="1" t="s">
        <v>2044</v>
      </c>
      <c r="J90" s="1">
        <v>7975576963</v>
      </c>
      <c r="K90" s="1" t="s">
        <v>148</v>
      </c>
      <c r="L90" s="1" t="s">
        <v>2045</v>
      </c>
      <c r="M90" s="1" t="s">
        <v>81</v>
      </c>
      <c r="N90" s="1" t="s">
        <v>2046</v>
      </c>
      <c r="O90" s="1"/>
      <c r="P90" s="1" t="s">
        <v>1278</v>
      </c>
      <c r="Q90" s="1" t="s">
        <v>2047</v>
      </c>
      <c r="R90" s="1" t="s">
        <v>2048</v>
      </c>
      <c r="S90" s="1">
        <v>9986859394</v>
      </c>
      <c r="T90" s="1" t="s">
        <v>2049</v>
      </c>
      <c r="U90" s="1" t="s">
        <v>2050</v>
      </c>
      <c r="V90" s="1">
        <v>9916281122</v>
      </c>
      <c r="W90" s="1" t="s">
        <v>651</v>
      </c>
      <c r="X90" s="1" t="s">
        <v>2051</v>
      </c>
      <c r="Y90" s="1" t="s">
        <v>2052</v>
      </c>
      <c r="Z90" s="1" t="s">
        <v>1084</v>
      </c>
      <c r="AA90" s="1" t="s">
        <v>2051</v>
      </c>
      <c r="AB90" s="1" t="s">
        <v>2052</v>
      </c>
      <c r="AC90" s="1" t="s">
        <v>1084</v>
      </c>
      <c r="AD90" s="1">
        <v>8.3</v>
      </c>
      <c r="AE90" s="1" t="s">
        <v>93</v>
      </c>
      <c r="AF90" s="1" t="s">
        <v>2053</v>
      </c>
      <c r="AG90" s="1" t="s">
        <v>2054</v>
      </c>
      <c r="AH90" s="1" t="s">
        <v>998</v>
      </c>
      <c r="AI90" s="1" t="s">
        <v>477</v>
      </c>
      <c r="AJ90" s="1">
        <v>92.32</v>
      </c>
      <c r="AK90" s="1">
        <v>9.71</v>
      </c>
      <c r="AL90" s="1" t="s">
        <v>2055</v>
      </c>
      <c r="AM90" s="1" t="s">
        <v>2056</v>
      </c>
      <c r="AN90" s="1" t="s">
        <v>503</v>
      </c>
      <c r="AO90" s="1" t="s">
        <v>527</v>
      </c>
      <c r="AP90" s="1">
        <v>82.34</v>
      </c>
      <c r="AQ90" s="1">
        <v>8.66</v>
      </c>
      <c r="AR90" s="1"/>
      <c r="AS90" s="1"/>
      <c r="AT90" s="1"/>
      <c r="AU90" s="1"/>
      <c r="AV90" s="1"/>
      <c r="AW90" s="1"/>
      <c r="AX90" s="1" t="s">
        <v>1088</v>
      </c>
      <c r="AY90" s="1" t="s">
        <v>2057</v>
      </c>
      <c r="AZ90" s="1" t="s">
        <v>134</v>
      </c>
      <c r="BA90" s="1" t="s">
        <v>681</v>
      </c>
      <c r="BB90" s="1">
        <v>65.3</v>
      </c>
      <c r="BC90" s="1">
        <v>7.28</v>
      </c>
      <c r="BD90" s="1"/>
      <c r="BE90" s="1"/>
      <c r="BF90" s="1"/>
      <c r="BG90" s="1"/>
      <c r="BH90" s="1"/>
      <c r="BI90" s="1"/>
      <c r="BJ90" s="1" t="s">
        <v>2058</v>
      </c>
      <c r="BK90" s="1"/>
      <c r="BL90" s="1"/>
      <c r="BM90" s="1" t="s">
        <v>2059</v>
      </c>
      <c r="BN90" s="1">
        <v>99</v>
      </c>
      <c r="BO90" s="1"/>
      <c r="BP90" s="1" t="str">
        <f>HYPERLINK("https://nconnect.nicmar.ac.in/storage/profile/ProfilePhoto_P25700020_954273.jpg","Download")</f>
        <v>0</v>
      </c>
      <c r="BQ90" s="3"/>
      <c r="BR90" s="3"/>
    </row>
    <row r="91" spans="1:70">
      <c r="A91" s="1" t="s">
        <v>70</v>
      </c>
      <c r="B91" s="1" t="s">
        <v>1269</v>
      </c>
      <c r="C91" s="1" t="s">
        <v>2060</v>
      </c>
      <c r="D91" s="1" t="s">
        <v>2061</v>
      </c>
      <c r="E91" s="1"/>
      <c r="F91" s="1" t="s">
        <v>2062</v>
      </c>
      <c r="G91" s="1" t="s">
        <v>2063</v>
      </c>
      <c r="H91" s="1" t="s">
        <v>2064</v>
      </c>
      <c r="I91" s="1" t="s">
        <v>2065</v>
      </c>
      <c r="J91" s="1">
        <v>7003977682</v>
      </c>
      <c r="K91" s="1" t="s">
        <v>79</v>
      </c>
      <c r="L91" s="1" t="s">
        <v>2066</v>
      </c>
      <c r="M91" s="1" t="s">
        <v>81</v>
      </c>
      <c r="N91" s="1" t="s">
        <v>2067</v>
      </c>
      <c r="O91" s="1"/>
      <c r="P91" s="1" t="s">
        <v>1323</v>
      </c>
      <c r="Q91" s="1" t="s">
        <v>2068</v>
      </c>
      <c r="R91" s="1" t="s">
        <v>2069</v>
      </c>
      <c r="S91" s="1">
        <v>9874494195</v>
      </c>
      <c r="T91" s="1" t="s">
        <v>496</v>
      </c>
      <c r="U91" s="1" t="s">
        <v>2070</v>
      </c>
      <c r="V91" s="1">
        <v>7686960438</v>
      </c>
      <c r="W91" s="1" t="s">
        <v>156</v>
      </c>
      <c r="X91" s="1" t="s">
        <v>2071</v>
      </c>
      <c r="Y91" s="1" t="s">
        <v>2072</v>
      </c>
      <c r="Z91" s="1" t="s">
        <v>783</v>
      </c>
      <c r="AA91" s="1" t="s">
        <v>2071</v>
      </c>
      <c r="AB91" s="1" t="s">
        <v>2072</v>
      </c>
      <c r="AC91" s="1" t="s">
        <v>783</v>
      </c>
      <c r="AD91" s="1">
        <v>8.69</v>
      </c>
      <c r="AE91" s="1" t="s">
        <v>93</v>
      </c>
      <c r="AF91" s="1" t="s">
        <v>2073</v>
      </c>
      <c r="AG91" s="1" t="s">
        <v>2074</v>
      </c>
      <c r="AH91" s="1" t="s">
        <v>2075</v>
      </c>
      <c r="AI91" s="1" t="s">
        <v>527</v>
      </c>
      <c r="AJ91" s="1">
        <v>85</v>
      </c>
      <c r="AK91" s="1"/>
      <c r="AL91" s="1" t="s">
        <v>2073</v>
      </c>
      <c r="AM91" s="1" t="s">
        <v>2076</v>
      </c>
      <c r="AN91" s="1" t="s">
        <v>479</v>
      </c>
      <c r="AO91" s="1" t="s">
        <v>101</v>
      </c>
      <c r="AP91" s="1">
        <v>72.4</v>
      </c>
      <c r="AQ91" s="1"/>
      <c r="AR91" s="1" t="s">
        <v>434</v>
      </c>
      <c r="AS91" s="1" t="s">
        <v>2077</v>
      </c>
      <c r="AT91" s="1" t="s">
        <v>636</v>
      </c>
      <c r="AU91" s="1" t="s">
        <v>1051</v>
      </c>
      <c r="AV91" s="1">
        <v>84.7</v>
      </c>
      <c r="AW91" s="1"/>
      <c r="AX91" s="1" t="s">
        <v>2078</v>
      </c>
      <c r="AY91" s="1" t="s">
        <v>2079</v>
      </c>
      <c r="AZ91" s="1" t="s">
        <v>1051</v>
      </c>
      <c r="BA91" s="1" t="s">
        <v>944</v>
      </c>
      <c r="BB91" s="1">
        <v>84</v>
      </c>
      <c r="BC91" s="1"/>
      <c r="BD91" s="1"/>
      <c r="BE91" s="1"/>
      <c r="BF91" s="1"/>
      <c r="BG91" s="1"/>
      <c r="BH91" s="1"/>
      <c r="BI91" s="1"/>
      <c r="BJ91" s="1" t="s">
        <v>2080</v>
      </c>
      <c r="BK91" s="1"/>
      <c r="BL91" s="1"/>
      <c r="BM91" s="1" t="s">
        <v>2081</v>
      </c>
      <c r="BN91" s="1">
        <v>13</v>
      </c>
      <c r="BO91" s="1" t="s">
        <v>2082</v>
      </c>
      <c r="BP91" s="1" t="str">
        <f>HYPERLINK("https://nconnect.nicmar.ac.in/storage/profile/ProfilePhoto_P25700021_349526.jpg","Download")</f>
        <v>0</v>
      </c>
      <c r="BQ91" s="3"/>
      <c r="BR91" s="3"/>
    </row>
    <row r="92" spans="1:70">
      <c r="A92" s="1" t="s">
        <v>70</v>
      </c>
      <c r="B92" s="1" t="s">
        <v>1269</v>
      </c>
      <c r="C92" s="1" t="s">
        <v>2083</v>
      </c>
      <c r="D92" s="1" t="s">
        <v>2084</v>
      </c>
      <c r="E92" s="1" t="s">
        <v>2085</v>
      </c>
      <c r="F92" s="1" t="s">
        <v>2086</v>
      </c>
      <c r="G92" s="1" t="s">
        <v>2087</v>
      </c>
      <c r="H92" s="1" t="s">
        <v>2088</v>
      </c>
      <c r="I92" s="1" t="s">
        <v>2089</v>
      </c>
      <c r="J92" s="1">
        <v>8895290519</v>
      </c>
      <c r="K92" s="1" t="s">
        <v>79</v>
      </c>
      <c r="L92" s="1" t="s">
        <v>2090</v>
      </c>
      <c r="M92" s="1" t="s">
        <v>81</v>
      </c>
      <c r="N92" s="1" t="s">
        <v>1746</v>
      </c>
      <c r="O92" s="1"/>
      <c r="P92" s="1" t="s">
        <v>1298</v>
      </c>
      <c r="Q92" s="1" t="s">
        <v>2091</v>
      </c>
      <c r="R92" s="1" t="s">
        <v>2092</v>
      </c>
      <c r="S92" s="1">
        <v>7978767607</v>
      </c>
      <c r="T92" s="1" t="s">
        <v>496</v>
      </c>
      <c r="U92" s="1" t="s">
        <v>2093</v>
      </c>
      <c r="V92" s="1">
        <v>9437190177</v>
      </c>
      <c r="W92" s="1" t="s">
        <v>2094</v>
      </c>
      <c r="X92" s="1" t="s">
        <v>2095</v>
      </c>
      <c r="Y92" s="1" t="s">
        <v>2096</v>
      </c>
      <c r="Z92" s="1" t="s">
        <v>1731</v>
      </c>
      <c r="AA92" s="1" t="s">
        <v>2095</v>
      </c>
      <c r="AB92" s="1" t="s">
        <v>2096</v>
      </c>
      <c r="AC92" s="1" t="s">
        <v>1731</v>
      </c>
      <c r="AD92" s="1">
        <v>8.02</v>
      </c>
      <c r="AE92" s="1" t="s">
        <v>93</v>
      </c>
      <c r="AF92" s="1" t="s">
        <v>2097</v>
      </c>
      <c r="AG92" s="1" t="s">
        <v>2098</v>
      </c>
      <c r="AH92" s="1" t="s">
        <v>1197</v>
      </c>
      <c r="AI92" s="1" t="s">
        <v>131</v>
      </c>
      <c r="AJ92" s="1">
        <v>85.5</v>
      </c>
      <c r="AK92" s="1">
        <v>9</v>
      </c>
      <c r="AL92" s="1" t="s">
        <v>2099</v>
      </c>
      <c r="AM92" s="1" t="s">
        <v>2098</v>
      </c>
      <c r="AN92" s="1" t="s">
        <v>527</v>
      </c>
      <c r="AO92" s="1" t="s">
        <v>479</v>
      </c>
      <c r="AP92" s="1">
        <v>73.4</v>
      </c>
      <c r="AQ92" s="1"/>
      <c r="AR92" s="1"/>
      <c r="AS92" s="1"/>
      <c r="AT92" s="1"/>
      <c r="AU92" s="1"/>
      <c r="AV92" s="1"/>
      <c r="AW92" s="1"/>
      <c r="AX92" s="1" t="s">
        <v>2100</v>
      </c>
      <c r="AY92" s="1" t="s">
        <v>2101</v>
      </c>
      <c r="AZ92" s="1" t="s">
        <v>169</v>
      </c>
      <c r="BA92" s="1" t="s">
        <v>1003</v>
      </c>
      <c r="BB92" s="1">
        <v>79.5</v>
      </c>
      <c r="BC92" s="1">
        <v>8.45</v>
      </c>
      <c r="BD92" s="1" t="s">
        <v>2102</v>
      </c>
      <c r="BE92" s="1" t="s">
        <v>1647</v>
      </c>
      <c r="BF92" s="1" t="s">
        <v>1134</v>
      </c>
      <c r="BG92" s="1" t="s">
        <v>2103</v>
      </c>
      <c r="BH92" s="1">
        <v>50</v>
      </c>
      <c r="BI92" s="1"/>
      <c r="BJ92" s="1" t="s">
        <v>2104</v>
      </c>
      <c r="BK92" s="1"/>
      <c r="BL92" s="1"/>
      <c r="BM92" s="1" t="s">
        <v>2105</v>
      </c>
      <c r="BN92" s="1">
        <v>48</v>
      </c>
      <c r="BO92" s="1" t="s">
        <v>2106</v>
      </c>
      <c r="BP92" s="1" t="str">
        <f>HYPERLINK("https://nconnect.nicmar.ac.in/storage/profile/ProfilePhoto_P25700022_164257.jpg","Download")</f>
        <v>0</v>
      </c>
      <c r="BQ92" s="3"/>
      <c r="BR92" s="3"/>
    </row>
    <row r="93" spans="1:70">
      <c r="A93" s="1" t="s">
        <v>70</v>
      </c>
      <c r="B93" s="1" t="s">
        <v>1269</v>
      </c>
      <c r="C93" s="1" t="s">
        <v>2107</v>
      </c>
      <c r="D93" s="1" t="s">
        <v>2108</v>
      </c>
      <c r="E93" s="1"/>
      <c r="F93" s="1" t="s">
        <v>2109</v>
      </c>
      <c r="G93" s="1" t="s">
        <v>2110</v>
      </c>
      <c r="H93" s="1" t="s">
        <v>2111</v>
      </c>
      <c r="I93" s="1" t="s">
        <v>2112</v>
      </c>
      <c r="J93" s="1">
        <v>9207286609</v>
      </c>
      <c r="K93" s="1" t="s">
        <v>79</v>
      </c>
      <c r="L93" s="1" t="s">
        <v>2113</v>
      </c>
      <c r="M93" s="1" t="s">
        <v>81</v>
      </c>
      <c r="N93" s="1" t="s">
        <v>1395</v>
      </c>
      <c r="O93" s="1"/>
      <c r="P93" s="1" t="s">
        <v>1278</v>
      </c>
      <c r="Q93" s="1" t="s">
        <v>2114</v>
      </c>
      <c r="R93" s="1" t="s">
        <v>2115</v>
      </c>
      <c r="S93" s="1">
        <v>9496155865</v>
      </c>
      <c r="T93" s="1" t="s">
        <v>120</v>
      </c>
      <c r="U93" s="1" t="s">
        <v>2116</v>
      </c>
      <c r="V93" s="1">
        <v>9400636849</v>
      </c>
      <c r="W93" s="1" t="s">
        <v>120</v>
      </c>
      <c r="X93" s="1" t="s">
        <v>2117</v>
      </c>
      <c r="Y93" s="1" t="s">
        <v>1260</v>
      </c>
      <c r="Z93" s="1" t="s">
        <v>125</v>
      </c>
      <c r="AA93" s="1" t="s">
        <v>2117</v>
      </c>
      <c r="AB93" s="1" t="s">
        <v>1260</v>
      </c>
      <c r="AC93" s="1" t="s">
        <v>125</v>
      </c>
      <c r="AD93" s="1">
        <v>8.61</v>
      </c>
      <c r="AE93" s="1" t="s">
        <v>93</v>
      </c>
      <c r="AF93" s="1" t="s">
        <v>2118</v>
      </c>
      <c r="AG93" s="1" t="s">
        <v>1403</v>
      </c>
      <c r="AH93" s="1" t="s">
        <v>162</v>
      </c>
      <c r="AI93" s="1" t="s">
        <v>195</v>
      </c>
      <c r="AJ93" s="1">
        <v>94</v>
      </c>
      <c r="AK93" s="1">
        <v>9</v>
      </c>
      <c r="AL93" s="1" t="s">
        <v>2119</v>
      </c>
      <c r="AM93" s="1" t="s">
        <v>2120</v>
      </c>
      <c r="AN93" s="1" t="s">
        <v>101</v>
      </c>
      <c r="AO93" s="1" t="s">
        <v>409</v>
      </c>
      <c r="AP93" s="1">
        <v>92.33</v>
      </c>
      <c r="AQ93" s="1"/>
      <c r="AR93" s="1"/>
      <c r="AS93" s="1"/>
      <c r="AT93" s="1"/>
      <c r="AU93" s="1"/>
      <c r="AV93" s="1"/>
      <c r="AW93" s="1"/>
      <c r="AX93" s="1" t="s">
        <v>2121</v>
      </c>
      <c r="AY93" s="1" t="s">
        <v>2122</v>
      </c>
      <c r="AZ93" s="1" t="s">
        <v>201</v>
      </c>
      <c r="BA93" s="1" t="s">
        <v>386</v>
      </c>
      <c r="BB93" s="1">
        <v>82</v>
      </c>
      <c r="BC93" s="1">
        <v>8.2</v>
      </c>
      <c r="BD93" s="1"/>
      <c r="BE93" s="1"/>
      <c r="BF93" s="1"/>
      <c r="BG93" s="1"/>
      <c r="BH93" s="1"/>
      <c r="BI93" s="1"/>
      <c r="BJ93" s="1" t="s">
        <v>2123</v>
      </c>
      <c r="BK93" s="1" t="s">
        <v>2124</v>
      </c>
      <c r="BL93" s="1" t="s">
        <v>1920</v>
      </c>
      <c r="BM93" s="1" t="s">
        <v>2125</v>
      </c>
      <c r="BN93" s="1">
        <v>55</v>
      </c>
      <c r="BO93" s="1" t="s">
        <v>2126</v>
      </c>
      <c r="BP93" s="1" t="str">
        <f>HYPERLINK("https://nconnect.nicmar.ac.in/storage/profile/ProfilePhoto_P25700023_836724.jpg","Download")</f>
        <v>0</v>
      </c>
      <c r="BQ93" s="3"/>
      <c r="BR93" s="3"/>
    </row>
    <row r="94" spans="1:70">
      <c r="A94" s="1" t="s">
        <v>70</v>
      </c>
      <c r="B94" s="1" t="s">
        <v>1269</v>
      </c>
      <c r="C94" s="1" t="s">
        <v>2127</v>
      </c>
      <c r="D94" s="1" t="s">
        <v>2128</v>
      </c>
      <c r="E94" s="1" t="s">
        <v>2129</v>
      </c>
      <c r="F94" s="1" t="s">
        <v>1280</v>
      </c>
      <c r="G94" s="1" t="s">
        <v>2130</v>
      </c>
      <c r="H94" s="1" t="s">
        <v>2131</v>
      </c>
      <c r="I94" s="1" t="s">
        <v>2132</v>
      </c>
      <c r="J94" s="1">
        <v>9747558878</v>
      </c>
      <c r="K94" s="1" t="s">
        <v>79</v>
      </c>
      <c r="L94" s="1" t="s">
        <v>2133</v>
      </c>
      <c r="M94" s="1" t="s">
        <v>81</v>
      </c>
      <c r="N94" s="1" t="s">
        <v>2134</v>
      </c>
      <c r="O94" s="1"/>
      <c r="P94" s="1" t="s">
        <v>1298</v>
      </c>
      <c r="Q94" s="1" t="s">
        <v>2135</v>
      </c>
      <c r="R94" s="1" t="s">
        <v>2136</v>
      </c>
      <c r="S94" s="1">
        <v>9446519121</v>
      </c>
      <c r="T94" s="1" t="s">
        <v>2137</v>
      </c>
      <c r="U94" s="1" t="s">
        <v>2138</v>
      </c>
      <c r="V94" s="1">
        <v>9447619121</v>
      </c>
      <c r="W94" s="1" t="s">
        <v>273</v>
      </c>
      <c r="X94" s="1" t="s">
        <v>2139</v>
      </c>
      <c r="Y94" s="1" t="s">
        <v>2140</v>
      </c>
      <c r="Z94" s="1" t="s">
        <v>125</v>
      </c>
      <c r="AA94" s="1" t="s">
        <v>2139</v>
      </c>
      <c r="AB94" s="1" t="s">
        <v>2140</v>
      </c>
      <c r="AC94" s="1" t="s">
        <v>125</v>
      </c>
      <c r="AD94" s="1">
        <v>8.56</v>
      </c>
      <c r="AE94" s="1" t="s">
        <v>93</v>
      </c>
      <c r="AF94" s="1" t="s">
        <v>2141</v>
      </c>
      <c r="AG94" s="1" t="s">
        <v>2142</v>
      </c>
      <c r="AH94" s="1" t="s">
        <v>165</v>
      </c>
      <c r="AI94" s="1" t="s">
        <v>281</v>
      </c>
      <c r="AJ94" s="1">
        <v>73</v>
      </c>
      <c r="AK94" s="1"/>
      <c r="AL94" s="1" t="s">
        <v>2143</v>
      </c>
      <c r="AM94" s="1" t="s">
        <v>2144</v>
      </c>
      <c r="AN94" s="1" t="s">
        <v>310</v>
      </c>
      <c r="AO94" s="1" t="s">
        <v>412</v>
      </c>
      <c r="AP94" s="1">
        <v>76.6</v>
      </c>
      <c r="AQ94" s="1"/>
      <c r="AR94" s="1"/>
      <c r="AS94" s="1"/>
      <c r="AT94" s="1"/>
      <c r="AU94" s="1"/>
      <c r="AV94" s="1"/>
      <c r="AW94" s="1"/>
      <c r="AX94" s="1" t="s">
        <v>132</v>
      </c>
      <c r="AY94" s="1" t="s">
        <v>2145</v>
      </c>
      <c r="AZ94" s="1" t="s">
        <v>173</v>
      </c>
      <c r="BA94" s="1" t="s">
        <v>702</v>
      </c>
      <c r="BB94" s="1">
        <v>77.8</v>
      </c>
      <c r="BC94" s="1">
        <v>7.78</v>
      </c>
      <c r="BD94" s="1"/>
      <c r="BE94" s="1"/>
      <c r="BF94" s="1"/>
      <c r="BG94" s="1"/>
      <c r="BH94" s="1"/>
      <c r="BI94" s="1"/>
      <c r="BJ94" s="1" t="s">
        <v>2146</v>
      </c>
      <c r="BK94" s="1"/>
      <c r="BL94" s="1"/>
      <c r="BM94" s="1" t="s">
        <v>2147</v>
      </c>
      <c r="BN94" s="1">
        <v>13</v>
      </c>
      <c r="BO94" s="1" t="s">
        <v>2148</v>
      </c>
      <c r="BP94" s="1" t="str">
        <f>HYPERLINK("https://nconnect.nicmar.ac.in/storage/profile/ProfilePhoto_P25700024_183579.jpg","Download")</f>
        <v>0</v>
      </c>
      <c r="BQ94" s="3"/>
      <c r="BR94" s="3"/>
    </row>
    <row r="95" spans="1:70">
      <c r="A95" s="1" t="s">
        <v>70</v>
      </c>
      <c r="B95" s="1" t="s">
        <v>1269</v>
      </c>
      <c r="C95" s="1" t="s">
        <v>2149</v>
      </c>
      <c r="D95" s="1" t="s">
        <v>2150</v>
      </c>
      <c r="E95" s="1" t="s">
        <v>596</v>
      </c>
      <c r="F95" s="1" t="s">
        <v>2151</v>
      </c>
      <c r="G95" s="1" t="s">
        <v>2152</v>
      </c>
      <c r="H95" s="1" t="s">
        <v>2153</v>
      </c>
      <c r="I95" s="1" t="s">
        <v>2154</v>
      </c>
      <c r="J95" s="1">
        <v>7488920327</v>
      </c>
      <c r="K95" s="1" t="s">
        <v>79</v>
      </c>
      <c r="L95" s="1" t="s">
        <v>2155</v>
      </c>
      <c r="M95" s="1" t="s">
        <v>81</v>
      </c>
      <c r="N95" s="1" t="s">
        <v>350</v>
      </c>
      <c r="O95" s="1"/>
      <c r="P95" s="1" t="s">
        <v>1278</v>
      </c>
      <c r="Q95" s="1" t="s">
        <v>2156</v>
      </c>
      <c r="R95" s="1" t="s">
        <v>2157</v>
      </c>
      <c r="S95" s="1">
        <v>9472959639</v>
      </c>
      <c r="T95" s="1" t="s">
        <v>216</v>
      </c>
      <c r="U95" s="1" t="s">
        <v>2158</v>
      </c>
      <c r="V95" s="1">
        <v>7277669632</v>
      </c>
      <c r="W95" s="1" t="s">
        <v>156</v>
      </c>
      <c r="X95" s="1" t="s">
        <v>2159</v>
      </c>
      <c r="Y95" s="1" t="s">
        <v>845</v>
      </c>
      <c r="Z95" s="1" t="s">
        <v>846</v>
      </c>
      <c r="AA95" s="1" t="s">
        <v>2159</v>
      </c>
      <c r="AB95" s="1" t="s">
        <v>845</v>
      </c>
      <c r="AC95" s="1" t="s">
        <v>846</v>
      </c>
      <c r="AD95" s="1">
        <v>7.79</v>
      </c>
      <c r="AE95" s="1" t="s">
        <v>93</v>
      </c>
      <c r="AF95" s="1" t="s">
        <v>2160</v>
      </c>
      <c r="AG95" s="1" t="s">
        <v>2161</v>
      </c>
      <c r="AH95" s="1" t="s">
        <v>678</v>
      </c>
      <c r="AI95" s="1" t="s">
        <v>166</v>
      </c>
      <c r="AJ95" s="1">
        <v>67.6</v>
      </c>
      <c r="AK95" s="1"/>
      <c r="AL95" s="1" t="s">
        <v>2162</v>
      </c>
      <c r="AM95" s="1" t="s">
        <v>2161</v>
      </c>
      <c r="AN95" s="1" t="s">
        <v>101</v>
      </c>
      <c r="AO95" s="1" t="s">
        <v>173</v>
      </c>
      <c r="AP95" s="1">
        <v>70.8</v>
      </c>
      <c r="AQ95" s="1"/>
      <c r="AR95" s="1"/>
      <c r="AS95" s="1"/>
      <c r="AT95" s="1"/>
      <c r="AU95" s="1"/>
      <c r="AV95" s="1"/>
      <c r="AW95" s="1"/>
      <c r="AX95" s="1" t="s">
        <v>2163</v>
      </c>
      <c r="AY95" s="1" t="s">
        <v>2164</v>
      </c>
      <c r="AZ95" s="1" t="s">
        <v>920</v>
      </c>
      <c r="BA95" s="1" t="s">
        <v>413</v>
      </c>
      <c r="BB95" s="1">
        <v>84.3</v>
      </c>
      <c r="BC95" s="1">
        <v>8.43</v>
      </c>
      <c r="BD95" s="1"/>
      <c r="BE95" s="1"/>
      <c r="BF95" s="1"/>
      <c r="BG95" s="1"/>
      <c r="BH95" s="1"/>
      <c r="BI95" s="1"/>
      <c r="BJ95" s="1" t="s">
        <v>1383</v>
      </c>
      <c r="BK95" s="1"/>
      <c r="BL95" s="1"/>
      <c r="BM95" s="1" t="s">
        <v>2165</v>
      </c>
      <c r="BN95" s="1">
        <v>18</v>
      </c>
      <c r="BO95" s="1"/>
      <c r="BP95" s="1" t="str">
        <f>HYPERLINK("https://nconnect.nicmar.ac.in/storage/profile/ProfilePhoto_P25700026_164829.jpg","Download")</f>
        <v>0</v>
      </c>
      <c r="BQ95" s="3"/>
      <c r="BR95" s="3"/>
    </row>
    <row r="96" spans="1:70">
      <c r="A96" s="1" t="s">
        <v>70</v>
      </c>
      <c r="B96" s="1" t="s">
        <v>1269</v>
      </c>
      <c r="C96" s="1" t="s">
        <v>2166</v>
      </c>
      <c r="D96" s="1" t="s">
        <v>2167</v>
      </c>
      <c r="E96" s="1"/>
      <c r="F96" s="1" t="s">
        <v>2168</v>
      </c>
      <c r="G96" s="1" t="s">
        <v>2169</v>
      </c>
      <c r="H96" s="1" t="s">
        <v>2170</v>
      </c>
      <c r="I96" s="1" t="s">
        <v>2171</v>
      </c>
      <c r="J96" s="1">
        <v>8660484703</v>
      </c>
      <c r="K96" s="1" t="s">
        <v>79</v>
      </c>
      <c r="L96" s="1" t="s">
        <v>2172</v>
      </c>
      <c r="M96" s="1" t="s">
        <v>81</v>
      </c>
      <c r="N96" s="1" t="s">
        <v>2173</v>
      </c>
      <c r="O96" s="1"/>
      <c r="P96" s="1" t="s">
        <v>1298</v>
      </c>
      <c r="Q96" s="1" t="s">
        <v>2174</v>
      </c>
      <c r="R96" s="1" t="s">
        <v>2175</v>
      </c>
      <c r="S96" s="1">
        <v>8867120724</v>
      </c>
      <c r="T96" s="1" t="s">
        <v>2176</v>
      </c>
      <c r="U96" s="1" t="s">
        <v>2177</v>
      </c>
      <c r="V96" s="1">
        <v>9448341389</v>
      </c>
      <c r="W96" s="1" t="s">
        <v>273</v>
      </c>
      <c r="X96" s="1" t="s">
        <v>2178</v>
      </c>
      <c r="Y96" s="1" t="s">
        <v>2179</v>
      </c>
      <c r="Z96" s="1" t="s">
        <v>1084</v>
      </c>
      <c r="AA96" s="1" t="s">
        <v>2180</v>
      </c>
      <c r="AB96" s="1" t="s">
        <v>2179</v>
      </c>
      <c r="AC96" s="1" t="s">
        <v>1084</v>
      </c>
      <c r="AD96" s="1">
        <v>8.96</v>
      </c>
      <c r="AE96" s="1" t="s">
        <v>93</v>
      </c>
      <c r="AF96" s="1" t="s">
        <v>2181</v>
      </c>
      <c r="AG96" s="1" t="s">
        <v>2182</v>
      </c>
      <c r="AH96" s="1" t="s">
        <v>162</v>
      </c>
      <c r="AI96" s="1" t="s">
        <v>165</v>
      </c>
      <c r="AJ96" s="1">
        <v>95</v>
      </c>
      <c r="AK96" s="1">
        <v>10</v>
      </c>
      <c r="AL96" s="1" t="s">
        <v>2183</v>
      </c>
      <c r="AM96" s="1" t="s">
        <v>2056</v>
      </c>
      <c r="AN96" s="1" t="s">
        <v>101</v>
      </c>
      <c r="AO96" s="1" t="s">
        <v>1065</v>
      </c>
      <c r="AP96" s="1">
        <v>89.66</v>
      </c>
      <c r="AQ96" s="1">
        <v>0</v>
      </c>
      <c r="AR96" s="1"/>
      <c r="AS96" s="1"/>
      <c r="AT96" s="1"/>
      <c r="AU96" s="1"/>
      <c r="AV96" s="1"/>
      <c r="AW96" s="1"/>
      <c r="AX96" s="1" t="s">
        <v>2184</v>
      </c>
      <c r="AY96" s="1" t="s">
        <v>2185</v>
      </c>
      <c r="AZ96" s="1" t="s">
        <v>201</v>
      </c>
      <c r="BA96" s="1" t="s">
        <v>386</v>
      </c>
      <c r="BB96" s="1">
        <v>72.7</v>
      </c>
      <c r="BC96" s="1">
        <v>8.02</v>
      </c>
      <c r="BD96" s="1"/>
      <c r="BE96" s="1"/>
      <c r="BF96" s="1"/>
      <c r="BG96" s="1"/>
      <c r="BH96" s="1"/>
      <c r="BI96" s="1"/>
      <c r="BJ96" s="1" t="s">
        <v>364</v>
      </c>
      <c r="BK96" s="1" t="s">
        <v>2186</v>
      </c>
      <c r="BL96" s="1" t="s">
        <v>2187</v>
      </c>
      <c r="BM96" s="1" t="s">
        <v>2188</v>
      </c>
      <c r="BN96" s="1">
        <v>13</v>
      </c>
      <c r="BO96" s="1"/>
      <c r="BP96" s="1" t="str">
        <f>HYPERLINK("https://nconnect.nicmar.ac.in/storage/profile/ProfilePhoto_P25700027_837251.jpg","Download")</f>
        <v>0</v>
      </c>
      <c r="BQ96" s="3"/>
      <c r="BR96" s="3"/>
    </row>
    <row r="97" spans="1:70">
      <c r="A97" s="1" t="s">
        <v>70</v>
      </c>
      <c r="B97" s="1" t="s">
        <v>1269</v>
      </c>
      <c r="C97" s="1" t="s">
        <v>2189</v>
      </c>
      <c r="D97" s="1" t="s">
        <v>2190</v>
      </c>
      <c r="E97" s="1" t="s">
        <v>2191</v>
      </c>
      <c r="F97" s="1" t="s">
        <v>2192</v>
      </c>
      <c r="G97" s="1" t="s">
        <v>2193</v>
      </c>
      <c r="H97" s="1" t="s">
        <v>2194</v>
      </c>
      <c r="I97" s="1" t="s">
        <v>2195</v>
      </c>
      <c r="J97" s="1">
        <v>9447191968</v>
      </c>
      <c r="K97" s="1" t="s">
        <v>79</v>
      </c>
      <c r="L97" s="1" t="s">
        <v>296</v>
      </c>
      <c r="M97" s="1" t="s">
        <v>81</v>
      </c>
      <c r="N97" s="1" t="s">
        <v>1395</v>
      </c>
      <c r="O97" s="1"/>
      <c r="P97" s="1" t="s">
        <v>1298</v>
      </c>
      <c r="Q97" s="1" t="s">
        <v>2196</v>
      </c>
      <c r="R97" s="1" t="s">
        <v>2197</v>
      </c>
      <c r="S97" s="1">
        <v>9446102694</v>
      </c>
      <c r="T97" s="1" t="s">
        <v>2198</v>
      </c>
      <c r="U97" s="1" t="s">
        <v>2199</v>
      </c>
      <c r="V97" s="1">
        <v>9446749400</v>
      </c>
      <c r="W97" s="1" t="s">
        <v>122</v>
      </c>
      <c r="X97" s="1" t="s">
        <v>2200</v>
      </c>
      <c r="Y97" s="1" t="s">
        <v>1491</v>
      </c>
      <c r="Z97" s="1" t="s">
        <v>125</v>
      </c>
      <c r="AA97" s="1" t="s">
        <v>2200</v>
      </c>
      <c r="AB97" s="1" t="s">
        <v>1491</v>
      </c>
      <c r="AC97" s="1" t="s">
        <v>125</v>
      </c>
      <c r="AD97" s="1">
        <v>8.62</v>
      </c>
      <c r="AE97" s="1" t="s">
        <v>93</v>
      </c>
      <c r="AF97" s="1" t="s">
        <v>2201</v>
      </c>
      <c r="AG97" s="1" t="s">
        <v>2202</v>
      </c>
      <c r="AH97" s="1" t="s">
        <v>161</v>
      </c>
      <c r="AI97" s="1" t="s">
        <v>527</v>
      </c>
      <c r="AJ97" s="1">
        <v>95</v>
      </c>
      <c r="AK97" s="1">
        <v>10</v>
      </c>
      <c r="AL97" s="1" t="s">
        <v>2201</v>
      </c>
      <c r="AM97" s="1" t="s">
        <v>2202</v>
      </c>
      <c r="AN97" s="1" t="s">
        <v>165</v>
      </c>
      <c r="AO97" s="1" t="s">
        <v>166</v>
      </c>
      <c r="AP97" s="1">
        <v>90.4</v>
      </c>
      <c r="AQ97" s="1">
        <v>0</v>
      </c>
      <c r="AR97" s="1"/>
      <c r="AS97" s="1"/>
      <c r="AT97" s="1"/>
      <c r="AU97" s="1"/>
      <c r="AV97" s="1"/>
      <c r="AW97" s="1"/>
      <c r="AX97" s="1" t="s">
        <v>132</v>
      </c>
      <c r="AY97" s="1" t="s">
        <v>2203</v>
      </c>
      <c r="AZ97" s="1" t="s">
        <v>636</v>
      </c>
      <c r="BA97" s="1" t="s">
        <v>702</v>
      </c>
      <c r="BB97" s="1">
        <v>65.4</v>
      </c>
      <c r="BC97" s="1">
        <v>6.54</v>
      </c>
      <c r="BD97" s="1"/>
      <c r="BE97" s="1"/>
      <c r="BF97" s="1"/>
      <c r="BG97" s="1"/>
      <c r="BH97" s="1"/>
      <c r="BI97" s="1"/>
      <c r="BJ97" s="1" t="s">
        <v>2204</v>
      </c>
      <c r="BK97" s="1" t="s">
        <v>2205</v>
      </c>
      <c r="BL97" s="1" t="s">
        <v>1561</v>
      </c>
      <c r="BM97" s="1" t="s">
        <v>2206</v>
      </c>
      <c r="BN97" s="1">
        <v>8</v>
      </c>
      <c r="BO97" s="1" t="s">
        <v>2207</v>
      </c>
      <c r="BP97" s="1" t="str">
        <f>HYPERLINK("https://nconnect.nicmar.ac.in/storage/profile/ProfilePhoto_P25700029_659732.jpg","Download")</f>
        <v>0</v>
      </c>
      <c r="BQ97" s="3"/>
      <c r="BR97" s="3"/>
    </row>
    <row r="98" spans="1:70">
      <c r="A98" s="1" t="s">
        <v>70</v>
      </c>
      <c r="B98" s="1" t="s">
        <v>1269</v>
      </c>
      <c r="C98" s="1" t="s">
        <v>2208</v>
      </c>
      <c r="D98" s="1" t="s">
        <v>2209</v>
      </c>
      <c r="E98" s="1"/>
      <c r="F98" s="1" t="s">
        <v>2210</v>
      </c>
      <c r="G98" s="1" t="s">
        <v>2211</v>
      </c>
      <c r="H98" s="1" t="s">
        <v>2212</v>
      </c>
      <c r="I98" s="1" t="s">
        <v>2213</v>
      </c>
      <c r="J98" s="1">
        <v>9680573729</v>
      </c>
      <c r="K98" s="1" t="s">
        <v>79</v>
      </c>
      <c r="L98" s="1" t="s">
        <v>2214</v>
      </c>
      <c r="M98" s="1" t="s">
        <v>81</v>
      </c>
      <c r="N98" s="1" t="s">
        <v>2215</v>
      </c>
      <c r="O98" s="1"/>
      <c r="P98" s="1" t="s">
        <v>1766</v>
      </c>
      <c r="Q98" s="1" t="s">
        <v>2216</v>
      </c>
      <c r="R98" s="1" t="s">
        <v>2217</v>
      </c>
      <c r="S98" s="1">
        <v>9815744370</v>
      </c>
      <c r="T98" s="1" t="s">
        <v>842</v>
      </c>
      <c r="U98" s="1" t="s">
        <v>2218</v>
      </c>
      <c r="V98" s="1">
        <v>8288071500</v>
      </c>
      <c r="W98" s="1" t="s">
        <v>273</v>
      </c>
      <c r="X98" s="1" t="s">
        <v>2219</v>
      </c>
      <c r="Y98" s="1" t="s">
        <v>2220</v>
      </c>
      <c r="Z98" s="1" t="s">
        <v>1829</v>
      </c>
      <c r="AA98" s="1" t="s">
        <v>2219</v>
      </c>
      <c r="AB98" s="1" t="s">
        <v>2220</v>
      </c>
      <c r="AC98" s="1" t="s">
        <v>1829</v>
      </c>
      <c r="AD98" s="1">
        <v>8.07</v>
      </c>
      <c r="AE98" s="1" t="s">
        <v>93</v>
      </c>
      <c r="AF98" s="1" t="s">
        <v>2221</v>
      </c>
      <c r="AG98" s="1" t="s">
        <v>2222</v>
      </c>
      <c r="AH98" s="1" t="s">
        <v>2223</v>
      </c>
      <c r="AI98" s="1" t="s">
        <v>162</v>
      </c>
      <c r="AJ98" s="1">
        <v>80.33</v>
      </c>
      <c r="AK98" s="1">
        <v>0</v>
      </c>
      <c r="AL98" s="1" t="s">
        <v>2224</v>
      </c>
      <c r="AM98" s="1" t="s">
        <v>2225</v>
      </c>
      <c r="AN98" s="1" t="s">
        <v>733</v>
      </c>
      <c r="AO98" s="1" t="s">
        <v>166</v>
      </c>
      <c r="AP98" s="1">
        <v>75.4</v>
      </c>
      <c r="AQ98" s="1">
        <v>0</v>
      </c>
      <c r="AR98" s="1" t="s">
        <v>2226</v>
      </c>
      <c r="AS98" s="1" t="s">
        <v>2222</v>
      </c>
      <c r="AT98" s="1" t="s">
        <v>173</v>
      </c>
      <c r="AU98" s="1" t="s">
        <v>284</v>
      </c>
      <c r="AV98" s="1">
        <v>84</v>
      </c>
      <c r="AW98" s="1"/>
      <c r="AX98" s="1" t="s">
        <v>2227</v>
      </c>
      <c r="AY98" s="1" t="s">
        <v>2228</v>
      </c>
      <c r="AZ98" s="1" t="s">
        <v>481</v>
      </c>
      <c r="BA98" s="1" t="s">
        <v>1584</v>
      </c>
      <c r="BB98" s="1">
        <v>0</v>
      </c>
      <c r="BC98" s="1">
        <v>7.72</v>
      </c>
      <c r="BD98" s="1"/>
      <c r="BE98" s="1"/>
      <c r="BF98" s="1"/>
      <c r="BG98" s="1"/>
      <c r="BH98" s="1"/>
      <c r="BI98" s="1"/>
      <c r="BJ98" s="1" t="s">
        <v>364</v>
      </c>
      <c r="BK98" s="1"/>
      <c r="BL98" s="1"/>
      <c r="BM98" s="1" t="s">
        <v>2229</v>
      </c>
      <c r="BN98" s="1">
        <v>34</v>
      </c>
      <c r="BO98" s="1"/>
      <c r="BP98" s="1" t="str">
        <f>HYPERLINK("https://nconnect.nicmar.ac.in/storage/profile/ProfilePhoto_P25700030_527831.jpg","Download")</f>
        <v>0</v>
      </c>
      <c r="BQ98" s="3"/>
      <c r="BR98" s="3"/>
    </row>
    <row r="99" spans="1:70">
      <c r="A99" s="1" t="s">
        <v>70</v>
      </c>
      <c r="B99" s="1" t="s">
        <v>1269</v>
      </c>
      <c r="C99" s="1" t="s">
        <v>2230</v>
      </c>
      <c r="D99" s="1" t="s">
        <v>2231</v>
      </c>
      <c r="E99" s="1" t="s">
        <v>262</v>
      </c>
      <c r="F99" s="1" t="s">
        <v>2232</v>
      </c>
      <c r="G99" s="1" t="s">
        <v>2233</v>
      </c>
      <c r="H99" s="1" t="s">
        <v>2234</v>
      </c>
      <c r="I99" s="1" t="s">
        <v>2235</v>
      </c>
      <c r="J99" s="1">
        <v>9949077030</v>
      </c>
      <c r="K99" s="1" t="s">
        <v>79</v>
      </c>
      <c r="L99" s="1" t="s">
        <v>2236</v>
      </c>
      <c r="M99" s="1" t="s">
        <v>81</v>
      </c>
      <c r="N99" s="1" t="s">
        <v>2237</v>
      </c>
      <c r="O99" s="1"/>
      <c r="P99" s="1" t="s">
        <v>1278</v>
      </c>
      <c r="Q99" s="1" t="s">
        <v>2238</v>
      </c>
      <c r="R99" s="1" t="s">
        <v>2239</v>
      </c>
      <c r="S99" s="1">
        <v>8500236810</v>
      </c>
      <c r="T99" s="1" t="s">
        <v>2240</v>
      </c>
      <c r="U99" s="1" t="s">
        <v>2241</v>
      </c>
      <c r="V99" s="1">
        <v>9293926810</v>
      </c>
      <c r="W99" s="1" t="s">
        <v>156</v>
      </c>
      <c r="X99" s="1" t="s">
        <v>2242</v>
      </c>
      <c r="Y99" s="1" t="s">
        <v>2243</v>
      </c>
      <c r="Z99" s="1" t="s">
        <v>276</v>
      </c>
      <c r="AA99" s="1" t="s">
        <v>2242</v>
      </c>
      <c r="AB99" s="1" t="s">
        <v>2243</v>
      </c>
      <c r="AC99" s="1" t="s">
        <v>276</v>
      </c>
      <c r="AD99" s="1">
        <v>8.38</v>
      </c>
      <c r="AE99" s="1" t="s">
        <v>93</v>
      </c>
      <c r="AF99" s="1" t="s">
        <v>2244</v>
      </c>
      <c r="AG99" s="1" t="s">
        <v>2245</v>
      </c>
      <c r="AH99" s="1" t="s">
        <v>101</v>
      </c>
      <c r="AI99" s="1" t="s">
        <v>409</v>
      </c>
      <c r="AJ99" s="1">
        <v>100</v>
      </c>
      <c r="AK99" s="1">
        <v>10</v>
      </c>
      <c r="AL99" s="1" t="s">
        <v>2246</v>
      </c>
      <c r="AM99" s="1" t="s">
        <v>2247</v>
      </c>
      <c r="AN99" s="1" t="s">
        <v>433</v>
      </c>
      <c r="AO99" s="1" t="s">
        <v>504</v>
      </c>
      <c r="AP99" s="1">
        <v>92.6</v>
      </c>
      <c r="AQ99" s="1">
        <v>0</v>
      </c>
      <c r="AR99" s="1"/>
      <c r="AS99" s="1"/>
      <c r="AT99" s="1"/>
      <c r="AU99" s="1"/>
      <c r="AV99" s="1"/>
      <c r="AW99" s="1"/>
      <c r="AX99" s="1" t="s">
        <v>282</v>
      </c>
      <c r="AY99" s="1" t="s">
        <v>2248</v>
      </c>
      <c r="AZ99" s="1" t="s">
        <v>1131</v>
      </c>
      <c r="BA99" s="1" t="s">
        <v>1408</v>
      </c>
      <c r="BB99" s="1">
        <v>70.5</v>
      </c>
      <c r="BC99" s="1">
        <v>7.8</v>
      </c>
      <c r="BD99" s="1"/>
      <c r="BE99" s="1"/>
      <c r="BF99" s="1"/>
      <c r="BG99" s="1"/>
      <c r="BH99" s="1"/>
      <c r="BI99" s="1"/>
      <c r="BJ99" s="1" t="s">
        <v>2249</v>
      </c>
      <c r="BK99" s="1"/>
      <c r="BL99" s="1"/>
      <c r="BM99" s="1" t="s">
        <v>2250</v>
      </c>
      <c r="BN99" s="1">
        <v>39</v>
      </c>
      <c r="BO99" s="1"/>
      <c r="BP99" s="1" t="str">
        <f>HYPERLINK("https://nconnect.nicmar.ac.in/storage/profile/ProfilePhoto_P25700032_169785.jpg","Download")</f>
        <v>0</v>
      </c>
      <c r="BQ99" s="3"/>
      <c r="BR99" s="3"/>
    </row>
    <row r="100" spans="1:70">
      <c r="A100" s="1" t="s">
        <v>70</v>
      </c>
      <c r="B100" s="1" t="s">
        <v>1269</v>
      </c>
      <c r="C100" s="1" t="s">
        <v>2251</v>
      </c>
      <c r="D100" s="1" t="s">
        <v>2252</v>
      </c>
      <c r="E100" s="1" t="s">
        <v>596</v>
      </c>
      <c r="F100" s="1" t="s">
        <v>2253</v>
      </c>
      <c r="G100" s="1" t="s">
        <v>2254</v>
      </c>
      <c r="H100" s="1" t="s">
        <v>2255</v>
      </c>
      <c r="I100" s="1" t="s">
        <v>2256</v>
      </c>
      <c r="J100" s="1">
        <v>7093268002</v>
      </c>
      <c r="K100" s="1" t="s">
        <v>79</v>
      </c>
      <c r="L100" s="1" t="s">
        <v>2257</v>
      </c>
      <c r="M100" s="1" t="s">
        <v>81</v>
      </c>
      <c r="N100" s="1" t="s">
        <v>2258</v>
      </c>
      <c r="O100" s="1"/>
      <c r="P100" s="1" t="s">
        <v>1278</v>
      </c>
      <c r="Q100" s="1" t="s">
        <v>2259</v>
      </c>
      <c r="R100" s="1" t="s">
        <v>2260</v>
      </c>
      <c r="S100" s="1">
        <v>8247872975</v>
      </c>
      <c r="T100" s="1" t="s">
        <v>122</v>
      </c>
      <c r="U100" s="1" t="s">
        <v>2261</v>
      </c>
      <c r="V100" s="1">
        <v>7093268802</v>
      </c>
      <c r="W100" s="1" t="s">
        <v>273</v>
      </c>
      <c r="X100" s="1" t="s">
        <v>2262</v>
      </c>
      <c r="Y100" s="1" t="s">
        <v>2263</v>
      </c>
      <c r="Z100" s="1" t="s">
        <v>276</v>
      </c>
      <c r="AA100" s="1" t="s">
        <v>2262</v>
      </c>
      <c r="AB100" s="1" t="s">
        <v>2263</v>
      </c>
      <c r="AC100" s="1" t="s">
        <v>276</v>
      </c>
      <c r="AD100" s="1">
        <v>6.94</v>
      </c>
      <c r="AE100" s="1" t="s">
        <v>93</v>
      </c>
      <c r="AF100" s="1" t="s">
        <v>2264</v>
      </c>
      <c r="AG100" s="1" t="s">
        <v>2265</v>
      </c>
      <c r="AH100" s="1" t="s">
        <v>1307</v>
      </c>
      <c r="AI100" s="1" t="s">
        <v>409</v>
      </c>
      <c r="AJ100" s="1">
        <v>83</v>
      </c>
      <c r="AK100" s="1"/>
      <c r="AL100" s="1" t="s">
        <v>2266</v>
      </c>
      <c r="AM100" s="1" t="s">
        <v>2265</v>
      </c>
      <c r="AN100" s="1" t="s">
        <v>433</v>
      </c>
      <c r="AO100" s="1" t="s">
        <v>506</v>
      </c>
      <c r="AP100" s="1">
        <v>68.9</v>
      </c>
      <c r="AQ100" s="1"/>
      <c r="AR100" s="1"/>
      <c r="AS100" s="1"/>
      <c r="AT100" s="1"/>
      <c r="AU100" s="1"/>
      <c r="AV100" s="1"/>
      <c r="AW100" s="1"/>
      <c r="AX100" s="1" t="s">
        <v>2267</v>
      </c>
      <c r="AY100" s="1" t="s">
        <v>2268</v>
      </c>
      <c r="AZ100" s="1" t="s">
        <v>135</v>
      </c>
      <c r="BA100" s="1" t="s">
        <v>1361</v>
      </c>
      <c r="BB100" s="1">
        <v>60.13</v>
      </c>
      <c r="BC100" s="1">
        <v>6.33</v>
      </c>
      <c r="BD100" s="1"/>
      <c r="BE100" s="1"/>
      <c r="BF100" s="1"/>
      <c r="BG100" s="1"/>
      <c r="BH100" s="1"/>
      <c r="BI100" s="1"/>
      <c r="BJ100" s="1" t="s">
        <v>1383</v>
      </c>
      <c r="BK100" s="1"/>
      <c r="BL100" s="1"/>
      <c r="BM100" s="1" t="s">
        <v>2269</v>
      </c>
      <c r="BN100" s="1">
        <v>13</v>
      </c>
      <c r="BO100" s="1"/>
      <c r="BP100" s="1" t="str">
        <f>HYPERLINK("https://nconnect.nicmar.ac.in/storage/profile/ProfilePhoto_P25700033_798215.jpg","Download")</f>
        <v>0</v>
      </c>
      <c r="BQ100" s="3"/>
      <c r="BR100" s="3"/>
    </row>
    <row r="101" spans="1:70">
      <c r="A101" s="1" t="s">
        <v>70</v>
      </c>
      <c r="B101" s="1" t="s">
        <v>1269</v>
      </c>
      <c r="C101" s="1" t="s">
        <v>2270</v>
      </c>
      <c r="D101" s="1" t="s">
        <v>2271</v>
      </c>
      <c r="E101" s="1"/>
      <c r="F101" s="1" t="s">
        <v>2272</v>
      </c>
      <c r="G101" s="1" t="s">
        <v>2273</v>
      </c>
      <c r="H101" s="1" t="s">
        <v>2274</v>
      </c>
      <c r="I101" s="1" t="s">
        <v>2274</v>
      </c>
      <c r="J101" s="1">
        <v>8096844639</v>
      </c>
      <c r="K101" s="1" t="s">
        <v>79</v>
      </c>
      <c r="L101" s="1" t="s">
        <v>2275</v>
      </c>
      <c r="M101" s="1" t="s">
        <v>81</v>
      </c>
      <c r="N101" s="1" t="s">
        <v>2276</v>
      </c>
      <c r="O101" s="1"/>
      <c r="P101" s="1" t="s">
        <v>1278</v>
      </c>
      <c r="Q101" s="1" t="s">
        <v>2277</v>
      </c>
      <c r="R101" s="1" t="s">
        <v>2278</v>
      </c>
      <c r="S101" s="1">
        <v>7093092339</v>
      </c>
      <c r="T101" s="1" t="s">
        <v>154</v>
      </c>
      <c r="U101" s="1" t="s">
        <v>2279</v>
      </c>
      <c r="V101" s="1">
        <v>9133224388</v>
      </c>
      <c r="W101" s="1" t="s">
        <v>273</v>
      </c>
      <c r="X101" s="1" t="s">
        <v>2280</v>
      </c>
      <c r="Y101" s="1" t="s">
        <v>1150</v>
      </c>
      <c r="Z101" s="1" t="s">
        <v>276</v>
      </c>
      <c r="AA101" s="1" t="s">
        <v>2280</v>
      </c>
      <c r="AB101" s="1" t="s">
        <v>1150</v>
      </c>
      <c r="AC101" s="1" t="s">
        <v>276</v>
      </c>
      <c r="AD101" s="1">
        <v>7.95</v>
      </c>
      <c r="AE101" s="1" t="s">
        <v>93</v>
      </c>
      <c r="AF101" s="1" t="s">
        <v>2281</v>
      </c>
      <c r="AG101" s="1" t="s">
        <v>2282</v>
      </c>
      <c r="AH101" s="1" t="s">
        <v>1242</v>
      </c>
      <c r="AI101" s="1" t="s">
        <v>308</v>
      </c>
      <c r="AJ101" s="1">
        <v>81.8</v>
      </c>
      <c r="AK101" s="1"/>
      <c r="AL101" s="1" t="s">
        <v>2283</v>
      </c>
      <c r="AM101" s="1" t="s">
        <v>2284</v>
      </c>
      <c r="AN101" s="1" t="s">
        <v>433</v>
      </c>
      <c r="AO101" s="1" t="s">
        <v>506</v>
      </c>
      <c r="AP101" s="1">
        <v>81.9</v>
      </c>
      <c r="AQ101" s="1"/>
      <c r="AR101" s="1"/>
      <c r="AS101" s="1"/>
      <c r="AT101" s="1"/>
      <c r="AU101" s="1"/>
      <c r="AV101" s="1"/>
      <c r="AW101" s="1"/>
      <c r="AX101" s="1" t="s">
        <v>2267</v>
      </c>
      <c r="AY101" s="1" t="s">
        <v>2268</v>
      </c>
      <c r="AZ101" s="1" t="s">
        <v>135</v>
      </c>
      <c r="BA101" s="1" t="s">
        <v>1361</v>
      </c>
      <c r="BB101" s="1">
        <v>68.78</v>
      </c>
      <c r="BC101" s="1"/>
      <c r="BD101" s="1"/>
      <c r="BE101" s="1"/>
      <c r="BF101" s="1"/>
      <c r="BG101" s="1"/>
      <c r="BH101" s="1"/>
      <c r="BI101" s="1"/>
      <c r="BJ101" s="1" t="s">
        <v>2285</v>
      </c>
      <c r="BK101" s="1"/>
      <c r="BL101" s="1"/>
      <c r="BM101" s="1" t="s">
        <v>2286</v>
      </c>
      <c r="BN101" s="1">
        <v>13</v>
      </c>
      <c r="BO101" s="1"/>
      <c r="BP101" s="1" t="str">
        <f>HYPERLINK("https://nconnect.nicmar.ac.in/storage/profile/ProfilePhoto_P25700034_597426.jpg","Download")</f>
        <v>0</v>
      </c>
      <c r="BQ101" s="3"/>
      <c r="BR101" s="3"/>
    </row>
    <row r="102" spans="1:70">
      <c r="A102" s="1" t="s">
        <v>70</v>
      </c>
      <c r="B102" s="1" t="s">
        <v>1269</v>
      </c>
      <c r="C102" s="1" t="s">
        <v>2287</v>
      </c>
      <c r="D102" s="1" t="s">
        <v>2288</v>
      </c>
      <c r="E102" s="1" t="s">
        <v>2289</v>
      </c>
      <c r="F102" s="1" t="s">
        <v>2290</v>
      </c>
      <c r="G102" s="1" t="s">
        <v>2291</v>
      </c>
      <c r="H102" s="1" t="s">
        <v>2292</v>
      </c>
      <c r="I102" s="1" t="s">
        <v>2293</v>
      </c>
      <c r="J102" s="1">
        <v>8830930460</v>
      </c>
      <c r="K102" s="1" t="s">
        <v>148</v>
      </c>
      <c r="L102" s="1" t="s">
        <v>2294</v>
      </c>
      <c r="M102" s="1" t="s">
        <v>81</v>
      </c>
      <c r="N102" s="1" t="s">
        <v>2295</v>
      </c>
      <c r="O102" s="1"/>
      <c r="P102" s="1" t="s">
        <v>1278</v>
      </c>
      <c r="Q102" s="1" t="s">
        <v>2296</v>
      </c>
      <c r="R102" s="1" t="s">
        <v>2297</v>
      </c>
      <c r="S102" s="1">
        <v>9890128044</v>
      </c>
      <c r="T102" s="1" t="s">
        <v>120</v>
      </c>
      <c r="U102" s="1" t="s">
        <v>2298</v>
      </c>
      <c r="V102" s="1">
        <v>9673177796</v>
      </c>
      <c r="W102" s="1" t="s">
        <v>156</v>
      </c>
      <c r="X102" s="1" t="s">
        <v>2299</v>
      </c>
      <c r="Y102" s="1" t="s">
        <v>405</v>
      </c>
      <c r="Z102" s="1" t="s">
        <v>92</v>
      </c>
      <c r="AA102" s="1" t="s">
        <v>2299</v>
      </c>
      <c r="AB102" s="1" t="s">
        <v>405</v>
      </c>
      <c r="AC102" s="1" t="s">
        <v>92</v>
      </c>
      <c r="AD102" s="1">
        <v>7.99</v>
      </c>
      <c r="AE102" s="1" t="s">
        <v>93</v>
      </c>
      <c r="AF102" s="1" t="s">
        <v>2300</v>
      </c>
      <c r="AG102" s="1" t="s">
        <v>160</v>
      </c>
      <c r="AH102" s="1" t="s">
        <v>161</v>
      </c>
      <c r="AI102" s="1" t="s">
        <v>456</v>
      </c>
      <c r="AJ102" s="1">
        <v>89.2</v>
      </c>
      <c r="AK102" s="1"/>
      <c r="AL102" s="1" t="s">
        <v>2301</v>
      </c>
      <c r="AM102" s="1" t="s">
        <v>160</v>
      </c>
      <c r="AN102" s="1" t="s">
        <v>165</v>
      </c>
      <c r="AO102" s="1" t="s">
        <v>457</v>
      </c>
      <c r="AP102" s="1">
        <v>74.62</v>
      </c>
      <c r="AQ102" s="1"/>
      <c r="AR102" s="1"/>
      <c r="AS102" s="1"/>
      <c r="AT102" s="1"/>
      <c r="AU102" s="1"/>
      <c r="AV102" s="1"/>
      <c r="AW102" s="1"/>
      <c r="AX102" s="1" t="s">
        <v>410</v>
      </c>
      <c r="AY102" s="1" t="s">
        <v>2302</v>
      </c>
      <c r="AZ102" s="1" t="s">
        <v>636</v>
      </c>
      <c r="BA102" s="1" t="s">
        <v>229</v>
      </c>
      <c r="BB102" s="1">
        <v>74.2</v>
      </c>
      <c r="BC102" s="1">
        <v>8.17</v>
      </c>
      <c r="BD102" s="1"/>
      <c r="BE102" s="1"/>
      <c r="BF102" s="1"/>
      <c r="BG102" s="1"/>
      <c r="BH102" s="1"/>
      <c r="BI102" s="1"/>
      <c r="BJ102" s="1" t="s">
        <v>2303</v>
      </c>
      <c r="BK102" s="1" t="s">
        <v>2304</v>
      </c>
      <c r="BL102" s="1" t="s">
        <v>2305</v>
      </c>
      <c r="BM102" s="1" t="s">
        <v>2306</v>
      </c>
      <c r="BN102" s="1">
        <v>42</v>
      </c>
      <c r="BO102" s="1"/>
      <c r="BP102" s="1" t="str">
        <f>HYPERLINK("https://nconnect.nicmar.ac.in/storage/profile/ProfilePhoto_P25700035_724139.jpg","Download")</f>
        <v>0</v>
      </c>
      <c r="BQ102" s="3"/>
      <c r="BR102" s="3"/>
    </row>
    <row r="103" spans="1:70">
      <c r="A103" s="1" t="s">
        <v>70</v>
      </c>
      <c r="B103" s="1" t="s">
        <v>1269</v>
      </c>
      <c r="C103" s="1" t="s">
        <v>2307</v>
      </c>
      <c r="D103" s="1" t="s">
        <v>2308</v>
      </c>
      <c r="E103" s="1" t="s">
        <v>2309</v>
      </c>
      <c r="F103" s="1" t="s">
        <v>2310</v>
      </c>
      <c r="G103" s="1" t="s">
        <v>2311</v>
      </c>
      <c r="H103" s="1" t="s">
        <v>2312</v>
      </c>
      <c r="I103" s="1" t="s">
        <v>2313</v>
      </c>
      <c r="J103" s="1">
        <v>9443459000</v>
      </c>
      <c r="K103" s="1" t="s">
        <v>148</v>
      </c>
      <c r="L103" s="1" t="s">
        <v>2314</v>
      </c>
      <c r="M103" s="1" t="s">
        <v>81</v>
      </c>
      <c r="N103" s="1" t="s">
        <v>2315</v>
      </c>
      <c r="O103" s="1"/>
      <c r="P103" s="1" t="s">
        <v>1323</v>
      </c>
      <c r="Q103" s="1" t="s">
        <v>2316</v>
      </c>
      <c r="R103" s="1" t="s">
        <v>2317</v>
      </c>
      <c r="S103" s="1">
        <v>9840608107</v>
      </c>
      <c r="T103" s="1" t="s">
        <v>863</v>
      </c>
      <c r="U103" s="1" t="s">
        <v>2318</v>
      </c>
      <c r="V103" s="1">
        <v>9944222210</v>
      </c>
      <c r="W103" s="1" t="s">
        <v>89</v>
      </c>
      <c r="X103" s="1" t="s">
        <v>2319</v>
      </c>
      <c r="Y103" s="1" t="s">
        <v>2320</v>
      </c>
      <c r="Z103" s="1" t="s">
        <v>1377</v>
      </c>
      <c r="AA103" s="1" t="s">
        <v>2319</v>
      </c>
      <c r="AB103" s="1" t="s">
        <v>2320</v>
      </c>
      <c r="AC103" s="1" t="s">
        <v>1377</v>
      </c>
      <c r="AD103" s="1">
        <v>8.43</v>
      </c>
      <c r="AE103" s="1" t="s">
        <v>93</v>
      </c>
      <c r="AF103" s="1" t="s">
        <v>2321</v>
      </c>
      <c r="AG103" s="1" t="s">
        <v>2321</v>
      </c>
      <c r="AH103" s="1" t="s">
        <v>101</v>
      </c>
      <c r="AI103" s="1" t="s">
        <v>409</v>
      </c>
      <c r="AJ103" s="1">
        <v>79.2</v>
      </c>
      <c r="AK103" s="1"/>
      <c r="AL103" s="1" t="s">
        <v>2321</v>
      </c>
      <c r="AM103" s="1" t="s">
        <v>2321</v>
      </c>
      <c r="AN103" s="1" t="s">
        <v>173</v>
      </c>
      <c r="AO103" s="1" t="s">
        <v>504</v>
      </c>
      <c r="AP103" s="1">
        <v>84.83</v>
      </c>
      <c r="AQ103" s="1"/>
      <c r="AR103" s="1"/>
      <c r="AS103" s="1"/>
      <c r="AT103" s="1"/>
      <c r="AU103" s="1"/>
      <c r="AV103" s="1"/>
      <c r="AW103" s="1"/>
      <c r="AX103" s="1" t="s">
        <v>1381</v>
      </c>
      <c r="AY103" s="1" t="s">
        <v>2322</v>
      </c>
      <c r="AZ103" s="1" t="s">
        <v>1407</v>
      </c>
      <c r="BA103" s="1" t="s">
        <v>1361</v>
      </c>
      <c r="BB103" s="1">
        <v>75.1</v>
      </c>
      <c r="BC103" s="1"/>
      <c r="BD103" s="1"/>
      <c r="BE103" s="1"/>
      <c r="BF103" s="1"/>
      <c r="BG103" s="1"/>
      <c r="BH103" s="1"/>
      <c r="BI103" s="1"/>
      <c r="BJ103" s="1" t="s">
        <v>2323</v>
      </c>
      <c r="BK103" s="1"/>
      <c r="BL103" s="1"/>
      <c r="BM103" s="1" t="s">
        <v>2324</v>
      </c>
      <c r="BN103" s="1">
        <v>4</v>
      </c>
      <c r="BO103" s="1" t="s">
        <v>2325</v>
      </c>
      <c r="BP103" s="1" t="str">
        <f>HYPERLINK("https://nconnect.nicmar.ac.in/storage/profile/ProfilePhoto_P25700036_987541.jpg","Download")</f>
        <v>0</v>
      </c>
      <c r="BQ103" s="3"/>
      <c r="BR103" s="3"/>
    </row>
    <row r="104" spans="1:70">
      <c r="A104" s="1" t="s">
        <v>70</v>
      </c>
      <c r="B104" s="1" t="s">
        <v>1269</v>
      </c>
      <c r="C104" s="1" t="s">
        <v>2326</v>
      </c>
      <c r="D104" s="1" t="s">
        <v>2327</v>
      </c>
      <c r="E104" s="1" t="s">
        <v>2328</v>
      </c>
      <c r="F104" s="1" t="s">
        <v>2329</v>
      </c>
      <c r="G104" s="1" t="s">
        <v>2330</v>
      </c>
      <c r="H104" s="1" t="s">
        <v>2331</v>
      </c>
      <c r="I104" s="1" t="s">
        <v>2332</v>
      </c>
      <c r="J104" s="1">
        <v>9325957968</v>
      </c>
      <c r="K104" s="1" t="s">
        <v>79</v>
      </c>
      <c r="L104" s="1" t="s">
        <v>2333</v>
      </c>
      <c r="M104" s="1" t="s">
        <v>81</v>
      </c>
      <c r="N104" s="1" t="s">
        <v>1765</v>
      </c>
      <c r="O104" s="1"/>
      <c r="P104" s="1" t="s">
        <v>1278</v>
      </c>
      <c r="Q104" s="1" t="s">
        <v>2334</v>
      </c>
      <c r="R104" s="1" t="s">
        <v>2328</v>
      </c>
      <c r="S104" s="1">
        <v>8767123108</v>
      </c>
      <c r="T104" s="1" t="s">
        <v>2335</v>
      </c>
      <c r="U104" s="1" t="s">
        <v>2336</v>
      </c>
      <c r="V104" s="1">
        <v>9665373615</v>
      </c>
      <c r="W104" s="1" t="s">
        <v>156</v>
      </c>
      <c r="X104" s="1" t="s">
        <v>2337</v>
      </c>
      <c r="Y104" s="1" t="s">
        <v>379</v>
      </c>
      <c r="Z104" s="1" t="s">
        <v>92</v>
      </c>
      <c r="AA104" s="1" t="s">
        <v>2337</v>
      </c>
      <c r="AB104" s="1" t="s">
        <v>379</v>
      </c>
      <c r="AC104" s="1" t="s">
        <v>92</v>
      </c>
      <c r="AD104" s="1" t="s">
        <v>93</v>
      </c>
      <c r="AE104" s="1" t="s">
        <v>93</v>
      </c>
      <c r="AF104" s="1" t="s">
        <v>2338</v>
      </c>
      <c r="AG104" s="1" t="s">
        <v>2339</v>
      </c>
      <c r="AH104" s="1" t="s">
        <v>161</v>
      </c>
      <c r="AI104" s="1" t="s">
        <v>456</v>
      </c>
      <c r="AJ104" s="1">
        <v>85.2</v>
      </c>
      <c r="AK104" s="1"/>
      <c r="AL104" s="1" t="s">
        <v>2340</v>
      </c>
      <c r="AM104" s="1" t="s">
        <v>2341</v>
      </c>
      <c r="AN104" s="1" t="s">
        <v>383</v>
      </c>
      <c r="AO104" s="1" t="s">
        <v>457</v>
      </c>
      <c r="AP104" s="1">
        <v>72.15</v>
      </c>
      <c r="AQ104" s="1"/>
      <c r="AR104" s="1"/>
      <c r="AS104" s="1"/>
      <c r="AT104" s="1"/>
      <c r="AU104" s="1"/>
      <c r="AV104" s="1"/>
      <c r="AW104" s="1"/>
      <c r="AX104" s="1" t="s">
        <v>2342</v>
      </c>
      <c r="AY104" s="1" t="s">
        <v>2343</v>
      </c>
      <c r="AZ104" s="1" t="s">
        <v>169</v>
      </c>
      <c r="BA104" s="1" t="s">
        <v>105</v>
      </c>
      <c r="BB104" s="1">
        <v>74.2</v>
      </c>
      <c r="BC104" s="1">
        <v>7.92</v>
      </c>
      <c r="BD104" s="1"/>
      <c r="BE104" s="1"/>
      <c r="BF104" s="1"/>
      <c r="BG104" s="1"/>
      <c r="BH104" s="1"/>
      <c r="BI104" s="1"/>
      <c r="BJ104" s="1" t="s">
        <v>2344</v>
      </c>
      <c r="BK104" s="1"/>
      <c r="BL104" s="1"/>
      <c r="BM104" s="1" t="s">
        <v>2345</v>
      </c>
      <c r="BN104" s="1">
        <v>34</v>
      </c>
      <c r="BO104" s="1"/>
      <c r="BP104" s="1" t="str">
        <f>HYPERLINK("https://nconnect.nicmar.ac.in/storage/profile/ProfilePhoto_P25700037_381245.jpg","Download")</f>
        <v>0</v>
      </c>
      <c r="BQ104" s="3"/>
      <c r="BR104" s="3"/>
    </row>
    <row r="105" spans="1:70">
      <c r="A105" s="1" t="s">
        <v>70</v>
      </c>
      <c r="B105" s="1" t="s">
        <v>1269</v>
      </c>
      <c r="C105" s="1" t="s">
        <v>2346</v>
      </c>
      <c r="D105" s="1" t="s">
        <v>2347</v>
      </c>
      <c r="E105" s="1" t="s">
        <v>392</v>
      </c>
      <c r="F105" s="1" t="s">
        <v>2348</v>
      </c>
      <c r="G105" s="1" t="s">
        <v>2349</v>
      </c>
      <c r="H105" s="1" t="s">
        <v>2350</v>
      </c>
      <c r="I105" s="1" t="s">
        <v>2351</v>
      </c>
      <c r="J105" s="1">
        <v>9503975050</v>
      </c>
      <c r="K105" s="1" t="s">
        <v>79</v>
      </c>
      <c r="L105" s="1" t="s">
        <v>2352</v>
      </c>
      <c r="M105" s="1" t="s">
        <v>81</v>
      </c>
      <c r="N105" s="1" t="s">
        <v>1418</v>
      </c>
      <c r="O105" s="1"/>
      <c r="P105" s="1" t="s">
        <v>1298</v>
      </c>
      <c r="Q105" s="1" t="s">
        <v>2353</v>
      </c>
      <c r="R105" s="1" t="s">
        <v>2354</v>
      </c>
      <c r="S105" s="1">
        <v>9822941138</v>
      </c>
      <c r="T105" s="1" t="s">
        <v>216</v>
      </c>
      <c r="U105" s="1" t="s">
        <v>2355</v>
      </c>
      <c r="V105" s="1">
        <v>9767223937</v>
      </c>
      <c r="W105" s="1" t="s">
        <v>216</v>
      </c>
      <c r="X105" s="1" t="s">
        <v>2356</v>
      </c>
      <c r="Y105" s="1" t="s">
        <v>405</v>
      </c>
      <c r="Z105" s="1" t="s">
        <v>92</v>
      </c>
      <c r="AA105" s="1" t="s">
        <v>2356</v>
      </c>
      <c r="AB105" s="1" t="s">
        <v>405</v>
      </c>
      <c r="AC105" s="1" t="s">
        <v>92</v>
      </c>
      <c r="AD105" s="1">
        <v>7.82</v>
      </c>
      <c r="AE105" s="1" t="s">
        <v>93</v>
      </c>
      <c r="AF105" s="1" t="s">
        <v>2357</v>
      </c>
      <c r="AG105" s="1" t="s">
        <v>2358</v>
      </c>
      <c r="AH105" s="1" t="s">
        <v>1307</v>
      </c>
      <c r="AI105" s="1" t="s">
        <v>433</v>
      </c>
      <c r="AJ105" s="1">
        <v>75.8</v>
      </c>
      <c r="AK105" s="1"/>
      <c r="AL105" s="1" t="s">
        <v>2359</v>
      </c>
      <c r="AM105" s="1" t="s">
        <v>2360</v>
      </c>
      <c r="AN105" s="1" t="s">
        <v>699</v>
      </c>
      <c r="AO105" s="1" t="s">
        <v>1712</v>
      </c>
      <c r="AP105" s="1">
        <v>90.33</v>
      </c>
      <c r="AQ105" s="1"/>
      <c r="AR105" s="1"/>
      <c r="AS105" s="1"/>
      <c r="AT105" s="1"/>
      <c r="AU105" s="1"/>
      <c r="AV105" s="1"/>
      <c r="AW105" s="1"/>
      <c r="AX105" s="1" t="s">
        <v>410</v>
      </c>
      <c r="AY105" s="1" t="s">
        <v>2361</v>
      </c>
      <c r="AZ105" s="1" t="s">
        <v>1131</v>
      </c>
      <c r="BA105" s="1" t="s">
        <v>1714</v>
      </c>
      <c r="BB105" s="1">
        <v>68.62</v>
      </c>
      <c r="BC105" s="1">
        <v>7.61</v>
      </c>
      <c r="BD105" s="1"/>
      <c r="BE105" s="1"/>
      <c r="BF105" s="1"/>
      <c r="BG105" s="1"/>
      <c r="BH105" s="1"/>
      <c r="BI105" s="1"/>
      <c r="BJ105" s="1" t="s">
        <v>2362</v>
      </c>
      <c r="BK105" s="1"/>
      <c r="BL105" s="1"/>
      <c r="BM105" s="1" t="s">
        <v>2363</v>
      </c>
      <c r="BN105" s="1">
        <v>24</v>
      </c>
      <c r="BO105" s="1"/>
      <c r="BP105" s="1" t="str">
        <f>HYPERLINK("https://nconnect.nicmar.ac.in/storage/profile/ProfilePhoto_P25700038_471395.jpg","Download")</f>
        <v>0</v>
      </c>
      <c r="BQ105" s="3"/>
      <c r="BR105" s="3"/>
    </row>
    <row r="106" spans="1:70">
      <c r="A106" s="1" t="s">
        <v>70</v>
      </c>
      <c r="B106" s="1" t="s">
        <v>1269</v>
      </c>
      <c r="C106" s="1" t="s">
        <v>2364</v>
      </c>
      <c r="D106" s="1" t="s">
        <v>2109</v>
      </c>
      <c r="E106" s="1" t="s">
        <v>2365</v>
      </c>
      <c r="F106" s="1" t="s">
        <v>2366</v>
      </c>
      <c r="G106" s="1" t="s">
        <v>2367</v>
      </c>
      <c r="H106" s="1" t="s">
        <v>2368</v>
      </c>
      <c r="I106" s="1" t="s">
        <v>2369</v>
      </c>
      <c r="J106" s="1">
        <v>9401658598</v>
      </c>
      <c r="K106" s="1" t="s">
        <v>79</v>
      </c>
      <c r="L106" s="1" t="s">
        <v>2370</v>
      </c>
      <c r="M106" s="1" t="s">
        <v>81</v>
      </c>
      <c r="N106" s="1" t="s">
        <v>2371</v>
      </c>
      <c r="O106" s="1"/>
      <c r="P106" s="1" t="s">
        <v>1278</v>
      </c>
      <c r="Q106" s="1" t="s">
        <v>2372</v>
      </c>
      <c r="R106" s="1" t="s">
        <v>2373</v>
      </c>
      <c r="S106" s="1">
        <v>9706049288</v>
      </c>
      <c r="T106" s="1" t="s">
        <v>674</v>
      </c>
      <c r="U106" s="1" t="s">
        <v>2374</v>
      </c>
      <c r="V106" s="1">
        <v>9435149288</v>
      </c>
      <c r="W106" s="1" t="s">
        <v>89</v>
      </c>
      <c r="X106" s="1" t="s">
        <v>2375</v>
      </c>
      <c r="Y106" s="1" t="s">
        <v>2376</v>
      </c>
      <c r="Z106" s="1" t="s">
        <v>2377</v>
      </c>
      <c r="AA106" s="1" t="s">
        <v>2375</v>
      </c>
      <c r="AB106" s="1" t="s">
        <v>2376</v>
      </c>
      <c r="AC106" s="1" t="s">
        <v>2377</v>
      </c>
      <c r="AD106" s="1">
        <v>8.84</v>
      </c>
      <c r="AE106" s="1" t="s">
        <v>93</v>
      </c>
      <c r="AF106" s="1" t="s">
        <v>2378</v>
      </c>
      <c r="AG106" s="1" t="s">
        <v>2379</v>
      </c>
      <c r="AH106" s="1" t="s">
        <v>1197</v>
      </c>
      <c r="AI106" s="1" t="s">
        <v>131</v>
      </c>
      <c r="AJ106" s="1">
        <v>81.7</v>
      </c>
      <c r="AK106" s="1">
        <v>8.6</v>
      </c>
      <c r="AL106" s="1" t="s">
        <v>2378</v>
      </c>
      <c r="AM106" s="1" t="s">
        <v>2379</v>
      </c>
      <c r="AN106" s="1" t="s">
        <v>527</v>
      </c>
      <c r="AO106" s="1" t="s">
        <v>479</v>
      </c>
      <c r="AP106" s="1">
        <v>83.33</v>
      </c>
      <c r="AQ106" s="1">
        <v>0</v>
      </c>
      <c r="AR106" s="1"/>
      <c r="AS106" s="1"/>
      <c r="AT106" s="1"/>
      <c r="AU106" s="1"/>
      <c r="AV106" s="1"/>
      <c r="AW106" s="1"/>
      <c r="AX106" s="1" t="s">
        <v>2380</v>
      </c>
      <c r="AY106" s="1" t="s">
        <v>2381</v>
      </c>
      <c r="AZ106" s="1" t="s">
        <v>225</v>
      </c>
      <c r="BA106" s="1" t="s">
        <v>1003</v>
      </c>
      <c r="BB106" s="1">
        <v>80.9</v>
      </c>
      <c r="BC106" s="1">
        <v>8.09</v>
      </c>
      <c r="BD106" s="1"/>
      <c r="BE106" s="1"/>
      <c r="BF106" s="1"/>
      <c r="BG106" s="1"/>
      <c r="BH106" s="1"/>
      <c r="BI106" s="1"/>
      <c r="BJ106" s="1" t="s">
        <v>2382</v>
      </c>
      <c r="BK106" s="1" t="s">
        <v>2383</v>
      </c>
      <c r="BL106" s="1" t="s">
        <v>2384</v>
      </c>
      <c r="BM106" s="1" t="s">
        <v>2385</v>
      </c>
      <c r="BN106" s="1">
        <v>34</v>
      </c>
      <c r="BO106" s="1"/>
      <c r="BP106" s="1" t="str">
        <f>HYPERLINK("https://nconnect.nicmar.ac.in/storage/profile/ProfilePhoto_P25700039_852764.jpg","Download")</f>
        <v>0</v>
      </c>
      <c r="BQ106" s="3"/>
      <c r="BR106" s="3"/>
    </row>
    <row r="107" spans="1:70">
      <c r="A107" s="1" t="s">
        <v>70</v>
      </c>
      <c r="B107" s="1" t="s">
        <v>1269</v>
      </c>
      <c r="C107" s="1" t="s">
        <v>2386</v>
      </c>
      <c r="D107" s="1" t="s">
        <v>2387</v>
      </c>
      <c r="E107" s="1"/>
      <c r="F107" s="1" t="s">
        <v>2388</v>
      </c>
      <c r="G107" s="1" t="s">
        <v>2389</v>
      </c>
      <c r="H107" s="1" t="s">
        <v>2390</v>
      </c>
      <c r="I107" s="1" t="s">
        <v>2391</v>
      </c>
      <c r="J107" s="1">
        <v>8908946303</v>
      </c>
      <c r="K107" s="1" t="s">
        <v>148</v>
      </c>
      <c r="L107" s="1" t="s">
        <v>2392</v>
      </c>
      <c r="M107" s="1" t="s">
        <v>81</v>
      </c>
      <c r="N107" s="1" t="s">
        <v>2393</v>
      </c>
      <c r="O107" s="1"/>
      <c r="P107" s="1" t="s">
        <v>1298</v>
      </c>
      <c r="Q107" s="1" t="s">
        <v>2394</v>
      </c>
      <c r="R107" s="1" t="s">
        <v>2395</v>
      </c>
      <c r="S107" s="1">
        <v>9938577168</v>
      </c>
      <c r="T107" s="1" t="s">
        <v>120</v>
      </c>
      <c r="U107" s="1" t="s">
        <v>2396</v>
      </c>
      <c r="V107" s="1">
        <v>9938139502</v>
      </c>
      <c r="W107" s="1" t="s">
        <v>2397</v>
      </c>
      <c r="X107" s="1" t="s">
        <v>2398</v>
      </c>
      <c r="Y107" s="1" t="s">
        <v>2096</v>
      </c>
      <c r="Z107" s="1" t="s">
        <v>1731</v>
      </c>
      <c r="AA107" s="1" t="s">
        <v>2398</v>
      </c>
      <c r="AB107" s="1" t="s">
        <v>2096</v>
      </c>
      <c r="AC107" s="1" t="s">
        <v>1731</v>
      </c>
      <c r="AD107" s="1">
        <v>8.63</v>
      </c>
      <c r="AE107" s="1" t="s">
        <v>93</v>
      </c>
      <c r="AF107" s="1" t="s">
        <v>2399</v>
      </c>
      <c r="AG107" s="1" t="s">
        <v>2400</v>
      </c>
      <c r="AH107" s="1" t="s">
        <v>128</v>
      </c>
      <c r="AI107" s="1" t="s">
        <v>129</v>
      </c>
      <c r="AJ107" s="1">
        <v>91.2</v>
      </c>
      <c r="AK107" s="1">
        <v>9.6</v>
      </c>
      <c r="AL107" s="1" t="s">
        <v>2401</v>
      </c>
      <c r="AM107" s="1" t="s">
        <v>2402</v>
      </c>
      <c r="AN107" s="1" t="s">
        <v>2403</v>
      </c>
      <c r="AO107" s="1" t="s">
        <v>161</v>
      </c>
      <c r="AP107" s="1">
        <v>68.33</v>
      </c>
      <c r="AQ107" s="1"/>
      <c r="AR107" s="1"/>
      <c r="AS107" s="1"/>
      <c r="AT107" s="1"/>
      <c r="AU107" s="1"/>
      <c r="AV107" s="1"/>
      <c r="AW107" s="1"/>
      <c r="AX107" s="1" t="s">
        <v>2404</v>
      </c>
      <c r="AY107" s="1" t="s">
        <v>2404</v>
      </c>
      <c r="AZ107" s="1" t="s">
        <v>225</v>
      </c>
      <c r="BA107" s="1" t="s">
        <v>481</v>
      </c>
      <c r="BB107" s="1">
        <v>62.5</v>
      </c>
      <c r="BC107" s="1">
        <v>6.75</v>
      </c>
      <c r="BD107" s="1" t="s">
        <v>2404</v>
      </c>
      <c r="BE107" s="1" t="s">
        <v>2405</v>
      </c>
      <c r="BF107" s="1" t="s">
        <v>225</v>
      </c>
      <c r="BG107" s="1" t="s">
        <v>481</v>
      </c>
      <c r="BH107" s="1">
        <v>79.8</v>
      </c>
      <c r="BI107" s="1">
        <v>8.39</v>
      </c>
      <c r="BJ107" s="1" t="s">
        <v>2406</v>
      </c>
      <c r="BK107" s="1"/>
      <c r="BL107" s="1"/>
      <c r="BM107" s="1" t="s">
        <v>2407</v>
      </c>
      <c r="BN107" s="1">
        <v>60</v>
      </c>
      <c r="BO107" s="1"/>
      <c r="BP107" s="1" t="str">
        <f>HYPERLINK("https://nconnect.nicmar.ac.in/storage/profile/ProfilePhoto_P25700041_954768.jpg","Download")</f>
        <v>0</v>
      </c>
      <c r="BQ107" s="3"/>
      <c r="BR107" s="3"/>
    </row>
    <row r="108" spans="1:70">
      <c r="A108" s="1" t="s">
        <v>70</v>
      </c>
      <c r="B108" s="1" t="s">
        <v>1269</v>
      </c>
      <c r="C108" s="1" t="s">
        <v>2408</v>
      </c>
      <c r="D108" s="1" t="s">
        <v>2409</v>
      </c>
      <c r="E108" s="1"/>
      <c r="F108" s="1" t="s">
        <v>111</v>
      </c>
      <c r="G108" s="1" t="s">
        <v>2410</v>
      </c>
      <c r="H108" s="1" t="s">
        <v>2411</v>
      </c>
      <c r="I108" s="1" t="s">
        <v>2412</v>
      </c>
      <c r="J108" s="1">
        <v>9422648317</v>
      </c>
      <c r="K108" s="1" t="s">
        <v>148</v>
      </c>
      <c r="L108" s="1" t="s">
        <v>2413</v>
      </c>
      <c r="M108" s="1" t="s">
        <v>81</v>
      </c>
      <c r="N108" s="1" t="s">
        <v>2414</v>
      </c>
      <c r="O108" s="1"/>
      <c r="P108" s="1" t="s">
        <v>1298</v>
      </c>
      <c r="Q108" s="1" t="s">
        <v>2415</v>
      </c>
      <c r="R108" s="1" t="s">
        <v>2416</v>
      </c>
      <c r="S108" s="1">
        <v>8446177702</v>
      </c>
      <c r="T108" s="1" t="s">
        <v>763</v>
      </c>
      <c r="U108" s="1" t="s">
        <v>2417</v>
      </c>
      <c r="V108" s="1">
        <v>9404289015</v>
      </c>
      <c r="W108" s="1" t="s">
        <v>651</v>
      </c>
      <c r="X108" s="1" t="s">
        <v>2418</v>
      </c>
      <c r="Y108" s="1" t="s">
        <v>158</v>
      </c>
      <c r="Z108" s="1" t="s">
        <v>92</v>
      </c>
      <c r="AA108" s="1" t="s">
        <v>2418</v>
      </c>
      <c r="AB108" s="1" t="s">
        <v>158</v>
      </c>
      <c r="AC108" s="1" t="s">
        <v>92</v>
      </c>
      <c r="AD108" s="1">
        <v>8.79</v>
      </c>
      <c r="AE108" s="1" t="s">
        <v>93</v>
      </c>
      <c r="AF108" s="1" t="s">
        <v>2419</v>
      </c>
      <c r="AG108" s="1" t="s">
        <v>750</v>
      </c>
      <c r="AH108" s="1" t="s">
        <v>2420</v>
      </c>
      <c r="AI108" s="1" t="s">
        <v>161</v>
      </c>
      <c r="AJ108" s="1">
        <v>94</v>
      </c>
      <c r="AK108" s="1"/>
      <c r="AL108" s="1" t="s">
        <v>2421</v>
      </c>
      <c r="AM108" s="1" t="s">
        <v>750</v>
      </c>
      <c r="AN108" s="1" t="s">
        <v>161</v>
      </c>
      <c r="AO108" s="1" t="s">
        <v>479</v>
      </c>
      <c r="AP108" s="1">
        <v>91.1</v>
      </c>
      <c r="AQ108" s="1"/>
      <c r="AR108" s="1"/>
      <c r="AS108" s="1"/>
      <c r="AT108" s="1"/>
      <c r="AU108" s="1"/>
      <c r="AV108" s="1"/>
      <c r="AW108" s="1"/>
      <c r="AX108" s="1" t="s">
        <v>2422</v>
      </c>
      <c r="AY108" s="1" t="s">
        <v>2423</v>
      </c>
      <c r="AZ108" s="1" t="s">
        <v>225</v>
      </c>
      <c r="BA108" s="1" t="s">
        <v>1131</v>
      </c>
      <c r="BB108" s="1">
        <v>75.09</v>
      </c>
      <c r="BC108" s="1">
        <v>8.91</v>
      </c>
      <c r="BD108" s="1" t="s">
        <v>2424</v>
      </c>
      <c r="BE108" s="1" t="s">
        <v>2405</v>
      </c>
      <c r="BF108" s="1" t="s">
        <v>436</v>
      </c>
      <c r="BG108" s="1" t="s">
        <v>174</v>
      </c>
      <c r="BH108" s="1">
        <v>81.57</v>
      </c>
      <c r="BI108" s="1">
        <v>9.08</v>
      </c>
      <c r="BJ108" s="1" t="s">
        <v>2425</v>
      </c>
      <c r="BK108" s="1" t="s">
        <v>2426</v>
      </c>
      <c r="BL108" s="1" t="s">
        <v>2019</v>
      </c>
      <c r="BM108" s="1" t="s">
        <v>2427</v>
      </c>
      <c r="BN108" s="1">
        <v>60</v>
      </c>
      <c r="BO108" s="1"/>
      <c r="BP108" s="1" t="str">
        <f>HYPERLINK("https://nconnect.nicmar.ac.in/storage/profile/ProfilePhoto_P25700042_851493.jpg","Download")</f>
        <v>0</v>
      </c>
      <c r="BQ108" s="3"/>
      <c r="BR108" s="3"/>
    </row>
    <row r="109" spans="1:70">
      <c r="A109" s="1" t="s">
        <v>70</v>
      </c>
      <c r="B109" s="1" t="s">
        <v>1269</v>
      </c>
      <c r="C109" s="1" t="s">
        <v>2428</v>
      </c>
      <c r="D109" s="1" t="s">
        <v>2429</v>
      </c>
      <c r="E109" s="1" t="s">
        <v>2430</v>
      </c>
      <c r="F109" s="1" t="s">
        <v>2024</v>
      </c>
      <c r="G109" s="1" t="s">
        <v>2431</v>
      </c>
      <c r="H109" s="1" t="s">
        <v>2432</v>
      </c>
      <c r="I109" s="1" t="s">
        <v>2433</v>
      </c>
      <c r="J109" s="1">
        <v>9019547321</v>
      </c>
      <c r="K109" s="1" t="s">
        <v>148</v>
      </c>
      <c r="L109" s="1" t="s">
        <v>2434</v>
      </c>
      <c r="M109" s="1" t="s">
        <v>81</v>
      </c>
      <c r="N109" s="1" t="s">
        <v>2435</v>
      </c>
      <c r="O109" s="1"/>
      <c r="P109" s="1" t="s">
        <v>1323</v>
      </c>
      <c r="Q109" s="1" t="s">
        <v>2436</v>
      </c>
      <c r="R109" s="1" t="s">
        <v>2437</v>
      </c>
      <c r="S109" s="1">
        <v>9845254251</v>
      </c>
      <c r="T109" s="1" t="s">
        <v>910</v>
      </c>
      <c r="U109" s="1" t="s">
        <v>2438</v>
      </c>
      <c r="V109" s="1">
        <v>9880954991</v>
      </c>
      <c r="W109" s="1" t="s">
        <v>651</v>
      </c>
      <c r="X109" s="1" t="s">
        <v>2439</v>
      </c>
      <c r="Y109" s="1" t="s">
        <v>2440</v>
      </c>
      <c r="Z109" s="1" t="s">
        <v>1084</v>
      </c>
      <c r="AA109" s="1" t="s">
        <v>2439</v>
      </c>
      <c r="AB109" s="1" t="s">
        <v>2440</v>
      </c>
      <c r="AC109" s="1" t="s">
        <v>1084</v>
      </c>
      <c r="AD109" s="1">
        <v>8.92</v>
      </c>
      <c r="AE109" s="1" t="s">
        <v>93</v>
      </c>
      <c r="AF109" s="1" t="s">
        <v>501</v>
      </c>
      <c r="AG109" s="1" t="s">
        <v>307</v>
      </c>
      <c r="AH109" s="1" t="s">
        <v>131</v>
      </c>
      <c r="AI109" s="1" t="s">
        <v>456</v>
      </c>
      <c r="AJ109" s="1">
        <v>87.4</v>
      </c>
      <c r="AK109" s="1"/>
      <c r="AL109" s="1" t="s">
        <v>2441</v>
      </c>
      <c r="AM109" s="1" t="s">
        <v>2442</v>
      </c>
      <c r="AN109" s="1" t="s">
        <v>162</v>
      </c>
      <c r="AO109" s="1" t="s">
        <v>101</v>
      </c>
      <c r="AP109" s="1">
        <v>70.66</v>
      </c>
      <c r="AQ109" s="1"/>
      <c r="AR109" s="1"/>
      <c r="AS109" s="1"/>
      <c r="AT109" s="1"/>
      <c r="AU109" s="1"/>
      <c r="AV109" s="1"/>
      <c r="AW109" s="1"/>
      <c r="AX109" s="1" t="s">
        <v>2443</v>
      </c>
      <c r="AY109" s="1" t="s">
        <v>2444</v>
      </c>
      <c r="AZ109" s="1" t="s">
        <v>169</v>
      </c>
      <c r="BA109" s="1" t="s">
        <v>229</v>
      </c>
      <c r="BB109" s="1">
        <v>66.9</v>
      </c>
      <c r="BC109" s="1"/>
      <c r="BD109" s="1"/>
      <c r="BE109" s="1"/>
      <c r="BF109" s="1"/>
      <c r="BG109" s="1"/>
      <c r="BH109" s="1"/>
      <c r="BI109" s="1"/>
      <c r="BJ109" s="1" t="s">
        <v>2445</v>
      </c>
      <c r="BK109" s="1" t="s">
        <v>2446</v>
      </c>
      <c r="BL109" s="1" t="s">
        <v>2019</v>
      </c>
      <c r="BM109" s="1" t="s">
        <v>2447</v>
      </c>
      <c r="BN109" s="1">
        <v>25</v>
      </c>
      <c r="BO109" s="1"/>
      <c r="BP109" s="1" t="str">
        <f>HYPERLINK("https://nconnect.nicmar.ac.in/storage/profile/ProfilePhoto_P25700043_197362.jpg","Download")</f>
        <v>0</v>
      </c>
      <c r="BQ109" s="3"/>
      <c r="BR109" s="3"/>
    </row>
    <row r="110" spans="1:70">
      <c r="A110" s="1" t="s">
        <v>70</v>
      </c>
      <c r="B110" s="1" t="s">
        <v>1269</v>
      </c>
      <c r="C110" s="1" t="s">
        <v>2448</v>
      </c>
      <c r="D110" s="1" t="s">
        <v>2449</v>
      </c>
      <c r="E110" s="1" t="s">
        <v>2310</v>
      </c>
      <c r="F110" s="1" t="s">
        <v>2450</v>
      </c>
      <c r="G110" s="1" t="s">
        <v>2451</v>
      </c>
      <c r="H110" s="1" t="s">
        <v>2452</v>
      </c>
      <c r="I110" s="1" t="s">
        <v>2453</v>
      </c>
      <c r="J110" s="1">
        <v>9447652134</v>
      </c>
      <c r="K110" s="1" t="s">
        <v>79</v>
      </c>
      <c r="L110" s="1" t="s">
        <v>2454</v>
      </c>
      <c r="M110" s="1" t="s">
        <v>81</v>
      </c>
      <c r="N110" s="1" t="s">
        <v>2455</v>
      </c>
      <c r="O110" s="1"/>
      <c r="P110" s="1" t="s">
        <v>1278</v>
      </c>
      <c r="Q110" s="1" t="s">
        <v>2456</v>
      </c>
      <c r="R110" s="1" t="s">
        <v>2457</v>
      </c>
      <c r="S110" s="1">
        <v>9447396900</v>
      </c>
      <c r="T110" s="1" t="s">
        <v>842</v>
      </c>
      <c r="U110" s="1" t="s">
        <v>2458</v>
      </c>
      <c r="V110" s="1">
        <v>9207595826</v>
      </c>
      <c r="W110" s="1" t="s">
        <v>122</v>
      </c>
      <c r="X110" s="1" t="s">
        <v>2459</v>
      </c>
      <c r="Y110" s="1" t="s">
        <v>1491</v>
      </c>
      <c r="Z110" s="1" t="s">
        <v>125</v>
      </c>
      <c r="AA110" s="1" t="s">
        <v>2459</v>
      </c>
      <c r="AB110" s="1" t="s">
        <v>1491</v>
      </c>
      <c r="AC110" s="1" t="s">
        <v>125</v>
      </c>
      <c r="AD110" s="1">
        <v>8.57</v>
      </c>
      <c r="AE110" s="1" t="s">
        <v>93</v>
      </c>
      <c r="AF110" s="1" t="s">
        <v>2460</v>
      </c>
      <c r="AG110" s="1" t="s">
        <v>1493</v>
      </c>
      <c r="AH110" s="1" t="s">
        <v>165</v>
      </c>
      <c r="AI110" s="1" t="s">
        <v>166</v>
      </c>
      <c r="AJ110" s="1">
        <v>91</v>
      </c>
      <c r="AK110" s="1"/>
      <c r="AL110" s="1" t="s">
        <v>2460</v>
      </c>
      <c r="AM110" s="1" t="s">
        <v>1493</v>
      </c>
      <c r="AN110" s="1" t="s">
        <v>433</v>
      </c>
      <c r="AO110" s="1" t="s">
        <v>173</v>
      </c>
      <c r="AP110" s="1">
        <v>89.2</v>
      </c>
      <c r="AQ110" s="1"/>
      <c r="AR110" s="1"/>
      <c r="AS110" s="1"/>
      <c r="AT110" s="1"/>
      <c r="AU110" s="1"/>
      <c r="AV110" s="1"/>
      <c r="AW110" s="1"/>
      <c r="AX110" s="1" t="s">
        <v>2461</v>
      </c>
      <c r="AY110" s="1" t="s">
        <v>2462</v>
      </c>
      <c r="AZ110" s="1" t="s">
        <v>2463</v>
      </c>
      <c r="BA110" s="1" t="s">
        <v>1939</v>
      </c>
      <c r="BB110" s="1">
        <v>76.6</v>
      </c>
      <c r="BC110" s="1"/>
      <c r="BD110" s="1"/>
      <c r="BE110" s="1"/>
      <c r="BF110" s="1"/>
      <c r="BG110" s="1"/>
      <c r="BH110" s="1"/>
      <c r="BI110" s="1"/>
      <c r="BJ110" s="1" t="s">
        <v>1383</v>
      </c>
      <c r="BK110" s="1"/>
      <c r="BL110" s="1"/>
      <c r="BM110" s="1" t="s">
        <v>2464</v>
      </c>
      <c r="BN110" s="1">
        <v>9</v>
      </c>
      <c r="BO110" s="1"/>
      <c r="BP110" s="1" t="str">
        <f>HYPERLINK("https://nconnect.nicmar.ac.in/storage/profile/ProfilePhoto_P25700044_489275.jpg","Download")</f>
        <v>0</v>
      </c>
      <c r="BQ110" s="3"/>
      <c r="BR110" s="3"/>
    </row>
    <row r="111" spans="1:70">
      <c r="A111" s="1" t="s">
        <v>70</v>
      </c>
      <c r="B111" s="1" t="s">
        <v>1269</v>
      </c>
      <c r="C111" s="1" t="s">
        <v>2465</v>
      </c>
      <c r="D111" s="1" t="s">
        <v>2466</v>
      </c>
      <c r="E111" s="1"/>
      <c r="F111" s="1" t="s">
        <v>2467</v>
      </c>
      <c r="G111" s="1" t="s">
        <v>2468</v>
      </c>
      <c r="H111" s="1" t="s">
        <v>2469</v>
      </c>
      <c r="I111" s="1" t="s">
        <v>2470</v>
      </c>
      <c r="J111" s="1">
        <v>9746445008</v>
      </c>
      <c r="K111" s="1" t="s">
        <v>79</v>
      </c>
      <c r="L111" s="1" t="s">
        <v>2471</v>
      </c>
      <c r="M111" s="1" t="s">
        <v>81</v>
      </c>
      <c r="N111" s="1" t="s">
        <v>2472</v>
      </c>
      <c r="O111" s="1"/>
      <c r="P111" s="1" t="s">
        <v>1278</v>
      </c>
      <c r="Q111" s="1" t="s">
        <v>2473</v>
      </c>
      <c r="R111" s="1" t="s">
        <v>2474</v>
      </c>
      <c r="S111" s="1">
        <v>9744517376</v>
      </c>
      <c r="T111" s="1" t="s">
        <v>496</v>
      </c>
      <c r="U111" s="1" t="s">
        <v>2475</v>
      </c>
      <c r="V111" s="1">
        <v>9744517376</v>
      </c>
      <c r="W111" s="1" t="s">
        <v>156</v>
      </c>
      <c r="X111" s="1" t="s">
        <v>2476</v>
      </c>
      <c r="Y111" s="1" t="s">
        <v>124</v>
      </c>
      <c r="Z111" s="1" t="s">
        <v>125</v>
      </c>
      <c r="AA111" s="1" t="s">
        <v>2476</v>
      </c>
      <c r="AB111" s="1" t="s">
        <v>124</v>
      </c>
      <c r="AC111" s="1" t="s">
        <v>125</v>
      </c>
      <c r="AD111" s="1">
        <v>8.26</v>
      </c>
      <c r="AE111" s="1" t="s">
        <v>93</v>
      </c>
      <c r="AF111" s="1" t="s">
        <v>2477</v>
      </c>
      <c r="AG111" s="1" t="s">
        <v>2478</v>
      </c>
      <c r="AH111" s="1" t="s">
        <v>162</v>
      </c>
      <c r="AI111" s="1" t="s">
        <v>165</v>
      </c>
      <c r="AJ111" s="1">
        <v>91.2</v>
      </c>
      <c r="AK111" s="1">
        <v>9.6</v>
      </c>
      <c r="AL111" s="1" t="s">
        <v>2477</v>
      </c>
      <c r="AM111" s="1" t="s">
        <v>2478</v>
      </c>
      <c r="AN111" s="1" t="s">
        <v>166</v>
      </c>
      <c r="AO111" s="1" t="s">
        <v>308</v>
      </c>
      <c r="AP111" s="1">
        <v>77.6</v>
      </c>
      <c r="AQ111" s="1">
        <v>8.17</v>
      </c>
      <c r="AR111" s="1"/>
      <c r="AS111" s="1"/>
      <c r="AT111" s="1"/>
      <c r="AU111" s="1"/>
      <c r="AV111" s="1"/>
      <c r="AW111" s="1"/>
      <c r="AX111" s="1" t="s">
        <v>2479</v>
      </c>
      <c r="AY111" s="1" t="s">
        <v>2480</v>
      </c>
      <c r="AZ111" s="1" t="s">
        <v>412</v>
      </c>
      <c r="BA111" s="1" t="s">
        <v>413</v>
      </c>
      <c r="BB111" s="1">
        <v>71.3</v>
      </c>
      <c r="BC111" s="1">
        <v>7.13</v>
      </c>
      <c r="BD111" s="1"/>
      <c r="BE111" s="1"/>
      <c r="BF111" s="1"/>
      <c r="BG111" s="1"/>
      <c r="BH111" s="1"/>
      <c r="BI111" s="1"/>
      <c r="BJ111" s="1" t="s">
        <v>255</v>
      </c>
      <c r="BK111" s="1"/>
      <c r="BL111" s="1"/>
      <c r="BM111" s="1" t="s">
        <v>2481</v>
      </c>
      <c r="BN111" s="1">
        <v>8</v>
      </c>
      <c r="BO111" s="1" t="s">
        <v>2482</v>
      </c>
      <c r="BP111" s="1" t="str">
        <f>HYPERLINK("https://nconnect.nicmar.ac.in/storage/profile/ProfilePhoto_P25700045_159487.jpg","Download")</f>
        <v>0</v>
      </c>
      <c r="BQ111" s="3"/>
      <c r="BR111" s="3"/>
    </row>
    <row r="112" spans="1:70">
      <c r="A112" s="1" t="s">
        <v>70</v>
      </c>
      <c r="B112" s="1" t="s">
        <v>1269</v>
      </c>
      <c r="C112" s="1" t="s">
        <v>2483</v>
      </c>
      <c r="D112" s="1" t="s">
        <v>2484</v>
      </c>
      <c r="E112" s="1" t="s">
        <v>2485</v>
      </c>
      <c r="F112" s="1" t="s">
        <v>2486</v>
      </c>
      <c r="G112" s="1" t="s">
        <v>2487</v>
      </c>
      <c r="H112" s="1" t="s">
        <v>2488</v>
      </c>
      <c r="I112" s="1" t="s">
        <v>2489</v>
      </c>
      <c r="J112" s="1">
        <v>9545927573</v>
      </c>
      <c r="K112" s="1" t="s">
        <v>148</v>
      </c>
      <c r="L112" s="1" t="s">
        <v>2490</v>
      </c>
      <c r="M112" s="1" t="s">
        <v>81</v>
      </c>
      <c r="N112" s="1" t="s">
        <v>2008</v>
      </c>
      <c r="O112" s="1"/>
      <c r="P112" s="1" t="s">
        <v>1323</v>
      </c>
      <c r="Q112" s="1" t="s">
        <v>2491</v>
      </c>
      <c r="R112" s="1" t="s">
        <v>2492</v>
      </c>
      <c r="S112" s="1">
        <v>9579424990</v>
      </c>
      <c r="T112" s="1" t="s">
        <v>496</v>
      </c>
      <c r="U112" s="1" t="s">
        <v>2493</v>
      </c>
      <c r="V112" s="1">
        <v>9673653672</v>
      </c>
      <c r="W112" s="1" t="s">
        <v>2494</v>
      </c>
      <c r="X112" s="1" t="s">
        <v>2495</v>
      </c>
      <c r="Y112" s="1" t="s">
        <v>191</v>
      </c>
      <c r="Z112" s="1" t="s">
        <v>92</v>
      </c>
      <c r="AA112" s="1" t="s">
        <v>2495</v>
      </c>
      <c r="AB112" s="1" t="s">
        <v>191</v>
      </c>
      <c r="AC112" s="1" t="s">
        <v>92</v>
      </c>
      <c r="AD112" s="1">
        <v>8.59</v>
      </c>
      <c r="AE112" s="1" t="s">
        <v>93</v>
      </c>
      <c r="AF112" s="1" t="s">
        <v>2496</v>
      </c>
      <c r="AG112" s="1" t="s">
        <v>2497</v>
      </c>
      <c r="AH112" s="1" t="s">
        <v>162</v>
      </c>
      <c r="AI112" s="1" t="s">
        <v>195</v>
      </c>
      <c r="AJ112" s="1">
        <v>86.6</v>
      </c>
      <c r="AK112" s="1"/>
      <c r="AL112" s="1"/>
      <c r="AM112" s="1"/>
      <c r="AN112" s="1"/>
      <c r="AO112" s="1"/>
      <c r="AP112" s="1"/>
      <c r="AQ112" s="1"/>
      <c r="AR112" s="1" t="s">
        <v>98</v>
      </c>
      <c r="AS112" s="1" t="s">
        <v>2498</v>
      </c>
      <c r="AT112" s="1" t="s">
        <v>225</v>
      </c>
      <c r="AU112" s="1" t="s">
        <v>412</v>
      </c>
      <c r="AV112" s="1">
        <v>84.38</v>
      </c>
      <c r="AW112" s="1">
        <v>8.9</v>
      </c>
      <c r="AX112" s="1" t="s">
        <v>361</v>
      </c>
      <c r="AY112" s="1" t="s">
        <v>2499</v>
      </c>
      <c r="AZ112" s="1" t="s">
        <v>363</v>
      </c>
      <c r="BA112" s="1" t="s">
        <v>682</v>
      </c>
      <c r="BB112" s="1">
        <v>73.07</v>
      </c>
      <c r="BC112" s="1">
        <v>8.21</v>
      </c>
      <c r="BD112" s="1"/>
      <c r="BE112" s="1"/>
      <c r="BF112" s="1"/>
      <c r="BG112" s="1"/>
      <c r="BH112" s="1"/>
      <c r="BI112" s="1"/>
      <c r="BJ112" s="1" t="s">
        <v>2080</v>
      </c>
      <c r="BK112" s="1" t="s">
        <v>2500</v>
      </c>
      <c r="BL112" s="1" t="s">
        <v>1385</v>
      </c>
      <c r="BM112" s="1" t="s">
        <v>2501</v>
      </c>
      <c r="BN112" s="1">
        <v>12</v>
      </c>
      <c r="BO112" s="1"/>
      <c r="BP112" s="1" t="str">
        <f>HYPERLINK("https://nconnect.nicmar.ac.in/storage/profile/ProfilePhoto_P25700046_792813.jpg","Download")</f>
        <v>0</v>
      </c>
      <c r="BQ112" s="3"/>
      <c r="BR112" s="3"/>
    </row>
    <row r="113" spans="1:70">
      <c r="A113" s="1" t="s">
        <v>70</v>
      </c>
      <c r="B113" s="1" t="s">
        <v>1269</v>
      </c>
      <c r="C113" s="1" t="s">
        <v>2502</v>
      </c>
      <c r="D113" s="1" t="s">
        <v>1876</v>
      </c>
      <c r="E113" s="1"/>
      <c r="F113" s="1" t="s">
        <v>345</v>
      </c>
      <c r="G113" s="1" t="s">
        <v>2503</v>
      </c>
      <c r="H113" s="1" t="s">
        <v>2504</v>
      </c>
      <c r="I113" s="1" t="s">
        <v>2505</v>
      </c>
      <c r="J113" s="1">
        <v>8168493770</v>
      </c>
      <c r="K113" s="1" t="s">
        <v>79</v>
      </c>
      <c r="L113" s="1" t="s">
        <v>2506</v>
      </c>
      <c r="M113" s="1" t="s">
        <v>81</v>
      </c>
      <c r="N113" s="1" t="s">
        <v>82</v>
      </c>
      <c r="O113" s="1"/>
      <c r="P113" s="1" t="s">
        <v>2507</v>
      </c>
      <c r="Q113" s="1" t="s">
        <v>2508</v>
      </c>
      <c r="R113" s="1" t="s">
        <v>2509</v>
      </c>
      <c r="S113" s="1">
        <v>9596992288</v>
      </c>
      <c r="T113" s="1" t="s">
        <v>2510</v>
      </c>
      <c r="U113" s="1" t="s">
        <v>2511</v>
      </c>
      <c r="V113" s="1">
        <v>7006547114</v>
      </c>
      <c r="W113" s="1" t="s">
        <v>156</v>
      </c>
      <c r="X113" s="1" t="s">
        <v>2512</v>
      </c>
      <c r="Y113" s="1" t="s">
        <v>2513</v>
      </c>
      <c r="Z113" s="1" t="s">
        <v>719</v>
      </c>
      <c r="AA113" s="1" t="s">
        <v>2512</v>
      </c>
      <c r="AB113" s="1" t="s">
        <v>2513</v>
      </c>
      <c r="AC113" s="1" t="s">
        <v>719</v>
      </c>
      <c r="AD113" s="1">
        <v>7.67</v>
      </c>
      <c r="AE113" s="1" t="s">
        <v>93</v>
      </c>
      <c r="AF113" s="1" t="s">
        <v>2514</v>
      </c>
      <c r="AG113" s="1" t="s">
        <v>1665</v>
      </c>
      <c r="AH113" s="1" t="s">
        <v>279</v>
      </c>
      <c r="AI113" s="1" t="s">
        <v>165</v>
      </c>
      <c r="AJ113" s="1">
        <v>66.5</v>
      </c>
      <c r="AK113" s="1">
        <v>7</v>
      </c>
      <c r="AL113" s="1" t="s">
        <v>2515</v>
      </c>
      <c r="AM113" s="1" t="s">
        <v>1665</v>
      </c>
      <c r="AN113" s="1" t="s">
        <v>1065</v>
      </c>
      <c r="AO113" s="1" t="s">
        <v>173</v>
      </c>
      <c r="AP113" s="1">
        <v>67.2</v>
      </c>
      <c r="AQ113" s="1"/>
      <c r="AR113" s="1"/>
      <c r="AS113" s="1"/>
      <c r="AT113" s="1"/>
      <c r="AU113" s="1"/>
      <c r="AV113" s="1"/>
      <c r="AW113" s="1"/>
      <c r="AX113" s="1" t="s">
        <v>2516</v>
      </c>
      <c r="AY113" s="1" t="s">
        <v>2516</v>
      </c>
      <c r="AZ113" s="1" t="s">
        <v>681</v>
      </c>
      <c r="BA113" s="1" t="s">
        <v>202</v>
      </c>
      <c r="BB113" s="1">
        <v>66.33</v>
      </c>
      <c r="BC113" s="1">
        <v>7.06</v>
      </c>
      <c r="BD113" s="1"/>
      <c r="BE113" s="1"/>
      <c r="BF113" s="1"/>
      <c r="BG113" s="1"/>
      <c r="BH113" s="1"/>
      <c r="BI113" s="1"/>
      <c r="BJ113" s="1" t="s">
        <v>2517</v>
      </c>
      <c r="BK113" s="1"/>
      <c r="BL113" s="1"/>
      <c r="BM113" s="1" t="s">
        <v>2518</v>
      </c>
      <c r="BN113" s="1">
        <v>27</v>
      </c>
      <c r="BO113" s="1"/>
      <c r="BP113" s="1" t="str">
        <f>HYPERLINK("https://nconnect.nicmar.ac.in/storage/profile/6a64976dc8482.png","Download")</f>
        <v>0</v>
      </c>
      <c r="BQ113" s="3"/>
      <c r="BR113" s="3"/>
    </row>
    <row r="114" spans="1:70">
      <c r="A114" s="1" t="s">
        <v>70</v>
      </c>
      <c r="B114" s="1" t="s">
        <v>1269</v>
      </c>
      <c r="C114" s="1" t="s">
        <v>2519</v>
      </c>
      <c r="D114" s="1" t="s">
        <v>2520</v>
      </c>
      <c r="E114" s="1"/>
      <c r="F114" s="1" t="s">
        <v>2521</v>
      </c>
      <c r="G114" s="1" t="s">
        <v>2522</v>
      </c>
      <c r="H114" s="1" t="s">
        <v>2523</v>
      </c>
      <c r="I114" s="1" t="s">
        <v>2524</v>
      </c>
      <c r="J114" s="1">
        <v>8135049350</v>
      </c>
      <c r="K114" s="1" t="s">
        <v>148</v>
      </c>
      <c r="L114" s="1" t="s">
        <v>2525</v>
      </c>
      <c r="M114" s="1" t="s">
        <v>81</v>
      </c>
      <c r="N114" s="1" t="s">
        <v>2526</v>
      </c>
      <c r="O114" s="1"/>
      <c r="P114" s="1" t="s">
        <v>1278</v>
      </c>
      <c r="Q114" s="1" t="s">
        <v>2527</v>
      </c>
      <c r="R114" s="1" t="s">
        <v>2528</v>
      </c>
      <c r="S114" s="1">
        <v>9435038726</v>
      </c>
      <c r="T114" s="1" t="s">
        <v>496</v>
      </c>
      <c r="U114" s="1" t="s">
        <v>2529</v>
      </c>
      <c r="V114" s="1">
        <v>9954414709</v>
      </c>
      <c r="W114" s="1" t="s">
        <v>156</v>
      </c>
      <c r="X114" s="1" t="s">
        <v>2530</v>
      </c>
      <c r="Y114" s="1" t="s">
        <v>2531</v>
      </c>
      <c r="Z114" s="1" t="s">
        <v>2377</v>
      </c>
      <c r="AA114" s="1" t="s">
        <v>2530</v>
      </c>
      <c r="AB114" s="1" t="s">
        <v>2531</v>
      </c>
      <c r="AC114" s="1" t="s">
        <v>2377</v>
      </c>
      <c r="AD114" s="1">
        <v>8.46</v>
      </c>
      <c r="AE114" s="1" t="s">
        <v>93</v>
      </c>
      <c r="AF114" s="1" t="s">
        <v>2532</v>
      </c>
      <c r="AG114" s="1" t="s">
        <v>2533</v>
      </c>
      <c r="AH114" s="1" t="s">
        <v>279</v>
      </c>
      <c r="AI114" s="1" t="s">
        <v>165</v>
      </c>
      <c r="AJ114" s="1">
        <v>93.1</v>
      </c>
      <c r="AK114" s="1">
        <v>9.8</v>
      </c>
      <c r="AL114" s="1" t="s">
        <v>2532</v>
      </c>
      <c r="AM114" s="1" t="s">
        <v>2533</v>
      </c>
      <c r="AN114" s="1" t="s">
        <v>1307</v>
      </c>
      <c r="AO114" s="1" t="s">
        <v>308</v>
      </c>
      <c r="AP114" s="1">
        <v>71.4</v>
      </c>
      <c r="AQ114" s="1"/>
      <c r="AR114" s="1"/>
      <c r="AS114" s="1"/>
      <c r="AT114" s="1"/>
      <c r="AU114" s="1"/>
      <c r="AV114" s="1"/>
      <c r="AW114" s="1"/>
      <c r="AX114" s="1" t="s">
        <v>2534</v>
      </c>
      <c r="AY114" s="1" t="s">
        <v>2535</v>
      </c>
      <c r="AZ114" s="1" t="s">
        <v>310</v>
      </c>
      <c r="BA114" s="1" t="s">
        <v>386</v>
      </c>
      <c r="BB114" s="1">
        <v>81.7</v>
      </c>
      <c r="BC114" s="1">
        <v>8.17</v>
      </c>
      <c r="BD114" s="1"/>
      <c r="BE114" s="1"/>
      <c r="BF114" s="1"/>
      <c r="BG114" s="1"/>
      <c r="BH114" s="1"/>
      <c r="BI114" s="1"/>
      <c r="BJ114" s="1" t="s">
        <v>2536</v>
      </c>
      <c r="BK114" s="1"/>
      <c r="BL114" s="1"/>
      <c r="BM114" s="1" t="s">
        <v>2537</v>
      </c>
      <c r="BN114" s="1">
        <v>11</v>
      </c>
      <c r="BO114" s="1"/>
      <c r="BP114" s="1" t="str">
        <f>HYPERLINK("https://nconnect.nicmar.ac.in/storage/profile/ProfilePhoto_P25700049_267981.jpg","Download")</f>
        <v>0</v>
      </c>
      <c r="BQ114" s="3"/>
      <c r="BR114" s="3"/>
    </row>
    <row r="115" spans="1:70">
      <c r="A115" s="1" t="s">
        <v>70</v>
      </c>
      <c r="B115" s="1" t="s">
        <v>1269</v>
      </c>
      <c r="C115" s="1" t="s">
        <v>2538</v>
      </c>
      <c r="D115" s="1" t="s">
        <v>2539</v>
      </c>
      <c r="E115" s="1"/>
      <c r="F115" s="1" t="s">
        <v>2540</v>
      </c>
      <c r="G115" s="1" t="s">
        <v>2541</v>
      </c>
      <c r="H115" s="1" t="s">
        <v>2542</v>
      </c>
      <c r="I115" s="1" t="s">
        <v>2543</v>
      </c>
      <c r="J115" s="1">
        <v>9953867449</v>
      </c>
      <c r="K115" s="1" t="s">
        <v>148</v>
      </c>
      <c r="L115" s="1" t="s">
        <v>2544</v>
      </c>
      <c r="M115" s="1" t="s">
        <v>81</v>
      </c>
      <c r="N115" s="1" t="s">
        <v>2545</v>
      </c>
      <c r="O115" s="1"/>
      <c r="P115" s="1" t="s">
        <v>1298</v>
      </c>
      <c r="Q115" s="1" t="s">
        <v>2546</v>
      </c>
      <c r="R115" s="1" t="s">
        <v>2547</v>
      </c>
      <c r="S115" s="1">
        <v>9873002807</v>
      </c>
      <c r="T115" s="1" t="s">
        <v>496</v>
      </c>
      <c r="U115" s="1" t="s">
        <v>2548</v>
      </c>
      <c r="V115" s="1">
        <v>9953205356</v>
      </c>
      <c r="W115" s="1" t="s">
        <v>156</v>
      </c>
      <c r="X115" s="1" t="s">
        <v>2549</v>
      </c>
      <c r="Y115" s="1" t="s">
        <v>2550</v>
      </c>
      <c r="Z115" s="1" t="s">
        <v>722</v>
      </c>
      <c r="AA115" s="1" t="s">
        <v>2549</v>
      </c>
      <c r="AB115" s="1" t="s">
        <v>2550</v>
      </c>
      <c r="AC115" s="1" t="s">
        <v>722</v>
      </c>
      <c r="AD115" s="1">
        <v>8.56</v>
      </c>
      <c r="AE115" s="1" t="s">
        <v>93</v>
      </c>
      <c r="AF115" s="1" t="s">
        <v>2551</v>
      </c>
      <c r="AG115" s="1" t="s">
        <v>2552</v>
      </c>
      <c r="AH115" s="1" t="s">
        <v>503</v>
      </c>
      <c r="AI115" s="1" t="s">
        <v>527</v>
      </c>
      <c r="AJ115" s="1">
        <v>85.5</v>
      </c>
      <c r="AK115" s="1">
        <v>9</v>
      </c>
      <c r="AL115" s="1" t="s">
        <v>2551</v>
      </c>
      <c r="AM115" s="1" t="s">
        <v>2552</v>
      </c>
      <c r="AN115" s="1" t="s">
        <v>678</v>
      </c>
      <c r="AO115" s="1" t="s">
        <v>166</v>
      </c>
      <c r="AP115" s="1">
        <v>74.9</v>
      </c>
      <c r="AQ115" s="1"/>
      <c r="AR115" s="1"/>
      <c r="AS115" s="1"/>
      <c r="AT115" s="1"/>
      <c r="AU115" s="1"/>
      <c r="AV115" s="1"/>
      <c r="AW115" s="1"/>
      <c r="AX115" s="1" t="s">
        <v>2553</v>
      </c>
      <c r="AY115" s="1" t="s">
        <v>2554</v>
      </c>
      <c r="AZ115" s="1" t="s">
        <v>636</v>
      </c>
      <c r="BA115" s="1" t="s">
        <v>174</v>
      </c>
      <c r="BB115" s="1">
        <v>73.88</v>
      </c>
      <c r="BC115" s="1">
        <v>7.52</v>
      </c>
      <c r="BD115" s="1"/>
      <c r="BE115" s="1"/>
      <c r="BF115" s="1"/>
      <c r="BG115" s="1"/>
      <c r="BH115" s="1"/>
      <c r="BI115" s="1"/>
      <c r="BJ115" s="1" t="s">
        <v>2555</v>
      </c>
      <c r="BK115" s="1" t="s">
        <v>2556</v>
      </c>
      <c r="BL115" s="1" t="s">
        <v>1543</v>
      </c>
      <c r="BM115" s="1" t="s">
        <v>2557</v>
      </c>
      <c r="BN115" s="1">
        <v>24</v>
      </c>
      <c r="BO115" s="1" t="s">
        <v>2558</v>
      </c>
      <c r="BP115" s="1" t="str">
        <f>HYPERLINK("https://nconnect.nicmar.ac.in/storage/profile/ProfilePhoto_P25700050_627491.jpg","Download")</f>
        <v>0</v>
      </c>
      <c r="BQ115" s="3"/>
      <c r="BR115" s="3"/>
    </row>
    <row r="116" spans="1:70">
      <c r="A116" s="1" t="s">
        <v>70</v>
      </c>
      <c r="B116" s="1" t="s">
        <v>1269</v>
      </c>
      <c r="C116" s="1" t="s">
        <v>2559</v>
      </c>
      <c r="D116" s="1" t="s">
        <v>650</v>
      </c>
      <c r="E116" s="1" t="s">
        <v>2560</v>
      </c>
      <c r="F116" s="1" t="s">
        <v>2561</v>
      </c>
      <c r="G116" s="1" t="s">
        <v>2562</v>
      </c>
      <c r="H116" s="1" t="s">
        <v>2563</v>
      </c>
      <c r="I116" s="1" t="s">
        <v>2564</v>
      </c>
      <c r="J116" s="1">
        <v>8766820151</v>
      </c>
      <c r="K116" s="1" t="s">
        <v>148</v>
      </c>
      <c r="L116" s="1" t="s">
        <v>2565</v>
      </c>
      <c r="M116" s="1" t="s">
        <v>81</v>
      </c>
      <c r="N116" s="1" t="s">
        <v>2008</v>
      </c>
      <c r="O116" s="1"/>
      <c r="P116" s="1" t="s">
        <v>1323</v>
      </c>
      <c r="Q116" s="1" t="s">
        <v>2566</v>
      </c>
      <c r="R116" s="1" t="s">
        <v>2567</v>
      </c>
      <c r="S116" s="1">
        <v>9423461680</v>
      </c>
      <c r="T116" s="1" t="s">
        <v>2568</v>
      </c>
      <c r="U116" s="1" t="s">
        <v>2569</v>
      </c>
      <c r="V116" s="1">
        <v>9423783625</v>
      </c>
      <c r="W116" s="1" t="s">
        <v>89</v>
      </c>
      <c r="X116" s="1" t="s">
        <v>2570</v>
      </c>
      <c r="Y116" s="1" t="s">
        <v>1174</v>
      </c>
      <c r="Z116" s="1" t="s">
        <v>92</v>
      </c>
      <c r="AA116" s="1" t="s">
        <v>2570</v>
      </c>
      <c r="AB116" s="1" t="s">
        <v>1174</v>
      </c>
      <c r="AC116" s="1" t="s">
        <v>92</v>
      </c>
      <c r="AD116" s="1">
        <v>8.31</v>
      </c>
      <c r="AE116" s="1" t="s">
        <v>93</v>
      </c>
      <c r="AF116" s="1" t="s">
        <v>2571</v>
      </c>
      <c r="AG116" s="1" t="s">
        <v>2572</v>
      </c>
      <c r="AH116" s="1" t="s">
        <v>678</v>
      </c>
      <c r="AI116" s="1" t="s">
        <v>166</v>
      </c>
      <c r="AJ116" s="1">
        <v>81.6</v>
      </c>
      <c r="AK116" s="1"/>
      <c r="AL116" s="1"/>
      <c r="AM116" s="1"/>
      <c r="AN116" s="1"/>
      <c r="AO116" s="1"/>
      <c r="AP116" s="1"/>
      <c r="AQ116" s="1"/>
      <c r="AR116" s="1" t="s">
        <v>434</v>
      </c>
      <c r="AS116" s="1" t="s">
        <v>2573</v>
      </c>
      <c r="AT116" s="1" t="s">
        <v>169</v>
      </c>
      <c r="AU116" s="1" t="s">
        <v>436</v>
      </c>
      <c r="AV116" s="1">
        <v>93.05</v>
      </c>
      <c r="AW116" s="1"/>
      <c r="AX116" s="1" t="s">
        <v>2574</v>
      </c>
      <c r="AY116" s="1" t="s">
        <v>2574</v>
      </c>
      <c r="AZ116" s="1" t="s">
        <v>506</v>
      </c>
      <c r="BA116" s="1" t="s">
        <v>202</v>
      </c>
      <c r="BB116" s="1">
        <v>80.2</v>
      </c>
      <c r="BC116" s="1">
        <v>8.77</v>
      </c>
      <c r="BD116" s="1"/>
      <c r="BE116" s="1"/>
      <c r="BF116" s="1"/>
      <c r="BG116" s="1"/>
      <c r="BH116" s="1"/>
      <c r="BI116" s="1"/>
      <c r="BJ116" s="1" t="s">
        <v>2575</v>
      </c>
      <c r="BK116" s="1"/>
      <c r="BL116" s="1"/>
      <c r="BM116" s="1" t="s">
        <v>2576</v>
      </c>
      <c r="BN116" s="1">
        <v>51</v>
      </c>
      <c r="BO116" s="1" t="s">
        <v>2577</v>
      </c>
      <c r="BP116" s="1" t="str">
        <f>HYPERLINK("https://nconnect.nicmar.ac.in/storage/profile/ProfilePhoto_P25700051_624359.jpg","Download")</f>
        <v>0</v>
      </c>
      <c r="BQ116" s="3"/>
      <c r="BR116" s="3"/>
    </row>
    <row r="117" spans="1:70">
      <c r="A117" s="1" t="s">
        <v>70</v>
      </c>
      <c r="B117" s="1" t="s">
        <v>1269</v>
      </c>
      <c r="C117" s="1" t="s">
        <v>2578</v>
      </c>
      <c r="D117" s="1" t="s">
        <v>2579</v>
      </c>
      <c r="E117" s="1"/>
      <c r="F117" s="1" t="s">
        <v>2580</v>
      </c>
      <c r="G117" s="1" t="s">
        <v>2581</v>
      </c>
      <c r="H117" s="1" t="s">
        <v>2582</v>
      </c>
      <c r="I117" s="1" t="s">
        <v>2583</v>
      </c>
      <c r="J117" s="1">
        <v>7887567049</v>
      </c>
      <c r="K117" s="1" t="s">
        <v>79</v>
      </c>
      <c r="L117" s="1" t="s">
        <v>2584</v>
      </c>
      <c r="M117" s="1" t="s">
        <v>81</v>
      </c>
      <c r="N117" s="1" t="s">
        <v>2008</v>
      </c>
      <c r="O117" s="1"/>
      <c r="P117" s="1" t="s">
        <v>1323</v>
      </c>
      <c r="Q117" s="1" t="s">
        <v>2585</v>
      </c>
      <c r="R117" s="1" t="s">
        <v>2586</v>
      </c>
      <c r="S117" s="1">
        <v>7424005005</v>
      </c>
      <c r="T117" s="1" t="s">
        <v>496</v>
      </c>
      <c r="U117" s="1" t="s">
        <v>2587</v>
      </c>
      <c r="V117" s="1">
        <v>8850223501</v>
      </c>
      <c r="W117" s="1" t="s">
        <v>156</v>
      </c>
      <c r="X117" s="1" t="s">
        <v>2588</v>
      </c>
      <c r="Y117" s="1" t="s">
        <v>523</v>
      </c>
      <c r="Z117" s="1" t="s">
        <v>92</v>
      </c>
      <c r="AA117" s="1" t="s">
        <v>2588</v>
      </c>
      <c r="AB117" s="1" t="s">
        <v>523</v>
      </c>
      <c r="AC117" s="1" t="s">
        <v>92</v>
      </c>
      <c r="AD117" s="1">
        <v>7.48</v>
      </c>
      <c r="AE117" s="1" t="s">
        <v>93</v>
      </c>
      <c r="AF117" s="1" t="s">
        <v>2589</v>
      </c>
      <c r="AG117" s="1" t="s">
        <v>455</v>
      </c>
      <c r="AH117" s="1" t="s">
        <v>162</v>
      </c>
      <c r="AI117" s="1" t="s">
        <v>678</v>
      </c>
      <c r="AJ117" s="1">
        <v>85.4</v>
      </c>
      <c r="AK117" s="1"/>
      <c r="AL117" s="1" t="s">
        <v>2590</v>
      </c>
      <c r="AM117" s="1" t="s">
        <v>455</v>
      </c>
      <c r="AN117" s="1" t="s">
        <v>101</v>
      </c>
      <c r="AO117" s="1" t="s">
        <v>1065</v>
      </c>
      <c r="AP117" s="1">
        <v>60.31</v>
      </c>
      <c r="AQ117" s="1"/>
      <c r="AR117" s="1"/>
      <c r="AS117" s="1"/>
      <c r="AT117" s="1"/>
      <c r="AU117" s="1"/>
      <c r="AV117" s="1"/>
      <c r="AW117" s="1"/>
      <c r="AX117" s="1" t="s">
        <v>361</v>
      </c>
      <c r="AY117" s="1" t="s">
        <v>2591</v>
      </c>
      <c r="AZ117" s="1" t="s">
        <v>310</v>
      </c>
      <c r="BA117" s="1" t="s">
        <v>229</v>
      </c>
      <c r="BB117" s="1">
        <v>71.12</v>
      </c>
      <c r="BC117" s="1">
        <v>7.69</v>
      </c>
      <c r="BD117" s="1"/>
      <c r="BE117" s="1"/>
      <c r="BF117" s="1"/>
      <c r="BG117" s="1"/>
      <c r="BH117" s="1"/>
      <c r="BI117" s="1"/>
      <c r="BJ117" s="1" t="s">
        <v>2592</v>
      </c>
      <c r="BK117" s="1" t="s">
        <v>2593</v>
      </c>
      <c r="BL117" s="1" t="s">
        <v>1543</v>
      </c>
      <c r="BM117" s="1" t="s">
        <v>2594</v>
      </c>
      <c r="BN117" s="1">
        <v>4</v>
      </c>
      <c r="BO117" s="1"/>
      <c r="BP117" s="1" t="str">
        <f>HYPERLINK("https://nconnect.nicmar.ac.in/storage/profile/ProfilePhoto_P25700052_698342.jpg","Download")</f>
        <v>0</v>
      </c>
      <c r="BQ117" s="3"/>
      <c r="BR117" s="3"/>
    </row>
    <row r="118" spans="1:70">
      <c r="A118" s="1" t="s">
        <v>70</v>
      </c>
      <c r="B118" s="1" t="s">
        <v>1269</v>
      </c>
      <c r="C118" s="1" t="s">
        <v>2595</v>
      </c>
      <c r="D118" s="1" t="s">
        <v>2596</v>
      </c>
      <c r="E118" s="1" t="s">
        <v>2597</v>
      </c>
      <c r="F118" s="1" t="s">
        <v>2598</v>
      </c>
      <c r="G118" s="1" t="s">
        <v>2599</v>
      </c>
      <c r="H118" s="1" t="s">
        <v>2600</v>
      </c>
      <c r="I118" s="1" t="s">
        <v>2601</v>
      </c>
      <c r="J118" s="1">
        <v>8888523957</v>
      </c>
      <c r="K118" s="1" t="s">
        <v>79</v>
      </c>
      <c r="L118" s="1" t="s">
        <v>2602</v>
      </c>
      <c r="M118" s="1" t="s">
        <v>81</v>
      </c>
      <c r="N118" s="1" t="s">
        <v>2603</v>
      </c>
      <c r="O118" s="1"/>
      <c r="P118" s="1" t="s">
        <v>1278</v>
      </c>
      <c r="Q118" s="1" t="s">
        <v>2604</v>
      </c>
      <c r="R118" s="1" t="s">
        <v>2597</v>
      </c>
      <c r="S118" s="1">
        <v>9665747901</v>
      </c>
      <c r="T118" s="1" t="s">
        <v>434</v>
      </c>
      <c r="U118" s="1" t="s">
        <v>2605</v>
      </c>
      <c r="V118" s="1">
        <v>8888523957</v>
      </c>
      <c r="W118" s="1" t="s">
        <v>156</v>
      </c>
      <c r="X118" s="1" t="s">
        <v>2606</v>
      </c>
      <c r="Y118" s="1" t="s">
        <v>1991</v>
      </c>
      <c r="Z118" s="1" t="s">
        <v>92</v>
      </c>
      <c r="AA118" s="1" t="s">
        <v>2606</v>
      </c>
      <c r="AB118" s="1" t="s">
        <v>1991</v>
      </c>
      <c r="AC118" s="1" t="s">
        <v>92</v>
      </c>
      <c r="AD118" s="1">
        <v>8.46</v>
      </c>
      <c r="AE118" s="1" t="s">
        <v>93</v>
      </c>
      <c r="AF118" s="1" t="s">
        <v>2607</v>
      </c>
      <c r="AG118" s="1" t="s">
        <v>2608</v>
      </c>
      <c r="AH118" s="1" t="s">
        <v>100</v>
      </c>
      <c r="AI118" s="1" t="s">
        <v>433</v>
      </c>
      <c r="AJ118" s="1">
        <v>86.2</v>
      </c>
      <c r="AK118" s="1"/>
      <c r="AL118" s="1"/>
      <c r="AM118" s="1"/>
      <c r="AN118" s="1"/>
      <c r="AO118" s="1"/>
      <c r="AP118" s="1"/>
      <c r="AQ118" s="1"/>
      <c r="AR118" s="1" t="s">
        <v>434</v>
      </c>
      <c r="AS118" s="1" t="s">
        <v>2609</v>
      </c>
      <c r="AT118" s="1" t="s">
        <v>201</v>
      </c>
      <c r="AU118" s="1" t="s">
        <v>481</v>
      </c>
      <c r="AV118" s="1">
        <v>89.11</v>
      </c>
      <c r="AW118" s="1"/>
      <c r="AX118" s="1" t="s">
        <v>361</v>
      </c>
      <c r="AY118" s="1" t="s">
        <v>2610</v>
      </c>
      <c r="AZ118" s="1" t="s">
        <v>874</v>
      </c>
      <c r="BA118" s="1" t="s">
        <v>2611</v>
      </c>
      <c r="BB118" s="1">
        <v>83.48</v>
      </c>
      <c r="BC118" s="1">
        <v>9.04</v>
      </c>
      <c r="BD118" s="1"/>
      <c r="BE118" s="1"/>
      <c r="BF118" s="1"/>
      <c r="BG118" s="1"/>
      <c r="BH118" s="1"/>
      <c r="BI118" s="1"/>
      <c r="BJ118" s="1" t="s">
        <v>2612</v>
      </c>
      <c r="BK118" s="1"/>
      <c r="BL118" s="1"/>
      <c r="BM118" s="1" t="s">
        <v>2613</v>
      </c>
      <c r="BN118" s="1">
        <v>26</v>
      </c>
      <c r="BO118" s="1"/>
      <c r="BP118" s="1" t="str">
        <f>HYPERLINK("https://nconnect.nicmar.ac.in/storage/profile/ProfilePhoto_P25700054_125897.jpg","Download")</f>
        <v>0</v>
      </c>
      <c r="BQ118" s="3"/>
      <c r="BR118" s="3"/>
    </row>
    <row r="119" spans="1:70">
      <c r="A119" s="1" t="s">
        <v>70</v>
      </c>
      <c r="B119" s="1" t="s">
        <v>1269</v>
      </c>
      <c r="C119" s="1" t="s">
        <v>2614</v>
      </c>
      <c r="D119" s="1" t="s">
        <v>2615</v>
      </c>
      <c r="E119" s="1"/>
      <c r="F119" s="1" t="s">
        <v>2616</v>
      </c>
      <c r="G119" s="1" t="s">
        <v>2617</v>
      </c>
      <c r="H119" s="1" t="s">
        <v>2618</v>
      </c>
      <c r="I119" s="1" t="s">
        <v>2619</v>
      </c>
      <c r="J119" s="1">
        <v>9959818087</v>
      </c>
      <c r="K119" s="1" t="s">
        <v>79</v>
      </c>
      <c r="L119" s="1" t="s">
        <v>2620</v>
      </c>
      <c r="M119" s="1" t="s">
        <v>81</v>
      </c>
      <c r="N119" s="1" t="s">
        <v>2621</v>
      </c>
      <c r="O119" s="1"/>
      <c r="P119" s="1" t="s">
        <v>1278</v>
      </c>
      <c r="Q119" s="1" t="s">
        <v>2622</v>
      </c>
      <c r="R119" s="1" t="s">
        <v>2623</v>
      </c>
      <c r="S119" s="1">
        <v>8886281818</v>
      </c>
      <c r="T119" s="1" t="s">
        <v>2624</v>
      </c>
      <c r="U119" s="1" t="s">
        <v>2625</v>
      </c>
      <c r="V119" s="1">
        <v>9949325947</v>
      </c>
      <c r="W119" s="1" t="s">
        <v>273</v>
      </c>
      <c r="X119" s="1" t="s">
        <v>2626</v>
      </c>
      <c r="Y119" s="1" t="s">
        <v>2627</v>
      </c>
      <c r="Z119" s="1" t="s">
        <v>609</v>
      </c>
      <c r="AA119" s="1" t="s">
        <v>2626</v>
      </c>
      <c r="AB119" s="1" t="s">
        <v>2627</v>
      </c>
      <c r="AC119" s="1" t="s">
        <v>609</v>
      </c>
      <c r="AD119" s="1">
        <v>7.59</v>
      </c>
      <c r="AE119" s="1" t="s">
        <v>93</v>
      </c>
      <c r="AF119" s="1" t="s">
        <v>2628</v>
      </c>
      <c r="AG119" s="1" t="s">
        <v>2629</v>
      </c>
      <c r="AH119" s="1" t="s">
        <v>101</v>
      </c>
      <c r="AI119" s="1" t="s">
        <v>308</v>
      </c>
      <c r="AJ119" s="1">
        <v>69.2</v>
      </c>
      <c r="AK119" s="1">
        <v>7.28</v>
      </c>
      <c r="AL119" s="1"/>
      <c r="AM119" s="1"/>
      <c r="AN119" s="1"/>
      <c r="AO119" s="1"/>
      <c r="AP119" s="1"/>
      <c r="AQ119" s="1"/>
      <c r="AR119" s="1" t="s">
        <v>434</v>
      </c>
      <c r="AS119" s="1" t="s">
        <v>2630</v>
      </c>
      <c r="AT119" s="1" t="s">
        <v>433</v>
      </c>
      <c r="AU119" s="1" t="s">
        <v>1003</v>
      </c>
      <c r="AV119" s="1">
        <v>64.9</v>
      </c>
      <c r="AW119" s="1">
        <v>6.99</v>
      </c>
      <c r="AX119" s="1" t="s">
        <v>614</v>
      </c>
      <c r="AY119" s="1" t="s">
        <v>2631</v>
      </c>
      <c r="AZ119" s="1" t="s">
        <v>2632</v>
      </c>
      <c r="BA119" s="1" t="s">
        <v>1584</v>
      </c>
      <c r="BB119" s="1">
        <v>67.1</v>
      </c>
      <c r="BC119" s="1">
        <v>7.21</v>
      </c>
      <c r="BD119" s="1"/>
      <c r="BE119" s="1"/>
      <c r="BF119" s="1"/>
      <c r="BG119" s="1"/>
      <c r="BH119" s="1"/>
      <c r="BI119" s="1"/>
      <c r="BJ119" s="1" t="s">
        <v>2633</v>
      </c>
      <c r="BK119" s="1"/>
      <c r="BL119" s="1"/>
      <c r="BM119" s="1" t="s">
        <v>2634</v>
      </c>
      <c r="BN119" s="1">
        <v>8</v>
      </c>
      <c r="BO119" s="1" t="s">
        <v>2635</v>
      </c>
      <c r="BP119" s="1" t="str">
        <f>HYPERLINK("https://nconnect.nicmar.ac.in/storage/profile/ProfilePhoto_P25700055_381546.jpg","Download")</f>
        <v>0</v>
      </c>
      <c r="BQ119" s="3"/>
      <c r="BR119" s="3"/>
    </row>
    <row r="120" spans="1:70">
      <c r="A120" s="1" t="s">
        <v>70</v>
      </c>
      <c r="B120" s="1" t="s">
        <v>1269</v>
      </c>
      <c r="C120" s="1" t="s">
        <v>2636</v>
      </c>
      <c r="D120" s="1" t="s">
        <v>2637</v>
      </c>
      <c r="E120" s="1" t="s">
        <v>2638</v>
      </c>
      <c r="F120" s="1" t="s">
        <v>2639</v>
      </c>
      <c r="G120" s="1" t="s">
        <v>2640</v>
      </c>
      <c r="H120" s="1" t="s">
        <v>2641</v>
      </c>
      <c r="I120" s="1" t="s">
        <v>2642</v>
      </c>
      <c r="J120" s="1">
        <v>7730891939</v>
      </c>
      <c r="K120" s="1" t="s">
        <v>79</v>
      </c>
      <c r="L120" s="1" t="s">
        <v>2643</v>
      </c>
      <c r="M120" s="1" t="s">
        <v>81</v>
      </c>
      <c r="N120" s="1" t="s">
        <v>2276</v>
      </c>
      <c r="O120" s="1"/>
      <c r="P120" s="1" t="s">
        <v>1278</v>
      </c>
      <c r="Q120" s="1" t="s">
        <v>2644</v>
      </c>
      <c r="R120" s="1" t="s">
        <v>2645</v>
      </c>
      <c r="S120" s="1">
        <v>9980402789</v>
      </c>
      <c r="T120" s="1" t="s">
        <v>87</v>
      </c>
      <c r="U120" s="1" t="s">
        <v>2646</v>
      </c>
      <c r="V120" s="1">
        <v>8722238789</v>
      </c>
      <c r="W120" s="1" t="s">
        <v>156</v>
      </c>
      <c r="X120" s="1" t="s">
        <v>2647</v>
      </c>
      <c r="Y120" s="1" t="s">
        <v>1150</v>
      </c>
      <c r="Z120" s="1" t="s">
        <v>276</v>
      </c>
      <c r="AA120" s="1" t="s">
        <v>2647</v>
      </c>
      <c r="AB120" s="1" t="s">
        <v>1150</v>
      </c>
      <c r="AC120" s="1" t="s">
        <v>276</v>
      </c>
      <c r="AD120" s="1">
        <v>8.58</v>
      </c>
      <c r="AE120" s="1" t="s">
        <v>93</v>
      </c>
      <c r="AF120" s="1" t="s">
        <v>2648</v>
      </c>
      <c r="AG120" s="1" t="s">
        <v>2649</v>
      </c>
      <c r="AH120" s="1" t="s">
        <v>999</v>
      </c>
      <c r="AI120" s="1" t="s">
        <v>97</v>
      </c>
      <c r="AJ120" s="1">
        <v>62.7</v>
      </c>
      <c r="AK120" s="1">
        <v>6.6</v>
      </c>
      <c r="AL120" s="1" t="s">
        <v>1153</v>
      </c>
      <c r="AM120" s="1" t="s">
        <v>2650</v>
      </c>
      <c r="AN120" s="1" t="s">
        <v>503</v>
      </c>
      <c r="AO120" s="1" t="s">
        <v>195</v>
      </c>
      <c r="AP120" s="1">
        <v>85.4</v>
      </c>
      <c r="AQ120" s="1"/>
      <c r="AR120" s="1"/>
      <c r="AS120" s="1"/>
      <c r="AT120" s="1"/>
      <c r="AU120" s="1"/>
      <c r="AV120" s="1"/>
      <c r="AW120" s="1"/>
      <c r="AX120" s="1" t="s">
        <v>2651</v>
      </c>
      <c r="AY120" s="1" t="s">
        <v>2652</v>
      </c>
      <c r="AZ120" s="1" t="s">
        <v>165</v>
      </c>
      <c r="BA120" s="1" t="s">
        <v>105</v>
      </c>
      <c r="BB120" s="1">
        <v>65.64</v>
      </c>
      <c r="BC120" s="1">
        <v>6.91</v>
      </c>
      <c r="BD120" s="1"/>
      <c r="BE120" s="1"/>
      <c r="BF120" s="1"/>
      <c r="BG120" s="1"/>
      <c r="BH120" s="1"/>
      <c r="BI120" s="1"/>
      <c r="BJ120" s="1" t="s">
        <v>734</v>
      </c>
      <c r="BK120" s="1" t="s">
        <v>2653</v>
      </c>
      <c r="BL120" s="1" t="s">
        <v>2654</v>
      </c>
      <c r="BM120" s="1" t="s">
        <v>2655</v>
      </c>
      <c r="BN120" s="1">
        <v>8</v>
      </c>
      <c r="BO120" s="1"/>
      <c r="BP120" s="1" t="str">
        <f>HYPERLINK("https://nconnect.nicmar.ac.in/storage/profile/ProfilePhoto_P25700056_462197.jpg","Download")</f>
        <v>0</v>
      </c>
      <c r="BQ120" s="3"/>
      <c r="BR120" s="3"/>
    </row>
    <row r="121" spans="1:70">
      <c r="A121" s="1" t="s">
        <v>70</v>
      </c>
      <c r="B121" s="1" t="s">
        <v>1269</v>
      </c>
      <c r="C121" s="1" t="s">
        <v>2656</v>
      </c>
      <c r="D121" s="1" t="s">
        <v>2657</v>
      </c>
      <c r="E121" s="1"/>
      <c r="F121" s="1" t="s">
        <v>2658</v>
      </c>
      <c r="G121" s="1" t="s">
        <v>2659</v>
      </c>
      <c r="H121" s="1" t="s">
        <v>2660</v>
      </c>
      <c r="I121" s="1" t="s">
        <v>2661</v>
      </c>
      <c r="J121" s="1">
        <v>8610373247</v>
      </c>
      <c r="K121" s="1" t="s">
        <v>79</v>
      </c>
      <c r="L121" s="1" t="s">
        <v>2662</v>
      </c>
      <c r="M121" s="1" t="s">
        <v>81</v>
      </c>
      <c r="N121" s="1" t="s">
        <v>2663</v>
      </c>
      <c r="O121" s="1"/>
      <c r="P121" s="1" t="s">
        <v>1278</v>
      </c>
      <c r="Q121" s="1" t="s">
        <v>2664</v>
      </c>
      <c r="R121" s="1" t="s">
        <v>2665</v>
      </c>
      <c r="S121" s="1">
        <v>9894903888</v>
      </c>
      <c r="T121" s="1" t="s">
        <v>2666</v>
      </c>
      <c r="U121" s="1" t="s">
        <v>2667</v>
      </c>
      <c r="V121" s="1">
        <v>8610206901</v>
      </c>
      <c r="W121" s="1" t="s">
        <v>156</v>
      </c>
      <c r="X121" s="1" t="s">
        <v>2668</v>
      </c>
      <c r="Y121" s="1" t="s">
        <v>2669</v>
      </c>
      <c r="Z121" s="1" t="s">
        <v>1377</v>
      </c>
      <c r="AA121" s="1" t="s">
        <v>2668</v>
      </c>
      <c r="AB121" s="1" t="s">
        <v>2669</v>
      </c>
      <c r="AC121" s="1" t="s">
        <v>1377</v>
      </c>
      <c r="AD121" s="1">
        <v>9.19</v>
      </c>
      <c r="AE121" s="1" t="s">
        <v>93</v>
      </c>
      <c r="AF121" s="1" t="s">
        <v>2670</v>
      </c>
      <c r="AG121" s="1" t="s">
        <v>2671</v>
      </c>
      <c r="AH121" s="1" t="s">
        <v>166</v>
      </c>
      <c r="AI121" s="1" t="s">
        <v>409</v>
      </c>
      <c r="AJ121" s="1">
        <v>87.8</v>
      </c>
      <c r="AK121" s="1"/>
      <c r="AL121" s="1" t="s">
        <v>2670</v>
      </c>
      <c r="AM121" s="1" t="s">
        <v>2671</v>
      </c>
      <c r="AN121" s="1" t="s">
        <v>1834</v>
      </c>
      <c r="AO121" s="1" t="s">
        <v>1712</v>
      </c>
      <c r="AP121" s="1">
        <v>90.14</v>
      </c>
      <c r="AQ121" s="1"/>
      <c r="AR121" s="1"/>
      <c r="AS121" s="1"/>
      <c r="AT121" s="1"/>
      <c r="AU121" s="1"/>
      <c r="AV121" s="1"/>
      <c r="AW121" s="1"/>
      <c r="AX121" s="1" t="s">
        <v>2672</v>
      </c>
      <c r="AY121" s="1" t="s">
        <v>2673</v>
      </c>
      <c r="AZ121" s="1" t="s">
        <v>135</v>
      </c>
      <c r="BA121" s="1" t="s">
        <v>1408</v>
      </c>
      <c r="BB121" s="1">
        <v>90.9</v>
      </c>
      <c r="BC121" s="1">
        <v>9.08</v>
      </c>
      <c r="BD121" s="1"/>
      <c r="BE121" s="1"/>
      <c r="BF121" s="1"/>
      <c r="BG121" s="1"/>
      <c r="BH121" s="1"/>
      <c r="BI121" s="1"/>
      <c r="BJ121" s="1" t="s">
        <v>1383</v>
      </c>
      <c r="BK121" s="1"/>
      <c r="BL121" s="1"/>
      <c r="BM121" s="1" t="s">
        <v>2674</v>
      </c>
      <c r="BN121" s="1">
        <v>13</v>
      </c>
      <c r="BO121" s="1"/>
      <c r="BP121" s="1" t="str">
        <f>HYPERLINK("https://nconnect.nicmar.ac.in/storage/profile/ProfilePhoto_P25700057_983714.jpg","Download")</f>
        <v>0</v>
      </c>
      <c r="BQ121" s="3"/>
      <c r="BR121" s="3"/>
    </row>
    <row r="122" spans="1:70">
      <c r="A122" s="1" t="s">
        <v>70</v>
      </c>
      <c r="B122" s="1" t="s">
        <v>1269</v>
      </c>
      <c r="C122" s="1" t="s">
        <v>2675</v>
      </c>
      <c r="D122" s="1" t="s">
        <v>2676</v>
      </c>
      <c r="E122" s="1" t="s">
        <v>110</v>
      </c>
      <c r="F122" s="1" t="s">
        <v>2677</v>
      </c>
      <c r="G122" s="1" t="s">
        <v>2678</v>
      </c>
      <c r="H122" s="1" t="s">
        <v>2679</v>
      </c>
      <c r="I122" s="1" t="s">
        <v>2680</v>
      </c>
      <c r="J122" s="1">
        <v>7039897949</v>
      </c>
      <c r="K122" s="1" t="s">
        <v>148</v>
      </c>
      <c r="L122" s="1" t="s">
        <v>2681</v>
      </c>
      <c r="M122" s="1" t="s">
        <v>81</v>
      </c>
      <c r="N122" s="1" t="s">
        <v>2682</v>
      </c>
      <c r="O122" s="1"/>
      <c r="P122" s="1" t="s">
        <v>1323</v>
      </c>
      <c r="Q122" s="1" t="s">
        <v>2683</v>
      </c>
      <c r="R122" s="1" t="s">
        <v>2684</v>
      </c>
      <c r="S122" s="1">
        <v>8691903888</v>
      </c>
      <c r="T122" s="1" t="s">
        <v>763</v>
      </c>
      <c r="U122" s="1" t="s">
        <v>2685</v>
      </c>
      <c r="V122" s="1">
        <v>8433836449</v>
      </c>
      <c r="W122" s="1" t="s">
        <v>273</v>
      </c>
      <c r="X122" s="1" t="s">
        <v>2686</v>
      </c>
      <c r="Y122" s="1" t="s">
        <v>995</v>
      </c>
      <c r="Z122" s="1" t="s">
        <v>92</v>
      </c>
      <c r="AA122" s="1" t="s">
        <v>2686</v>
      </c>
      <c r="AB122" s="1" t="s">
        <v>995</v>
      </c>
      <c r="AC122" s="1" t="s">
        <v>92</v>
      </c>
      <c r="AD122" s="1">
        <v>8.02</v>
      </c>
      <c r="AE122" s="1" t="s">
        <v>93</v>
      </c>
      <c r="AF122" s="1" t="s">
        <v>2687</v>
      </c>
      <c r="AG122" s="1" t="s">
        <v>2688</v>
      </c>
      <c r="AH122" s="1" t="s">
        <v>165</v>
      </c>
      <c r="AI122" s="1" t="s">
        <v>281</v>
      </c>
      <c r="AJ122" s="1">
        <v>74.4</v>
      </c>
      <c r="AK122" s="1"/>
      <c r="AL122" s="1"/>
      <c r="AM122" s="1"/>
      <c r="AN122" s="1"/>
      <c r="AO122" s="1"/>
      <c r="AP122" s="1"/>
      <c r="AQ122" s="1"/>
      <c r="AR122" s="1" t="s">
        <v>434</v>
      </c>
      <c r="AS122" s="1" t="s">
        <v>2689</v>
      </c>
      <c r="AT122" s="1" t="s">
        <v>310</v>
      </c>
      <c r="AU122" s="1" t="s">
        <v>2690</v>
      </c>
      <c r="AV122" s="1">
        <v>74.05</v>
      </c>
      <c r="AW122" s="1"/>
      <c r="AX122" s="1" t="s">
        <v>2691</v>
      </c>
      <c r="AY122" s="1" t="s">
        <v>2692</v>
      </c>
      <c r="AZ122" s="1" t="s">
        <v>2693</v>
      </c>
      <c r="BA122" s="1" t="s">
        <v>1584</v>
      </c>
      <c r="BB122" s="1">
        <v>69.6</v>
      </c>
      <c r="BC122" s="1">
        <v>6.96</v>
      </c>
      <c r="BD122" s="1"/>
      <c r="BE122" s="1"/>
      <c r="BF122" s="1"/>
      <c r="BG122" s="1"/>
      <c r="BH122" s="1"/>
      <c r="BI122" s="1"/>
      <c r="BJ122" s="1" t="s">
        <v>734</v>
      </c>
      <c r="BK122" s="1"/>
      <c r="BL122" s="1"/>
      <c r="BM122" s="1" t="s">
        <v>2694</v>
      </c>
      <c r="BN122" s="1">
        <v>4</v>
      </c>
      <c r="BO122" s="1"/>
      <c r="BP122" s="1" t="str">
        <f>HYPERLINK("https://nconnect.nicmar.ac.in/storage/profile/ProfilePhoto_P25700058_548397.jpg","Download")</f>
        <v>0</v>
      </c>
      <c r="BQ122" s="3"/>
      <c r="BR122" s="3"/>
    </row>
    <row r="123" spans="1:70">
      <c r="A123" s="1" t="s">
        <v>70</v>
      </c>
      <c r="B123" s="1" t="s">
        <v>1269</v>
      </c>
      <c r="C123" s="1" t="s">
        <v>2695</v>
      </c>
      <c r="D123" s="1" t="s">
        <v>2696</v>
      </c>
      <c r="E123" s="1" t="s">
        <v>1966</v>
      </c>
      <c r="F123" s="1" t="s">
        <v>2697</v>
      </c>
      <c r="G123" s="1" t="s">
        <v>2698</v>
      </c>
      <c r="H123" s="1" t="s">
        <v>2699</v>
      </c>
      <c r="I123" s="1" t="s">
        <v>2700</v>
      </c>
      <c r="J123" s="1">
        <v>7448124649</v>
      </c>
      <c r="K123" s="1" t="s">
        <v>79</v>
      </c>
      <c r="L123" s="1" t="s">
        <v>2701</v>
      </c>
      <c r="M123" s="1" t="s">
        <v>81</v>
      </c>
      <c r="N123" s="1" t="s">
        <v>1418</v>
      </c>
      <c r="O123" s="1"/>
      <c r="P123" s="1" t="s">
        <v>1323</v>
      </c>
      <c r="Q123" s="1" t="s">
        <v>2702</v>
      </c>
      <c r="R123" s="1" t="s">
        <v>1966</v>
      </c>
      <c r="S123" s="1">
        <v>9371793553</v>
      </c>
      <c r="T123" s="1" t="s">
        <v>122</v>
      </c>
      <c r="U123" s="1" t="s">
        <v>2703</v>
      </c>
      <c r="V123" s="1">
        <v>8087463553</v>
      </c>
      <c r="W123" s="1" t="s">
        <v>89</v>
      </c>
      <c r="X123" s="1" t="s">
        <v>2704</v>
      </c>
      <c r="Y123" s="1" t="s">
        <v>523</v>
      </c>
      <c r="Z123" s="1" t="s">
        <v>92</v>
      </c>
      <c r="AA123" s="1" t="s">
        <v>2705</v>
      </c>
      <c r="AB123" s="1" t="s">
        <v>523</v>
      </c>
      <c r="AC123" s="1" t="s">
        <v>92</v>
      </c>
      <c r="AD123" s="1">
        <v>8.84</v>
      </c>
      <c r="AE123" s="1" t="s">
        <v>93</v>
      </c>
      <c r="AF123" s="1" t="s">
        <v>2706</v>
      </c>
      <c r="AG123" s="1" t="s">
        <v>2707</v>
      </c>
      <c r="AH123" s="1" t="s">
        <v>165</v>
      </c>
      <c r="AI123" s="1" t="s">
        <v>101</v>
      </c>
      <c r="AJ123" s="1">
        <v>84.2</v>
      </c>
      <c r="AK123" s="1"/>
      <c r="AL123" s="1" t="s">
        <v>2708</v>
      </c>
      <c r="AM123" s="1" t="s">
        <v>2707</v>
      </c>
      <c r="AN123" s="1" t="s">
        <v>169</v>
      </c>
      <c r="AO123" s="1" t="s">
        <v>699</v>
      </c>
      <c r="AP123" s="1">
        <v>66.15</v>
      </c>
      <c r="AQ123" s="1"/>
      <c r="AR123" s="1"/>
      <c r="AS123" s="1"/>
      <c r="AT123" s="1"/>
      <c r="AU123" s="1"/>
      <c r="AV123" s="1"/>
      <c r="AW123" s="1"/>
      <c r="AX123" s="1" t="s">
        <v>2709</v>
      </c>
      <c r="AY123" s="1" t="s">
        <v>2710</v>
      </c>
      <c r="AZ123" s="1" t="s">
        <v>173</v>
      </c>
      <c r="BA123" s="1" t="s">
        <v>202</v>
      </c>
      <c r="BB123" s="1">
        <v>74.3</v>
      </c>
      <c r="BC123" s="1">
        <v>8.18</v>
      </c>
      <c r="BD123" s="1"/>
      <c r="BE123" s="1"/>
      <c r="BF123" s="1"/>
      <c r="BG123" s="1"/>
      <c r="BH123" s="1"/>
      <c r="BI123" s="1"/>
      <c r="BJ123" s="1" t="s">
        <v>2711</v>
      </c>
      <c r="BK123" s="1" t="s">
        <v>2712</v>
      </c>
      <c r="BL123" s="1" t="s">
        <v>1289</v>
      </c>
      <c r="BM123" s="1" t="s">
        <v>2713</v>
      </c>
      <c r="BN123" s="1">
        <v>21</v>
      </c>
      <c r="BO123" s="1" t="s">
        <v>2714</v>
      </c>
      <c r="BP123" s="1" t="str">
        <f>HYPERLINK("https://nconnect.nicmar.ac.in/storage/profile/ProfilePhoto_P25700059_679482.jpg","Download")</f>
        <v>0</v>
      </c>
      <c r="BQ123" s="3"/>
      <c r="BR123" s="3"/>
    </row>
    <row r="124" spans="1:70">
      <c r="A124" s="1" t="s">
        <v>70</v>
      </c>
      <c r="B124" s="1" t="s">
        <v>1269</v>
      </c>
      <c r="C124" s="1" t="s">
        <v>2715</v>
      </c>
      <c r="D124" s="1" t="s">
        <v>2716</v>
      </c>
      <c r="E124" s="1"/>
      <c r="F124" s="1" t="s">
        <v>2717</v>
      </c>
      <c r="G124" s="1" t="s">
        <v>2718</v>
      </c>
      <c r="H124" s="1" t="s">
        <v>2719</v>
      </c>
      <c r="I124" s="1" t="s">
        <v>2720</v>
      </c>
      <c r="J124" s="1">
        <v>8074616471</v>
      </c>
      <c r="K124" s="1" t="s">
        <v>79</v>
      </c>
      <c r="L124" s="1" t="s">
        <v>2721</v>
      </c>
      <c r="M124" s="1" t="s">
        <v>81</v>
      </c>
      <c r="N124" s="1" t="s">
        <v>2722</v>
      </c>
      <c r="O124" s="1"/>
      <c r="P124" s="1" t="s">
        <v>1278</v>
      </c>
      <c r="Q124" s="1" t="s">
        <v>2723</v>
      </c>
      <c r="R124" s="1" t="s">
        <v>2724</v>
      </c>
      <c r="S124" s="1">
        <v>9440078464</v>
      </c>
      <c r="T124" s="1" t="s">
        <v>496</v>
      </c>
      <c r="U124" s="1" t="s">
        <v>2725</v>
      </c>
      <c r="V124" s="1">
        <v>7207028476</v>
      </c>
      <c r="W124" s="1" t="s">
        <v>651</v>
      </c>
      <c r="X124" s="1" t="s">
        <v>2726</v>
      </c>
      <c r="Y124" s="1" t="s">
        <v>2727</v>
      </c>
      <c r="Z124" s="1" t="s">
        <v>276</v>
      </c>
      <c r="AA124" s="1" t="s">
        <v>2726</v>
      </c>
      <c r="AB124" s="1" t="s">
        <v>2727</v>
      </c>
      <c r="AC124" s="1" t="s">
        <v>276</v>
      </c>
      <c r="AD124" s="1">
        <v>9.2</v>
      </c>
      <c r="AE124" s="1" t="s">
        <v>93</v>
      </c>
      <c r="AF124" s="1" t="s">
        <v>2728</v>
      </c>
      <c r="AG124" s="1" t="s">
        <v>2729</v>
      </c>
      <c r="AH124" s="1" t="s">
        <v>161</v>
      </c>
      <c r="AI124" s="1" t="s">
        <v>456</v>
      </c>
      <c r="AJ124" s="1">
        <v>95</v>
      </c>
      <c r="AK124" s="1">
        <v>9.5</v>
      </c>
      <c r="AL124" s="1" t="s">
        <v>2730</v>
      </c>
      <c r="AM124" s="1" t="s">
        <v>2731</v>
      </c>
      <c r="AN124" s="1" t="s">
        <v>165</v>
      </c>
      <c r="AO124" s="1" t="s">
        <v>281</v>
      </c>
      <c r="AP124" s="1">
        <v>94.9</v>
      </c>
      <c r="AQ124" s="1"/>
      <c r="AR124" s="1"/>
      <c r="AS124" s="1"/>
      <c r="AT124" s="1"/>
      <c r="AU124" s="1"/>
      <c r="AV124" s="1"/>
      <c r="AW124" s="1"/>
      <c r="AX124" s="1" t="s">
        <v>1381</v>
      </c>
      <c r="AY124" s="1" t="s">
        <v>2732</v>
      </c>
      <c r="AZ124" s="1" t="s">
        <v>101</v>
      </c>
      <c r="BA124" s="1" t="s">
        <v>481</v>
      </c>
      <c r="BB124" s="1">
        <v>80.7</v>
      </c>
      <c r="BC124" s="1">
        <v>8.07</v>
      </c>
      <c r="BD124" s="1"/>
      <c r="BE124" s="1"/>
      <c r="BF124" s="1"/>
      <c r="BG124" s="1"/>
      <c r="BH124" s="1"/>
      <c r="BI124" s="1"/>
      <c r="BJ124" s="1" t="s">
        <v>2733</v>
      </c>
      <c r="BK124" s="1" t="s">
        <v>2734</v>
      </c>
      <c r="BL124" s="1" t="s">
        <v>1920</v>
      </c>
      <c r="BM124" s="1" t="s">
        <v>2735</v>
      </c>
      <c r="BN124" s="1">
        <v>29</v>
      </c>
      <c r="BO124" s="1"/>
      <c r="BP124" s="1" t="str">
        <f>HYPERLINK("https://nconnect.nicmar.ac.in/storage/profile/ProfilePhoto_P25700060_469738.jpg","Download")</f>
        <v>0</v>
      </c>
      <c r="BQ124" s="3"/>
      <c r="BR124" s="3"/>
    </row>
    <row r="125" spans="1:70">
      <c r="A125" s="1" t="s">
        <v>70</v>
      </c>
      <c r="B125" s="1" t="s">
        <v>1269</v>
      </c>
      <c r="C125" s="1" t="s">
        <v>2736</v>
      </c>
      <c r="D125" s="1" t="s">
        <v>2128</v>
      </c>
      <c r="E125" s="1"/>
      <c r="F125" s="1" t="s">
        <v>2737</v>
      </c>
      <c r="G125" s="1" t="s">
        <v>2738</v>
      </c>
      <c r="H125" s="1" t="s">
        <v>2739</v>
      </c>
      <c r="I125" s="1" t="s">
        <v>2740</v>
      </c>
      <c r="J125" s="1">
        <v>6366145389</v>
      </c>
      <c r="K125" s="1" t="s">
        <v>79</v>
      </c>
      <c r="L125" s="1" t="s">
        <v>2741</v>
      </c>
      <c r="M125" s="1" t="s">
        <v>81</v>
      </c>
      <c r="N125" s="1" t="s">
        <v>2742</v>
      </c>
      <c r="O125" s="1"/>
      <c r="P125" s="1" t="s">
        <v>1278</v>
      </c>
      <c r="Q125" s="1" t="s">
        <v>2743</v>
      </c>
      <c r="R125" s="1" t="s">
        <v>2744</v>
      </c>
      <c r="S125" s="1">
        <v>9739522349</v>
      </c>
      <c r="T125" s="1" t="s">
        <v>154</v>
      </c>
      <c r="U125" s="1" t="s">
        <v>2745</v>
      </c>
      <c r="V125" s="1">
        <v>9632284289</v>
      </c>
      <c r="W125" s="1" t="s">
        <v>89</v>
      </c>
      <c r="X125" s="1" t="s">
        <v>2746</v>
      </c>
      <c r="Y125" s="1" t="s">
        <v>2747</v>
      </c>
      <c r="Z125" s="1" t="s">
        <v>1084</v>
      </c>
      <c r="AA125" s="1" t="s">
        <v>2746</v>
      </c>
      <c r="AB125" s="1" t="s">
        <v>2747</v>
      </c>
      <c r="AC125" s="1" t="s">
        <v>1084</v>
      </c>
      <c r="AD125" s="1">
        <v>8.07</v>
      </c>
      <c r="AE125" s="1" t="s">
        <v>93</v>
      </c>
      <c r="AF125" s="1" t="s">
        <v>2748</v>
      </c>
      <c r="AG125" s="1" t="s">
        <v>2749</v>
      </c>
      <c r="AH125" s="1" t="s">
        <v>165</v>
      </c>
      <c r="AI125" s="1" t="s">
        <v>1307</v>
      </c>
      <c r="AJ125" s="1">
        <v>95.04</v>
      </c>
      <c r="AK125" s="1"/>
      <c r="AL125" s="1" t="s">
        <v>2750</v>
      </c>
      <c r="AM125" s="1" t="s">
        <v>2751</v>
      </c>
      <c r="AN125" s="1" t="s">
        <v>433</v>
      </c>
      <c r="AO125" s="1" t="s">
        <v>173</v>
      </c>
      <c r="AP125" s="1">
        <v>87.83</v>
      </c>
      <c r="AQ125" s="1"/>
      <c r="AR125" s="1"/>
      <c r="AS125" s="1"/>
      <c r="AT125" s="1"/>
      <c r="AU125" s="1"/>
      <c r="AV125" s="1"/>
      <c r="AW125" s="1"/>
      <c r="AX125" s="1" t="s">
        <v>2752</v>
      </c>
      <c r="AY125" s="1" t="s">
        <v>2753</v>
      </c>
      <c r="AZ125" s="1" t="s">
        <v>228</v>
      </c>
      <c r="BA125" s="1" t="s">
        <v>1361</v>
      </c>
      <c r="BB125" s="1">
        <v>69.1</v>
      </c>
      <c r="BC125" s="1"/>
      <c r="BD125" s="1"/>
      <c r="BE125" s="1"/>
      <c r="BF125" s="1"/>
      <c r="BG125" s="1"/>
      <c r="BH125" s="1"/>
      <c r="BI125" s="1"/>
      <c r="BJ125" s="1" t="s">
        <v>2754</v>
      </c>
      <c r="BK125" s="1"/>
      <c r="BL125" s="1"/>
      <c r="BM125" s="1" t="s">
        <v>2755</v>
      </c>
      <c r="BN125" s="1">
        <v>26</v>
      </c>
      <c r="BO125" s="1" t="s">
        <v>2756</v>
      </c>
      <c r="BP125" s="1" t="str">
        <f>HYPERLINK("https://nconnect.nicmar.ac.in/storage/profile/ProfilePhoto_P25700061_348925.jpg","Download")</f>
        <v>0</v>
      </c>
      <c r="BQ125" s="3"/>
      <c r="BR125" s="3"/>
    </row>
    <row r="126" spans="1:70">
      <c r="A126" s="1" t="s">
        <v>70</v>
      </c>
      <c r="B126" s="1" t="s">
        <v>1269</v>
      </c>
      <c r="C126" s="1" t="s">
        <v>2757</v>
      </c>
      <c r="D126" s="1" t="s">
        <v>2758</v>
      </c>
      <c r="E126" s="1" t="s">
        <v>2759</v>
      </c>
      <c r="F126" s="1" t="s">
        <v>2760</v>
      </c>
      <c r="G126" s="1" t="s">
        <v>2761</v>
      </c>
      <c r="H126" s="1" t="s">
        <v>2762</v>
      </c>
      <c r="I126" s="1" t="s">
        <v>2763</v>
      </c>
      <c r="J126" s="1">
        <v>9930084564</v>
      </c>
      <c r="K126" s="1" t="s">
        <v>148</v>
      </c>
      <c r="L126" s="1" t="s">
        <v>320</v>
      </c>
      <c r="M126" s="1" t="s">
        <v>150</v>
      </c>
      <c r="N126" s="1" t="s">
        <v>2764</v>
      </c>
      <c r="O126" s="1"/>
      <c r="P126" s="1" t="s">
        <v>1323</v>
      </c>
      <c r="Q126" s="1" t="s">
        <v>2765</v>
      </c>
      <c r="R126" s="1" t="s">
        <v>2766</v>
      </c>
      <c r="S126" s="1">
        <v>8625925411</v>
      </c>
      <c r="T126" s="1" t="s">
        <v>2767</v>
      </c>
      <c r="U126" s="1" t="s">
        <v>2768</v>
      </c>
      <c r="V126" s="1">
        <v>9850235411</v>
      </c>
      <c r="W126" s="1" t="s">
        <v>156</v>
      </c>
      <c r="X126" s="1" t="s">
        <v>2769</v>
      </c>
      <c r="Y126" s="1" t="s">
        <v>995</v>
      </c>
      <c r="Z126" s="1" t="s">
        <v>92</v>
      </c>
      <c r="AA126" s="1" t="s">
        <v>2769</v>
      </c>
      <c r="AB126" s="1" t="s">
        <v>995</v>
      </c>
      <c r="AC126" s="1" t="s">
        <v>92</v>
      </c>
      <c r="AD126" s="1">
        <v>8.97</v>
      </c>
      <c r="AE126" s="1" t="s">
        <v>93</v>
      </c>
      <c r="AF126" s="1" t="s">
        <v>2770</v>
      </c>
      <c r="AG126" s="1" t="s">
        <v>476</v>
      </c>
      <c r="AH126" s="1" t="s">
        <v>2223</v>
      </c>
      <c r="AI126" s="1" t="s">
        <v>1668</v>
      </c>
      <c r="AJ126" s="1">
        <v>73.4</v>
      </c>
      <c r="AK126" s="1"/>
      <c r="AL126" s="1"/>
      <c r="AM126" s="1"/>
      <c r="AN126" s="1"/>
      <c r="AO126" s="1"/>
      <c r="AP126" s="1"/>
      <c r="AQ126" s="1"/>
      <c r="AR126" s="1" t="s">
        <v>98</v>
      </c>
      <c r="AS126" s="1" t="s">
        <v>2771</v>
      </c>
      <c r="AT126" s="1" t="s">
        <v>2772</v>
      </c>
      <c r="AU126" s="1" t="s">
        <v>2773</v>
      </c>
      <c r="AV126" s="1">
        <v>72.69</v>
      </c>
      <c r="AW126" s="1"/>
      <c r="AX126" s="1" t="s">
        <v>2774</v>
      </c>
      <c r="AY126" s="1" t="s">
        <v>2775</v>
      </c>
      <c r="AZ126" s="1" t="s">
        <v>100</v>
      </c>
      <c r="BA126" s="1" t="s">
        <v>169</v>
      </c>
      <c r="BB126" s="1">
        <v>65.05</v>
      </c>
      <c r="BC126" s="1">
        <v>7.17</v>
      </c>
      <c r="BD126" s="1"/>
      <c r="BE126" s="1"/>
      <c r="BF126" s="1"/>
      <c r="BG126" s="1"/>
      <c r="BH126" s="1"/>
      <c r="BI126" s="1"/>
      <c r="BJ126" s="1" t="s">
        <v>2776</v>
      </c>
      <c r="BK126" s="1" t="s">
        <v>2777</v>
      </c>
      <c r="BL126" s="1" t="s">
        <v>2778</v>
      </c>
      <c r="BM126" s="1"/>
      <c r="BN126" s="1"/>
      <c r="BO126" s="1"/>
      <c r="BP126" s="1" t="str">
        <f>HYPERLINK("https://nconnect.nicmar.ac.in/storage/profile/ProfilePhoto_P25700063_819562.jpg","Download")</f>
        <v>0</v>
      </c>
      <c r="BQ126" s="3"/>
      <c r="BR126" s="3"/>
    </row>
    <row r="127" spans="1:70">
      <c r="A127" s="1" t="s">
        <v>70</v>
      </c>
      <c r="B127" s="1" t="s">
        <v>1269</v>
      </c>
      <c r="C127" s="1" t="s">
        <v>2779</v>
      </c>
      <c r="D127" s="1" t="s">
        <v>2780</v>
      </c>
      <c r="E127" s="1" t="s">
        <v>2781</v>
      </c>
      <c r="F127" s="1" t="s">
        <v>2782</v>
      </c>
      <c r="G127" s="1" t="s">
        <v>2783</v>
      </c>
      <c r="H127" s="1" t="s">
        <v>2784</v>
      </c>
      <c r="I127" s="1" t="s">
        <v>2785</v>
      </c>
      <c r="J127" s="1">
        <v>7841013049</v>
      </c>
      <c r="K127" s="1" t="s">
        <v>79</v>
      </c>
      <c r="L127" s="1" t="s">
        <v>2786</v>
      </c>
      <c r="M127" s="1" t="s">
        <v>81</v>
      </c>
      <c r="N127" s="1" t="s">
        <v>1418</v>
      </c>
      <c r="O127" s="1"/>
      <c r="P127" s="1" t="s">
        <v>1298</v>
      </c>
      <c r="Q127" s="1" t="s">
        <v>2787</v>
      </c>
      <c r="R127" s="1" t="s">
        <v>2781</v>
      </c>
      <c r="S127" s="1">
        <v>9766584075</v>
      </c>
      <c r="T127" s="1" t="s">
        <v>763</v>
      </c>
      <c r="U127" s="1" t="s">
        <v>2788</v>
      </c>
      <c r="V127" s="1">
        <v>9960754154</v>
      </c>
      <c r="W127" s="1" t="s">
        <v>156</v>
      </c>
      <c r="X127" s="1" t="s">
        <v>2789</v>
      </c>
      <c r="Y127" s="1" t="s">
        <v>2790</v>
      </c>
      <c r="Z127" s="1" t="s">
        <v>92</v>
      </c>
      <c r="AA127" s="1" t="s">
        <v>2789</v>
      </c>
      <c r="AB127" s="1" t="s">
        <v>2790</v>
      </c>
      <c r="AC127" s="1" t="s">
        <v>92</v>
      </c>
      <c r="AD127" s="1">
        <v>8.08</v>
      </c>
      <c r="AE127" s="1" t="s">
        <v>93</v>
      </c>
      <c r="AF127" s="1" t="s">
        <v>2791</v>
      </c>
      <c r="AG127" s="1" t="s">
        <v>476</v>
      </c>
      <c r="AH127" s="1" t="s">
        <v>101</v>
      </c>
      <c r="AI127" s="1" t="s">
        <v>409</v>
      </c>
      <c r="AJ127" s="1">
        <v>77</v>
      </c>
      <c r="AK127" s="1"/>
      <c r="AL127" s="1"/>
      <c r="AM127" s="1"/>
      <c r="AN127" s="1"/>
      <c r="AO127" s="1"/>
      <c r="AP127" s="1"/>
      <c r="AQ127" s="1"/>
      <c r="AR127" s="1" t="s">
        <v>434</v>
      </c>
      <c r="AS127" s="1" t="s">
        <v>2792</v>
      </c>
      <c r="AT127" s="1" t="s">
        <v>201</v>
      </c>
      <c r="AU127" s="1" t="s">
        <v>105</v>
      </c>
      <c r="AV127" s="1">
        <v>74</v>
      </c>
      <c r="AW127" s="1"/>
      <c r="AX127" s="1" t="s">
        <v>1892</v>
      </c>
      <c r="AY127" s="1" t="s">
        <v>2793</v>
      </c>
      <c r="AZ127" s="1" t="s">
        <v>105</v>
      </c>
      <c r="BA127" s="1" t="s">
        <v>1714</v>
      </c>
      <c r="BB127" s="1">
        <v>65</v>
      </c>
      <c r="BC127" s="1">
        <v>7</v>
      </c>
      <c r="BD127" s="1"/>
      <c r="BE127" s="1"/>
      <c r="BF127" s="1"/>
      <c r="BG127" s="1"/>
      <c r="BH127" s="1"/>
      <c r="BI127" s="1"/>
      <c r="BJ127" s="1" t="s">
        <v>364</v>
      </c>
      <c r="BK127" s="1"/>
      <c r="BL127" s="1"/>
      <c r="BM127" s="1" t="s">
        <v>2794</v>
      </c>
      <c r="BN127" s="1">
        <v>17</v>
      </c>
      <c r="BO127" s="1"/>
      <c r="BP127" s="1" t="str">
        <f>HYPERLINK("https://nconnect.nicmar.ac.in/storage/profile/ProfilePhoto_P25700064_658724.jpg","Download")</f>
        <v>0</v>
      </c>
      <c r="BQ127" s="3"/>
      <c r="BR127" s="3"/>
    </row>
    <row r="128" spans="1:70">
      <c r="A128" s="1" t="s">
        <v>70</v>
      </c>
      <c r="B128" s="1" t="s">
        <v>1269</v>
      </c>
      <c r="C128" s="1" t="s">
        <v>2795</v>
      </c>
      <c r="D128" s="1" t="s">
        <v>2796</v>
      </c>
      <c r="E128" s="1"/>
      <c r="F128" s="1" t="s">
        <v>2797</v>
      </c>
      <c r="G128" s="1" t="s">
        <v>2798</v>
      </c>
      <c r="H128" s="1" t="s">
        <v>2799</v>
      </c>
      <c r="I128" s="1" t="s">
        <v>2800</v>
      </c>
      <c r="J128" s="1">
        <v>7358753949</v>
      </c>
      <c r="K128" s="1" t="s">
        <v>79</v>
      </c>
      <c r="L128" s="1" t="s">
        <v>2801</v>
      </c>
      <c r="M128" s="1" t="s">
        <v>81</v>
      </c>
      <c r="N128" s="1" t="s">
        <v>2802</v>
      </c>
      <c r="O128" s="1"/>
      <c r="P128" s="1" t="s">
        <v>1298</v>
      </c>
      <c r="Q128" s="1" t="s">
        <v>2803</v>
      </c>
      <c r="R128" s="1" t="s">
        <v>2804</v>
      </c>
      <c r="S128" s="1">
        <v>8754584973</v>
      </c>
      <c r="T128" s="1" t="s">
        <v>2805</v>
      </c>
      <c r="U128" s="1" t="s">
        <v>2806</v>
      </c>
      <c r="V128" s="1">
        <v>9791124128</v>
      </c>
      <c r="W128" s="1" t="s">
        <v>651</v>
      </c>
      <c r="X128" s="1" t="s">
        <v>2807</v>
      </c>
      <c r="Y128" s="1" t="s">
        <v>2808</v>
      </c>
      <c r="Z128" s="1" t="s">
        <v>1377</v>
      </c>
      <c r="AA128" s="1" t="s">
        <v>2807</v>
      </c>
      <c r="AB128" s="1" t="s">
        <v>2808</v>
      </c>
      <c r="AC128" s="1" t="s">
        <v>1377</v>
      </c>
      <c r="AD128" s="1">
        <v>7.06</v>
      </c>
      <c r="AE128" s="1" t="s">
        <v>93</v>
      </c>
      <c r="AF128" s="1" t="s">
        <v>2809</v>
      </c>
      <c r="AG128" s="1" t="s">
        <v>2810</v>
      </c>
      <c r="AH128" s="1" t="s">
        <v>162</v>
      </c>
      <c r="AI128" s="1" t="s">
        <v>165</v>
      </c>
      <c r="AJ128" s="1">
        <v>79.8</v>
      </c>
      <c r="AK128" s="1"/>
      <c r="AL128" s="1" t="s">
        <v>2809</v>
      </c>
      <c r="AM128" s="1" t="s">
        <v>2810</v>
      </c>
      <c r="AN128" s="1" t="s">
        <v>166</v>
      </c>
      <c r="AO128" s="1" t="s">
        <v>308</v>
      </c>
      <c r="AP128" s="1">
        <v>68.4</v>
      </c>
      <c r="AQ128" s="1"/>
      <c r="AR128" s="1"/>
      <c r="AS128" s="1"/>
      <c r="AT128" s="1"/>
      <c r="AU128" s="1"/>
      <c r="AV128" s="1"/>
      <c r="AW128" s="1"/>
      <c r="AX128" s="1" t="s">
        <v>1381</v>
      </c>
      <c r="AY128" s="1" t="s">
        <v>2811</v>
      </c>
      <c r="AZ128" s="1" t="s">
        <v>201</v>
      </c>
      <c r="BA128" s="1" t="s">
        <v>386</v>
      </c>
      <c r="BB128" s="1">
        <v>74.6</v>
      </c>
      <c r="BC128" s="1"/>
      <c r="BD128" s="1"/>
      <c r="BE128" s="1"/>
      <c r="BF128" s="1"/>
      <c r="BG128" s="1"/>
      <c r="BH128" s="1"/>
      <c r="BI128" s="1"/>
      <c r="BJ128" s="1" t="s">
        <v>255</v>
      </c>
      <c r="BK128" s="1"/>
      <c r="BL128" s="1"/>
      <c r="BM128" s="1" t="s">
        <v>2812</v>
      </c>
      <c r="BN128" s="1">
        <v>2</v>
      </c>
      <c r="BO128" s="1"/>
      <c r="BP128" s="1" t="str">
        <f>HYPERLINK("https://nconnect.nicmar.ac.in/storage/profile/ProfilePhoto_P25700065_754213.jpg","Download")</f>
        <v>0</v>
      </c>
      <c r="BQ128" s="3"/>
      <c r="BR128" s="3"/>
    </row>
    <row r="129" spans="1:70">
      <c r="A129" s="1" t="s">
        <v>70</v>
      </c>
      <c r="B129" s="1" t="s">
        <v>1269</v>
      </c>
      <c r="C129" s="1" t="s">
        <v>2813</v>
      </c>
      <c r="D129" s="1" t="s">
        <v>2814</v>
      </c>
      <c r="E129" s="1" t="s">
        <v>596</v>
      </c>
      <c r="F129" s="1" t="s">
        <v>2815</v>
      </c>
      <c r="G129" s="1" t="s">
        <v>2816</v>
      </c>
      <c r="H129" s="1" t="s">
        <v>2817</v>
      </c>
      <c r="I129" s="1" t="s">
        <v>2818</v>
      </c>
      <c r="J129" s="1">
        <v>7008703108</v>
      </c>
      <c r="K129" s="1" t="s">
        <v>79</v>
      </c>
      <c r="L129" s="1" t="s">
        <v>2819</v>
      </c>
      <c r="M129" s="1" t="s">
        <v>81</v>
      </c>
      <c r="N129" s="1" t="s">
        <v>2820</v>
      </c>
      <c r="O129" s="1"/>
      <c r="P129" s="1" t="s">
        <v>2821</v>
      </c>
      <c r="Q129" s="1" t="s">
        <v>2822</v>
      </c>
      <c r="R129" s="1" t="s">
        <v>2823</v>
      </c>
      <c r="S129" s="1">
        <v>6371072764</v>
      </c>
      <c r="T129" s="1" t="s">
        <v>2824</v>
      </c>
      <c r="U129" s="1" t="s">
        <v>2825</v>
      </c>
      <c r="V129" s="1">
        <v>9348470163</v>
      </c>
      <c r="W129" s="1" t="s">
        <v>2824</v>
      </c>
      <c r="X129" s="1" t="s">
        <v>2826</v>
      </c>
      <c r="Y129" s="1" t="s">
        <v>2827</v>
      </c>
      <c r="Z129" s="1" t="s">
        <v>1731</v>
      </c>
      <c r="AA129" s="1" t="s">
        <v>2826</v>
      </c>
      <c r="AB129" s="1" t="s">
        <v>2827</v>
      </c>
      <c r="AC129" s="1" t="s">
        <v>1731</v>
      </c>
      <c r="AD129" s="1">
        <v>8.49</v>
      </c>
      <c r="AE129" s="1" t="s">
        <v>93</v>
      </c>
      <c r="AF129" s="1" t="s">
        <v>2828</v>
      </c>
      <c r="AG129" s="1" t="s">
        <v>2829</v>
      </c>
      <c r="AH129" s="1" t="s">
        <v>2830</v>
      </c>
      <c r="AI129" s="1" t="s">
        <v>527</v>
      </c>
      <c r="AJ129" s="1">
        <v>79.5</v>
      </c>
      <c r="AK129" s="1"/>
      <c r="AL129" s="1" t="s">
        <v>2831</v>
      </c>
      <c r="AM129" s="1" t="s">
        <v>2832</v>
      </c>
      <c r="AN129" s="1" t="s">
        <v>162</v>
      </c>
      <c r="AO129" s="1" t="s">
        <v>166</v>
      </c>
      <c r="AP129" s="1">
        <v>66.2</v>
      </c>
      <c r="AQ129" s="1"/>
      <c r="AR129" s="1"/>
      <c r="AS129" s="1"/>
      <c r="AT129" s="1"/>
      <c r="AU129" s="1"/>
      <c r="AV129" s="1"/>
      <c r="AW129" s="1"/>
      <c r="AX129" s="1" t="s">
        <v>2833</v>
      </c>
      <c r="AY129" s="1" t="s">
        <v>2834</v>
      </c>
      <c r="AZ129" s="1" t="s">
        <v>101</v>
      </c>
      <c r="BA129" s="1" t="s">
        <v>105</v>
      </c>
      <c r="BB129" s="1">
        <v>93.7</v>
      </c>
      <c r="BC129" s="1">
        <v>9.37</v>
      </c>
      <c r="BD129" s="1"/>
      <c r="BE129" s="1"/>
      <c r="BF129" s="1"/>
      <c r="BG129" s="1"/>
      <c r="BH129" s="1"/>
      <c r="BI129" s="1"/>
      <c r="BJ129" s="1" t="s">
        <v>2835</v>
      </c>
      <c r="BK129" s="1"/>
      <c r="BL129" s="1"/>
      <c r="BM129" s="1" t="s">
        <v>2836</v>
      </c>
      <c r="BN129" s="1">
        <v>9</v>
      </c>
      <c r="BO129" s="1" t="s">
        <v>2837</v>
      </c>
      <c r="BP129" s="1" t="str">
        <f>HYPERLINK("https://nconnect.nicmar.ac.in/storage/profile/ProfilePhoto_P25700066_218945.jpg","Download")</f>
        <v>0</v>
      </c>
      <c r="BQ129" s="3"/>
      <c r="BR129" s="3"/>
    </row>
    <row r="130" spans="1:70">
      <c r="A130" s="1" t="s">
        <v>70</v>
      </c>
      <c r="B130" s="1" t="s">
        <v>1269</v>
      </c>
      <c r="C130" s="1" t="s">
        <v>2838</v>
      </c>
      <c r="D130" s="1" t="s">
        <v>2347</v>
      </c>
      <c r="E130" s="1" t="s">
        <v>1280</v>
      </c>
      <c r="F130" s="1" t="s">
        <v>2839</v>
      </c>
      <c r="G130" s="1" t="s">
        <v>2840</v>
      </c>
      <c r="H130" s="1" t="s">
        <v>2841</v>
      </c>
      <c r="I130" s="1" t="s">
        <v>2842</v>
      </c>
      <c r="J130" s="1">
        <v>9156804191</v>
      </c>
      <c r="K130" s="1" t="s">
        <v>79</v>
      </c>
      <c r="L130" s="1" t="s">
        <v>2843</v>
      </c>
      <c r="M130" s="1" t="s">
        <v>81</v>
      </c>
      <c r="N130" s="1" t="s">
        <v>1765</v>
      </c>
      <c r="O130" s="1"/>
      <c r="P130" s="1" t="s">
        <v>1298</v>
      </c>
      <c r="Q130" s="1" t="s">
        <v>2844</v>
      </c>
      <c r="R130" s="1" t="s">
        <v>1280</v>
      </c>
      <c r="S130" s="1">
        <v>9763106231</v>
      </c>
      <c r="T130" s="1" t="s">
        <v>763</v>
      </c>
      <c r="U130" s="1" t="s">
        <v>2845</v>
      </c>
      <c r="V130" s="1">
        <v>9637861884</v>
      </c>
      <c r="W130" s="1" t="s">
        <v>156</v>
      </c>
      <c r="X130" s="1" t="s">
        <v>2846</v>
      </c>
      <c r="Y130" s="1" t="s">
        <v>219</v>
      </c>
      <c r="Z130" s="1" t="s">
        <v>92</v>
      </c>
      <c r="AA130" s="1" t="s">
        <v>2846</v>
      </c>
      <c r="AB130" s="1" t="s">
        <v>219</v>
      </c>
      <c r="AC130" s="1" t="s">
        <v>92</v>
      </c>
      <c r="AD130" s="1">
        <v>7.35</v>
      </c>
      <c r="AE130" s="1" t="s">
        <v>93</v>
      </c>
      <c r="AF130" s="1" t="s">
        <v>2847</v>
      </c>
      <c r="AG130" s="1" t="s">
        <v>2848</v>
      </c>
      <c r="AH130" s="1" t="s">
        <v>96</v>
      </c>
      <c r="AI130" s="1" t="s">
        <v>161</v>
      </c>
      <c r="AJ130" s="1">
        <v>80</v>
      </c>
      <c r="AK130" s="1"/>
      <c r="AL130" s="1" t="s">
        <v>2849</v>
      </c>
      <c r="AM130" s="1" t="s">
        <v>2848</v>
      </c>
      <c r="AN130" s="1" t="s">
        <v>733</v>
      </c>
      <c r="AO130" s="1" t="s">
        <v>479</v>
      </c>
      <c r="AP130" s="1">
        <v>62</v>
      </c>
      <c r="AQ130" s="1"/>
      <c r="AR130" s="1"/>
      <c r="AS130" s="1"/>
      <c r="AT130" s="1"/>
      <c r="AU130" s="1"/>
      <c r="AV130" s="1"/>
      <c r="AW130" s="1"/>
      <c r="AX130" s="1" t="s">
        <v>335</v>
      </c>
      <c r="AY130" s="1" t="s">
        <v>2850</v>
      </c>
      <c r="AZ130" s="1" t="s">
        <v>383</v>
      </c>
      <c r="BA130" s="1" t="s">
        <v>436</v>
      </c>
      <c r="BB130" s="1">
        <v>89.62</v>
      </c>
      <c r="BC130" s="1">
        <v>9.82</v>
      </c>
      <c r="BD130" s="1"/>
      <c r="BE130" s="1"/>
      <c r="BF130" s="1"/>
      <c r="BG130" s="1"/>
      <c r="BH130" s="1"/>
      <c r="BI130" s="1"/>
      <c r="BJ130" s="1" t="s">
        <v>2851</v>
      </c>
      <c r="BK130" s="1" t="s">
        <v>2852</v>
      </c>
      <c r="BL130" s="1" t="s">
        <v>287</v>
      </c>
      <c r="BM130" s="1" t="s">
        <v>2853</v>
      </c>
      <c r="BN130" s="1">
        <v>28</v>
      </c>
      <c r="BO130" s="1" t="s">
        <v>2854</v>
      </c>
      <c r="BP130" s="1" t="str">
        <f>HYPERLINK("https://nconnect.nicmar.ac.in/storage/profile/ProfilePhoto_P25700067_296354.jpg","Download")</f>
        <v>0</v>
      </c>
      <c r="BQ130" s="3"/>
      <c r="BR130" s="3"/>
    </row>
    <row r="131" spans="1:70">
      <c r="A131" s="1" t="s">
        <v>70</v>
      </c>
      <c r="B131" s="1" t="s">
        <v>1269</v>
      </c>
      <c r="C131" s="1" t="s">
        <v>2855</v>
      </c>
      <c r="D131" s="1" t="s">
        <v>2856</v>
      </c>
      <c r="E131" s="1"/>
      <c r="F131" s="1" t="s">
        <v>2191</v>
      </c>
      <c r="G131" s="1" t="s">
        <v>2857</v>
      </c>
      <c r="H131" s="1" t="s">
        <v>2858</v>
      </c>
      <c r="I131" s="1" t="s">
        <v>2859</v>
      </c>
      <c r="J131" s="1">
        <v>9384237607</v>
      </c>
      <c r="K131" s="1" t="s">
        <v>79</v>
      </c>
      <c r="L131" s="1" t="s">
        <v>2860</v>
      </c>
      <c r="M131" s="1" t="s">
        <v>81</v>
      </c>
      <c r="N131" s="1" t="s">
        <v>2861</v>
      </c>
      <c r="O131" s="1"/>
      <c r="P131" s="1" t="s">
        <v>2507</v>
      </c>
      <c r="Q131" s="1" t="s">
        <v>2862</v>
      </c>
      <c r="R131" s="1" t="s">
        <v>2863</v>
      </c>
      <c r="S131" s="1">
        <v>9443467607</v>
      </c>
      <c r="T131" s="1" t="s">
        <v>2864</v>
      </c>
      <c r="U131" s="1" t="s">
        <v>2865</v>
      </c>
      <c r="V131" s="1">
        <v>7010827356</v>
      </c>
      <c r="W131" s="1" t="s">
        <v>273</v>
      </c>
      <c r="X131" s="1" t="s">
        <v>2866</v>
      </c>
      <c r="Y131" s="1" t="s">
        <v>2867</v>
      </c>
      <c r="Z131" s="1" t="s">
        <v>2867</v>
      </c>
      <c r="AA131" s="1" t="s">
        <v>2866</v>
      </c>
      <c r="AB131" s="1" t="s">
        <v>2867</v>
      </c>
      <c r="AC131" s="1" t="s">
        <v>2867</v>
      </c>
      <c r="AD131" s="1">
        <v>8.75</v>
      </c>
      <c r="AE131" s="1" t="s">
        <v>93</v>
      </c>
      <c r="AF131" s="1" t="s">
        <v>2868</v>
      </c>
      <c r="AG131" s="1" t="s">
        <v>2869</v>
      </c>
      <c r="AH131" s="1" t="s">
        <v>101</v>
      </c>
      <c r="AI131" s="1" t="s">
        <v>409</v>
      </c>
      <c r="AJ131" s="1">
        <v>80.6</v>
      </c>
      <c r="AK131" s="1"/>
      <c r="AL131" s="1" t="s">
        <v>2868</v>
      </c>
      <c r="AM131" s="1" t="s">
        <v>2869</v>
      </c>
      <c r="AN131" s="1" t="s">
        <v>699</v>
      </c>
      <c r="AO131" s="1" t="s">
        <v>1712</v>
      </c>
      <c r="AP131" s="1">
        <v>83.95</v>
      </c>
      <c r="AQ131" s="1"/>
      <c r="AR131" s="1"/>
      <c r="AS131" s="1"/>
      <c r="AT131" s="1"/>
      <c r="AU131" s="1"/>
      <c r="AV131" s="1"/>
      <c r="AW131" s="1"/>
      <c r="AX131" s="1" t="s">
        <v>1359</v>
      </c>
      <c r="AY131" s="1" t="s">
        <v>2870</v>
      </c>
      <c r="AZ131" s="1" t="s">
        <v>436</v>
      </c>
      <c r="BA131" s="1" t="s">
        <v>1584</v>
      </c>
      <c r="BB131" s="1">
        <v>82.2</v>
      </c>
      <c r="BC131" s="1">
        <v>8.22</v>
      </c>
      <c r="BD131" s="1"/>
      <c r="BE131" s="1"/>
      <c r="BF131" s="1"/>
      <c r="BG131" s="1"/>
      <c r="BH131" s="1"/>
      <c r="BI131" s="1"/>
      <c r="BJ131" s="1" t="s">
        <v>2871</v>
      </c>
      <c r="BK131" s="1"/>
      <c r="BL131" s="1"/>
      <c r="BM131" s="1" t="s">
        <v>2872</v>
      </c>
      <c r="BN131" s="1">
        <v>13</v>
      </c>
      <c r="BO131" s="1" t="s">
        <v>2873</v>
      </c>
      <c r="BP131" s="1" t="str">
        <f>HYPERLINK("https://nconnect.nicmar.ac.in/storage/profile/ProfilePhoto_P25700068_416927.jpg","Download")</f>
        <v>0</v>
      </c>
      <c r="BQ131" s="3"/>
      <c r="BR131" s="3"/>
    </row>
    <row r="132" spans="1:70">
      <c r="A132" s="1" t="s">
        <v>70</v>
      </c>
      <c r="B132" s="1" t="s">
        <v>1269</v>
      </c>
      <c r="C132" s="1" t="s">
        <v>2874</v>
      </c>
      <c r="D132" s="1" t="s">
        <v>1455</v>
      </c>
      <c r="E132" s="1" t="s">
        <v>2875</v>
      </c>
      <c r="F132" s="1" t="s">
        <v>835</v>
      </c>
      <c r="G132" s="1" t="s">
        <v>2876</v>
      </c>
      <c r="H132" s="1" t="s">
        <v>2877</v>
      </c>
      <c r="I132" s="1" t="s">
        <v>2878</v>
      </c>
      <c r="J132" s="1">
        <v>7395070607</v>
      </c>
      <c r="K132" s="1" t="s">
        <v>79</v>
      </c>
      <c r="L132" s="1" t="s">
        <v>2879</v>
      </c>
      <c r="M132" s="1" t="s">
        <v>81</v>
      </c>
      <c r="N132" s="1" t="s">
        <v>2880</v>
      </c>
      <c r="O132" s="1"/>
      <c r="P132" s="1" t="s">
        <v>1323</v>
      </c>
      <c r="Q132" s="1" t="s">
        <v>2881</v>
      </c>
      <c r="R132" s="1" t="s">
        <v>2882</v>
      </c>
      <c r="S132" s="1">
        <v>9451192005</v>
      </c>
      <c r="T132" s="1" t="s">
        <v>2883</v>
      </c>
      <c r="U132" s="1" t="s">
        <v>2884</v>
      </c>
      <c r="V132" s="1">
        <v>8543047445</v>
      </c>
      <c r="W132" s="1" t="s">
        <v>273</v>
      </c>
      <c r="X132" s="1" t="s">
        <v>2885</v>
      </c>
      <c r="Y132" s="1" t="s">
        <v>1354</v>
      </c>
      <c r="Z132" s="1" t="s">
        <v>1355</v>
      </c>
      <c r="AA132" s="1" t="s">
        <v>2886</v>
      </c>
      <c r="AB132" s="1" t="s">
        <v>1354</v>
      </c>
      <c r="AC132" s="1" t="s">
        <v>1355</v>
      </c>
      <c r="AD132" s="1">
        <v>8.52</v>
      </c>
      <c r="AE132" s="1" t="s">
        <v>93</v>
      </c>
      <c r="AF132" s="1" t="s">
        <v>2887</v>
      </c>
      <c r="AG132" s="1" t="s">
        <v>2888</v>
      </c>
      <c r="AH132" s="1" t="s">
        <v>279</v>
      </c>
      <c r="AI132" s="1" t="s">
        <v>165</v>
      </c>
      <c r="AJ132" s="1">
        <v>87.4</v>
      </c>
      <c r="AK132" s="1">
        <v>9.2</v>
      </c>
      <c r="AL132" s="1" t="s">
        <v>2887</v>
      </c>
      <c r="AM132" s="1" t="s">
        <v>2888</v>
      </c>
      <c r="AN132" s="1" t="s">
        <v>1307</v>
      </c>
      <c r="AO132" s="1" t="s">
        <v>308</v>
      </c>
      <c r="AP132" s="1">
        <v>62</v>
      </c>
      <c r="AQ132" s="1"/>
      <c r="AR132" s="1"/>
      <c r="AS132" s="1"/>
      <c r="AT132" s="1"/>
      <c r="AU132" s="1"/>
      <c r="AV132" s="1"/>
      <c r="AW132" s="1"/>
      <c r="AX132" s="1" t="s">
        <v>2889</v>
      </c>
      <c r="AY132" s="1" t="s">
        <v>2890</v>
      </c>
      <c r="AZ132" s="1" t="s">
        <v>310</v>
      </c>
      <c r="BA132" s="1" t="s">
        <v>174</v>
      </c>
      <c r="BB132" s="1">
        <v>77.8</v>
      </c>
      <c r="BC132" s="1">
        <v>7.78</v>
      </c>
      <c r="BD132" s="1"/>
      <c r="BE132" s="1"/>
      <c r="BF132" s="1"/>
      <c r="BG132" s="1"/>
      <c r="BH132" s="1"/>
      <c r="BI132" s="1"/>
      <c r="BJ132" s="1" t="s">
        <v>1383</v>
      </c>
      <c r="BK132" s="1" t="s">
        <v>2891</v>
      </c>
      <c r="BL132" s="1" t="s">
        <v>2892</v>
      </c>
      <c r="BM132" s="1" t="s">
        <v>2893</v>
      </c>
      <c r="BN132" s="1">
        <v>13</v>
      </c>
      <c r="BO132" s="1" t="s">
        <v>2894</v>
      </c>
      <c r="BP132" s="1" t="str">
        <f>HYPERLINK("https://nconnect.nicmar.ac.in/storage/profile/ProfilePhoto_P25700069_452369.jpg","Download")</f>
        <v>0</v>
      </c>
      <c r="BQ132" s="3"/>
      <c r="BR132" s="3"/>
    </row>
    <row r="133" spans="1:70">
      <c r="A133" s="1" t="s">
        <v>70</v>
      </c>
      <c r="B133" s="1" t="s">
        <v>1269</v>
      </c>
      <c r="C133" s="1" t="s">
        <v>2895</v>
      </c>
      <c r="D133" s="1" t="s">
        <v>2896</v>
      </c>
      <c r="E133" s="1" t="s">
        <v>1566</v>
      </c>
      <c r="F133" s="1" t="s">
        <v>2897</v>
      </c>
      <c r="G133" s="1" t="s">
        <v>2898</v>
      </c>
      <c r="H133" s="1" t="s">
        <v>2899</v>
      </c>
      <c r="I133" s="1" t="s">
        <v>2900</v>
      </c>
      <c r="J133" s="1">
        <v>7666230780</v>
      </c>
      <c r="K133" s="1" t="s">
        <v>79</v>
      </c>
      <c r="L133" s="1" t="s">
        <v>2901</v>
      </c>
      <c r="M133" s="1" t="s">
        <v>81</v>
      </c>
      <c r="N133" s="1" t="s">
        <v>2008</v>
      </c>
      <c r="O133" s="1"/>
      <c r="P133" s="1" t="s">
        <v>1298</v>
      </c>
      <c r="Q133" s="1" t="s">
        <v>2902</v>
      </c>
      <c r="R133" s="1" t="s">
        <v>2903</v>
      </c>
      <c r="S133" s="1">
        <v>7020516143</v>
      </c>
      <c r="T133" s="1" t="s">
        <v>910</v>
      </c>
      <c r="U133" s="1" t="s">
        <v>2904</v>
      </c>
      <c r="V133" s="1">
        <v>9075994350</v>
      </c>
      <c r="W133" s="1" t="s">
        <v>156</v>
      </c>
      <c r="X133" s="1" t="s">
        <v>2905</v>
      </c>
      <c r="Y133" s="1" t="s">
        <v>2906</v>
      </c>
      <c r="Z133" s="1" t="s">
        <v>92</v>
      </c>
      <c r="AA133" s="1" t="s">
        <v>2905</v>
      </c>
      <c r="AB133" s="1" t="s">
        <v>2906</v>
      </c>
      <c r="AC133" s="1" t="s">
        <v>92</v>
      </c>
      <c r="AD133" s="1">
        <v>8.95</v>
      </c>
      <c r="AE133" s="1" t="s">
        <v>93</v>
      </c>
      <c r="AF133" s="1" t="s">
        <v>2907</v>
      </c>
      <c r="AG133" s="1" t="s">
        <v>2908</v>
      </c>
      <c r="AH133" s="1" t="s">
        <v>162</v>
      </c>
      <c r="AI133" s="1" t="s">
        <v>165</v>
      </c>
      <c r="AJ133" s="1">
        <v>90.2</v>
      </c>
      <c r="AK133" s="1"/>
      <c r="AL133" s="1"/>
      <c r="AM133" s="1"/>
      <c r="AN133" s="1"/>
      <c r="AO133" s="1"/>
      <c r="AP133" s="1"/>
      <c r="AQ133" s="1"/>
      <c r="AR133" s="1" t="s">
        <v>98</v>
      </c>
      <c r="AS133" s="1" t="s">
        <v>2909</v>
      </c>
      <c r="AT133" s="1" t="s">
        <v>2910</v>
      </c>
      <c r="AU133" s="1" t="s">
        <v>170</v>
      </c>
      <c r="AV133" s="1">
        <v>96.58</v>
      </c>
      <c r="AW133" s="1"/>
      <c r="AX133" s="1" t="s">
        <v>361</v>
      </c>
      <c r="AY133" s="1" t="s">
        <v>2911</v>
      </c>
      <c r="AZ133" s="1" t="s">
        <v>363</v>
      </c>
      <c r="BA133" s="1" t="s">
        <v>174</v>
      </c>
      <c r="BB133" s="1">
        <v>86.24</v>
      </c>
      <c r="BC133" s="1">
        <v>9.12</v>
      </c>
      <c r="BD133" s="1"/>
      <c r="BE133" s="1"/>
      <c r="BF133" s="1"/>
      <c r="BG133" s="1"/>
      <c r="BH133" s="1"/>
      <c r="BI133" s="1"/>
      <c r="BJ133" s="1" t="s">
        <v>2912</v>
      </c>
      <c r="BK133" s="1" t="s">
        <v>2913</v>
      </c>
      <c r="BL133" s="1" t="s">
        <v>2914</v>
      </c>
      <c r="BM133" s="1" t="s">
        <v>2915</v>
      </c>
      <c r="BN133" s="1">
        <v>56</v>
      </c>
      <c r="BO133" s="1" t="s">
        <v>2916</v>
      </c>
      <c r="BP133" s="1" t="str">
        <f>HYPERLINK("https://nconnect.nicmar.ac.in/storage/profile/ProfilePhoto_P25700070_589147.jpg","Download")</f>
        <v>0</v>
      </c>
      <c r="BQ133" s="3"/>
      <c r="BR133" s="3"/>
    </row>
    <row r="134" spans="1:70">
      <c r="A134" s="1" t="s">
        <v>70</v>
      </c>
      <c r="B134" s="1" t="s">
        <v>1269</v>
      </c>
      <c r="C134" s="1" t="s">
        <v>2917</v>
      </c>
      <c r="D134" s="1" t="s">
        <v>2918</v>
      </c>
      <c r="E134" s="1"/>
      <c r="F134" s="1" t="s">
        <v>2310</v>
      </c>
      <c r="G134" s="1" t="s">
        <v>2919</v>
      </c>
      <c r="H134" s="1" t="s">
        <v>2920</v>
      </c>
      <c r="I134" s="1" t="s">
        <v>2921</v>
      </c>
      <c r="J134" s="1">
        <v>9488964540</v>
      </c>
      <c r="K134" s="1" t="s">
        <v>79</v>
      </c>
      <c r="L134" s="1" t="s">
        <v>2922</v>
      </c>
      <c r="M134" s="1" t="s">
        <v>81</v>
      </c>
      <c r="N134" s="1" t="s">
        <v>2923</v>
      </c>
      <c r="O134" s="1"/>
      <c r="P134" s="1" t="s">
        <v>1278</v>
      </c>
      <c r="Q134" s="1" t="s">
        <v>2924</v>
      </c>
      <c r="R134" s="1" t="s">
        <v>2925</v>
      </c>
      <c r="S134" s="1">
        <v>9043064540</v>
      </c>
      <c r="T134" s="1" t="s">
        <v>2926</v>
      </c>
      <c r="U134" s="1" t="s">
        <v>2927</v>
      </c>
      <c r="V134" s="1">
        <v>9943064540</v>
      </c>
      <c r="W134" s="1" t="s">
        <v>2926</v>
      </c>
      <c r="X134" s="1" t="s">
        <v>2928</v>
      </c>
      <c r="Y134" s="1" t="s">
        <v>2929</v>
      </c>
      <c r="Z134" s="1" t="s">
        <v>1377</v>
      </c>
      <c r="AA134" s="1" t="s">
        <v>2928</v>
      </c>
      <c r="AB134" s="1" t="s">
        <v>2929</v>
      </c>
      <c r="AC134" s="1" t="s">
        <v>1377</v>
      </c>
      <c r="AD134" s="1">
        <v>8.64</v>
      </c>
      <c r="AE134" s="1" t="s">
        <v>93</v>
      </c>
      <c r="AF134" s="1" t="s">
        <v>2930</v>
      </c>
      <c r="AG134" s="1" t="s">
        <v>2931</v>
      </c>
      <c r="AH134" s="1" t="s">
        <v>166</v>
      </c>
      <c r="AI134" s="1" t="s">
        <v>308</v>
      </c>
      <c r="AJ134" s="1">
        <v>87</v>
      </c>
      <c r="AK134" s="1"/>
      <c r="AL134" s="1" t="s">
        <v>2932</v>
      </c>
      <c r="AM134" s="1" t="s">
        <v>2931</v>
      </c>
      <c r="AN134" s="1" t="s">
        <v>681</v>
      </c>
      <c r="AO134" s="1" t="s">
        <v>436</v>
      </c>
      <c r="AP134" s="1">
        <v>88.6</v>
      </c>
      <c r="AQ134" s="1"/>
      <c r="AR134" s="1"/>
      <c r="AS134" s="1"/>
      <c r="AT134" s="1"/>
      <c r="AU134" s="1"/>
      <c r="AV134" s="1"/>
      <c r="AW134" s="1"/>
      <c r="AX134" s="1" t="s">
        <v>1381</v>
      </c>
      <c r="AY134" s="1" t="s">
        <v>2933</v>
      </c>
      <c r="AZ134" s="1" t="s">
        <v>1051</v>
      </c>
      <c r="BA134" s="1" t="s">
        <v>1361</v>
      </c>
      <c r="BB134" s="1">
        <v>73.8</v>
      </c>
      <c r="BC134" s="1">
        <v>7.38</v>
      </c>
      <c r="BD134" s="1"/>
      <c r="BE134" s="1"/>
      <c r="BF134" s="1"/>
      <c r="BG134" s="1"/>
      <c r="BH134" s="1"/>
      <c r="BI134" s="1"/>
      <c r="BJ134" s="1" t="s">
        <v>2934</v>
      </c>
      <c r="BK134" s="1"/>
      <c r="BL134" s="1"/>
      <c r="BM134" s="1" t="s">
        <v>2935</v>
      </c>
      <c r="BN134" s="1">
        <v>9</v>
      </c>
      <c r="BO134" s="1" t="s">
        <v>2936</v>
      </c>
      <c r="BP134" s="1" t="str">
        <f>HYPERLINK("https://nconnect.nicmar.ac.in/storage/profile/ProfilePhoto_P25700071_679325.jpg","Download")</f>
        <v>0</v>
      </c>
      <c r="BQ134" s="3"/>
      <c r="BR134" s="3"/>
    </row>
    <row r="135" spans="1:70">
      <c r="A135" s="1" t="s">
        <v>70</v>
      </c>
      <c r="B135" s="1" t="s">
        <v>1269</v>
      </c>
      <c r="C135" s="1" t="s">
        <v>2937</v>
      </c>
      <c r="D135" s="1" t="s">
        <v>2938</v>
      </c>
      <c r="E135" s="1"/>
      <c r="F135" s="1" t="s">
        <v>2939</v>
      </c>
      <c r="G135" s="1" t="s">
        <v>2940</v>
      </c>
      <c r="H135" s="1" t="s">
        <v>2941</v>
      </c>
      <c r="I135" s="1" t="s">
        <v>2942</v>
      </c>
      <c r="J135" s="1">
        <v>9151747407</v>
      </c>
      <c r="K135" s="1" t="s">
        <v>79</v>
      </c>
      <c r="L135" s="1" t="s">
        <v>2943</v>
      </c>
      <c r="M135" s="1" t="s">
        <v>150</v>
      </c>
      <c r="N135" s="1" t="s">
        <v>241</v>
      </c>
      <c r="O135" s="1"/>
      <c r="P135" s="1" t="s">
        <v>1298</v>
      </c>
      <c r="Q135" s="1" t="s">
        <v>2944</v>
      </c>
      <c r="R135" s="1" t="s">
        <v>2945</v>
      </c>
      <c r="S135" s="1">
        <v>9414583350</v>
      </c>
      <c r="T135" s="1" t="s">
        <v>2946</v>
      </c>
      <c r="U135" s="1" t="s">
        <v>2947</v>
      </c>
      <c r="V135" s="1">
        <v>9151747407</v>
      </c>
      <c r="W135" s="1" t="s">
        <v>156</v>
      </c>
      <c r="X135" s="1" t="s">
        <v>2948</v>
      </c>
      <c r="Y135" s="1" t="s">
        <v>2949</v>
      </c>
      <c r="Z135" s="1" t="s">
        <v>867</v>
      </c>
      <c r="AA135" s="1" t="s">
        <v>2948</v>
      </c>
      <c r="AB135" s="1" t="s">
        <v>2949</v>
      </c>
      <c r="AC135" s="1" t="s">
        <v>867</v>
      </c>
      <c r="AD135" s="1">
        <v>9.46</v>
      </c>
      <c r="AE135" s="1" t="s">
        <v>93</v>
      </c>
      <c r="AF135" s="1" t="s">
        <v>2950</v>
      </c>
      <c r="AG135" s="1" t="s">
        <v>2951</v>
      </c>
      <c r="AH135" s="1" t="s">
        <v>2952</v>
      </c>
      <c r="AI135" s="1" t="s">
        <v>2953</v>
      </c>
      <c r="AJ135" s="1">
        <v>90</v>
      </c>
      <c r="AK135" s="1"/>
      <c r="AL135" s="1" t="s">
        <v>2954</v>
      </c>
      <c r="AM135" s="1" t="s">
        <v>2955</v>
      </c>
      <c r="AN135" s="1" t="s">
        <v>2223</v>
      </c>
      <c r="AO135" s="1" t="s">
        <v>331</v>
      </c>
      <c r="AP135" s="1">
        <v>78.31</v>
      </c>
      <c r="AQ135" s="1"/>
      <c r="AR135" s="1"/>
      <c r="AS135" s="1"/>
      <c r="AT135" s="1"/>
      <c r="AU135" s="1"/>
      <c r="AV135" s="1"/>
      <c r="AW135" s="1"/>
      <c r="AX135" s="1" t="s">
        <v>2956</v>
      </c>
      <c r="AY135" s="1" t="s">
        <v>2957</v>
      </c>
      <c r="AZ135" s="1" t="s">
        <v>1670</v>
      </c>
      <c r="BA135" s="1" t="s">
        <v>131</v>
      </c>
      <c r="BB135" s="1">
        <v>79.08</v>
      </c>
      <c r="BC135" s="1"/>
      <c r="BD135" s="1"/>
      <c r="BE135" s="1"/>
      <c r="BF135" s="1"/>
      <c r="BG135" s="1"/>
      <c r="BH135" s="1"/>
      <c r="BI135" s="1"/>
      <c r="BJ135" s="1" t="s">
        <v>2958</v>
      </c>
      <c r="BK135" s="1" t="s">
        <v>2959</v>
      </c>
      <c r="BL135" s="1" t="s">
        <v>2960</v>
      </c>
      <c r="BM135" s="1" t="s">
        <v>2961</v>
      </c>
      <c r="BN135" s="1">
        <v>16</v>
      </c>
      <c r="BO135" s="1" t="s">
        <v>2962</v>
      </c>
      <c r="BP135" s="1" t="str">
        <f>HYPERLINK("https://nconnect.nicmar.ac.in/storage/profile/ProfilePhoto_P25700072_317845.jpg","Download")</f>
        <v>0</v>
      </c>
      <c r="BQ135" s="3"/>
      <c r="BR135" s="3"/>
    </row>
    <row r="136" spans="1:70">
      <c r="A136" s="1" t="s">
        <v>70</v>
      </c>
      <c r="B136" s="1" t="s">
        <v>1269</v>
      </c>
      <c r="C136" s="1" t="s">
        <v>2963</v>
      </c>
      <c r="D136" s="1" t="s">
        <v>1965</v>
      </c>
      <c r="E136" s="1" t="s">
        <v>2964</v>
      </c>
      <c r="F136" s="1" t="s">
        <v>2965</v>
      </c>
      <c r="G136" s="1" t="s">
        <v>2966</v>
      </c>
      <c r="H136" s="1" t="s">
        <v>2967</v>
      </c>
      <c r="I136" s="1" t="s">
        <v>2968</v>
      </c>
      <c r="J136" s="1">
        <v>8419957170</v>
      </c>
      <c r="K136" s="1" t="s">
        <v>79</v>
      </c>
      <c r="L136" s="1" t="s">
        <v>2969</v>
      </c>
      <c r="M136" s="1" t="s">
        <v>81</v>
      </c>
      <c r="N136" s="1" t="s">
        <v>2970</v>
      </c>
      <c r="O136" s="1"/>
      <c r="P136" s="1" t="s">
        <v>1766</v>
      </c>
      <c r="Q136" s="1" t="s">
        <v>2971</v>
      </c>
      <c r="R136" s="1" t="s">
        <v>2964</v>
      </c>
      <c r="S136" s="1">
        <v>9821580887</v>
      </c>
      <c r="T136" s="1" t="s">
        <v>216</v>
      </c>
      <c r="U136" s="1" t="s">
        <v>2972</v>
      </c>
      <c r="V136" s="1">
        <v>9821580977</v>
      </c>
      <c r="W136" s="1" t="s">
        <v>651</v>
      </c>
      <c r="X136" s="1" t="s">
        <v>2973</v>
      </c>
      <c r="Y136" s="1" t="s">
        <v>766</v>
      </c>
      <c r="Z136" s="1" t="s">
        <v>92</v>
      </c>
      <c r="AA136" s="1" t="s">
        <v>2973</v>
      </c>
      <c r="AB136" s="1" t="s">
        <v>766</v>
      </c>
      <c r="AC136" s="1" t="s">
        <v>92</v>
      </c>
      <c r="AD136" s="1">
        <v>8.9</v>
      </c>
      <c r="AE136" s="1" t="s">
        <v>93</v>
      </c>
      <c r="AF136" s="1" t="s">
        <v>2974</v>
      </c>
      <c r="AG136" s="1" t="s">
        <v>1152</v>
      </c>
      <c r="AH136" s="1" t="s">
        <v>165</v>
      </c>
      <c r="AI136" s="1" t="s">
        <v>166</v>
      </c>
      <c r="AJ136" s="1">
        <v>91.33</v>
      </c>
      <c r="AK136" s="1"/>
      <c r="AL136" s="1" t="s">
        <v>2975</v>
      </c>
      <c r="AM136" s="1" t="s">
        <v>160</v>
      </c>
      <c r="AN136" s="1" t="s">
        <v>433</v>
      </c>
      <c r="AO136" s="1" t="s">
        <v>173</v>
      </c>
      <c r="AP136" s="1">
        <v>73.08</v>
      </c>
      <c r="AQ136" s="1"/>
      <c r="AR136" s="1"/>
      <c r="AS136" s="1"/>
      <c r="AT136" s="1"/>
      <c r="AU136" s="1"/>
      <c r="AV136" s="1"/>
      <c r="AW136" s="1"/>
      <c r="AX136" s="1" t="s">
        <v>1892</v>
      </c>
      <c r="AY136" s="1" t="s">
        <v>2015</v>
      </c>
      <c r="AZ136" s="1" t="s">
        <v>897</v>
      </c>
      <c r="BA136" s="1" t="s">
        <v>1361</v>
      </c>
      <c r="BB136" s="1">
        <v>71.3</v>
      </c>
      <c r="BC136" s="1">
        <v>7.88</v>
      </c>
      <c r="BD136" s="1"/>
      <c r="BE136" s="1"/>
      <c r="BF136" s="1"/>
      <c r="BG136" s="1"/>
      <c r="BH136" s="1"/>
      <c r="BI136" s="1"/>
      <c r="BJ136" s="1" t="s">
        <v>1383</v>
      </c>
      <c r="BK136" s="1"/>
      <c r="BL136" s="1"/>
      <c r="BM136" s="1" t="s">
        <v>2976</v>
      </c>
      <c r="BN136" s="1">
        <v>4</v>
      </c>
      <c r="BO136" s="1"/>
      <c r="BP136" s="1" t="str">
        <f>HYPERLINK("https://nconnect.nicmar.ac.in/storage/profile/ProfilePhoto_P25700073_752198.jpg","Download")</f>
        <v>0</v>
      </c>
      <c r="BQ136" s="3"/>
      <c r="BR136" s="3"/>
    </row>
    <row r="137" spans="1:70">
      <c r="A137" s="1" t="s">
        <v>70</v>
      </c>
      <c r="B137" s="1" t="s">
        <v>1269</v>
      </c>
      <c r="C137" s="1" t="s">
        <v>2977</v>
      </c>
      <c r="D137" s="1" t="s">
        <v>2978</v>
      </c>
      <c r="E137" s="1"/>
      <c r="F137" s="1" t="s">
        <v>2979</v>
      </c>
      <c r="G137" s="1" t="s">
        <v>2980</v>
      </c>
      <c r="H137" s="1" t="s">
        <v>2981</v>
      </c>
      <c r="I137" s="1" t="s">
        <v>2982</v>
      </c>
      <c r="J137" s="1">
        <v>9753124934</v>
      </c>
      <c r="K137" s="1" t="s">
        <v>79</v>
      </c>
      <c r="L137" s="1" t="s">
        <v>2983</v>
      </c>
      <c r="M137" s="1" t="s">
        <v>150</v>
      </c>
      <c r="N137" s="1" t="s">
        <v>2984</v>
      </c>
      <c r="O137" s="1"/>
      <c r="P137" s="1" t="s">
        <v>1323</v>
      </c>
      <c r="Q137" s="1" t="s">
        <v>2985</v>
      </c>
      <c r="R137" s="1" t="s">
        <v>2986</v>
      </c>
      <c r="S137" s="1">
        <v>7693960127</v>
      </c>
      <c r="T137" s="1" t="s">
        <v>2987</v>
      </c>
      <c r="U137" s="1" t="s">
        <v>2988</v>
      </c>
      <c r="V137" s="1">
        <v>8051535477</v>
      </c>
      <c r="W137" s="1" t="s">
        <v>156</v>
      </c>
      <c r="X137" s="1" t="s">
        <v>2989</v>
      </c>
      <c r="Y137" s="1" t="s">
        <v>2990</v>
      </c>
      <c r="Z137" s="1" t="s">
        <v>846</v>
      </c>
      <c r="AA137" s="1" t="s">
        <v>2991</v>
      </c>
      <c r="AB137" s="1" t="s">
        <v>2992</v>
      </c>
      <c r="AC137" s="1" t="s">
        <v>846</v>
      </c>
      <c r="AD137" s="1">
        <v>9.15</v>
      </c>
      <c r="AE137" s="1" t="s">
        <v>93</v>
      </c>
      <c r="AF137" s="1" t="s">
        <v>2993</v>
      </c>
      <c r="AG137" s="1" t="s">
        <v>2994</v>
      </c>
      <c r="AH137" s="1" t="s">
        <v>2953</v>
      </c>
      <c r="AI137" s="1" t="s">
        <v>2995</v>
      </c>
      <c r="AJ137" s="1">
        <v>78.2</v>
      </c>
      <c r="AK137" s="1"/>
      <c r="AL137" s="1" t="s">
        <v>2996</v>
      </c>
      <c r="AM137" s="1" t="s">
        <v>2997</v>
      </c>
      <c r="AN137" s="1" t="s">
        <v>331</v>
      </c>
      <c r="AO137" s="1" t="s">
        <v>128</v>
      </c>
      <c r="AP137" s="1">
        <v>72.6</v>
      </c>
      <c r="AQ137" s="1"/>
      <c r="AR137" s="1"/>
      <c r="AS137" s="1"/>
      <c r="AT137" s="1"/>
      <c r="AU137" s="1"/>
      <c r="AV137" s="1"/>
      <c r="AW137" s="1"/>
      <c r="AX137" s="1" t="s">
        <v>2998</v>
      </c>
      <c r="AY137" s="1" t="s">
        <v>2999</v>
      </c>
      <c r="AZ137" s="1" t="s">
        <v>249</v>
      </c>
      <c r="BA137" s="1" t="s">
        <v>162</v>
      </c>
      <c r="BB137" s="1">
        <v>76.4</v>
      </c>
      <c r="BC137" s="1">
        <v>7.64</v>
      </c>
      <c r="BD137" s="1" t="s">
        <v>2998</v>
      </c>
      <c r="BE137" s="1" t="s">
        <v>2405</v>
      </c>
      <c r="BF137" s="1" t="s">
        <v>383</v>
      </c>
      <c r="BG137" s="1" t="s">
        <v>3000</v>
      </c>
      <c r="BH137" s="1">
        <v>85</v>
      </c>
      <c r="BI137" s="1">
        <v>8.5</v>
      </c>
      <c r="BJ137" s="1" t="s">
        <v>3001</v>
      </c>
      <c r="BK137" s="1" t="s">
        <v>3002</v>
      </c>
      <c r="BL137" s="1" t="s">
        <v>2305</v>
      </c>
      <c r="BM137" s="1" t="s">
        <v>3003</v>
      </c>
      <c r="BN137" s="1">
        <v>63</v>
      </c>
      <c r="BO137" s="1" t="s">
        <v>3004</v>
      </c>
      <c r="BP137" s="1" t="str">
        <f>HYPERLINK("https://nconnect.nicmar.ac.in/storage/profile/ProfilePhoto_P25700074_653724.jpg","Download")</f>
        <v>0</v>
      </c>
      <c r="BQ137" s="3"/>
      <c r="BR137" s="3"/>
    </row>
    <row r="138" spans="1:70">
      <c r="A138" s="1" t="s">
        <v>70</v>
      </c>
      <c r="B138" s="1" t="s">
        <v>1269</v>
      </c>
      <c r="C138" s="1" t="s">
        <v>3005</v>
      </c>
      <c r="D138" s="1" t="s">
        <v>1781</v>
      </c>
      <c r="E138" s="1"/>
      <c r="F138" s="1" t="s">
        <v>345</v>
      </c>
      <c r="G138" s="1" t="s">
        <v>3006</v>
      </c>
      <c r="H138" s="1" t="s">
        <v>3007</v>
      </c>
      <c r="I138" s="1" t="s">
        <v>3008</v>
      </c>
      <c r="J138" s="1">
        <v>7380748889</v>
      </c>
      <c r="K138" s="1" t="s">
        <v>79</v>
      </c>
      <c r="L138" s="1" t="s">
        <v>3009</v>
      </c>
      <c r="M138" s="1" t="s">
        <v>81</v>
      </c>
      <c r="N138" s="1" t="s">
        <v>82</v>
      </c>
      <c r="O138" s="1"/>
      <c r="P138" s="1"/>
      <c r="Q138" s="1" t="s">
        <v>3010</v>
      </c>
      <c r="R138" s="1" t="s">
        <v>3011</v>
      </c>
      <c r="S138" s="1">
        <v>9838012757</v>
      </c>
      <c r="T138" s="1" t="s">
        <v>3012</v>
      </c>
      <c r="U138" s="1" t="s">
        <v>3013</v>
      </c>
      <c r="V138" s="1">
        <v>9120524427</v>
      </c>
      <c r="W138" s="1" t="s">
        <v>273</v>
      </c>
      <c r="X138" s="1" t="s">
        <v>3014</v>
      </c>
      <c r="Y138" s="1" t="s">
        <v>1354</v>
      </c>
      <c r="Z138" s="1" t="s">
        <v>1355</v>
      </c>
      <c r="AA138" s="1" t="s">
        <v>3015</v>
      </c>
      <c r="AB138" s="1" t="s">
        <v>1354</v>
      </c>
      <c r="AC138" s="1" t="s">
        <v>1355</v>
      </c>
      <c r="AD138" s="1">
        <v>8.59</v>
      </c>
      <c r="AE138" s="1" t="s">
        <v>93</v>
      </c>
      <c r="AF138" s="1" t="s">
        <v>3016</v>
      </c>
      <c r="AG138" s="1" t="s">
        <v>3017</v>
      </c>
      <c r="AH138" s="1" t="s">
        <v>279</v>
      </c>
      <c r="AI138" s="1" t="s">
        <v>165</v>
      </c>
      <c r="AJ138" s="1">
        <v>70.3</v>
      </c>
      <c r="AK138" s="1">
        <v>7.4</v>
      </c>
      <c r="AL138" s="1" t="s">
        <v>3016</v>
      </c>
      <c r="AM138" s="1" t="s">
        <v>3017</v>
      </c>
      <c r="AN138" s="1" t="s">
        <v>1307</v>
      </c>
      <c r="AO138" s="1" t="s">
        <v>308</v>
      </c>
      <c r="AP138" s="1">
        <v>73.5</v>
      </c>
      <c r="AQ138" s="1"/>
      <c r="AR138" s="1"/>
      <c r="AS138" s="1"/>
      <c r="AT138" s="1"/>
      <c r="AU138" s="1"/>
      <c r="AV138" s="1"/>
      <c r="AW138" s="1"/>
      <c r="AX138" s="1" t="s">
        <v>1835</v>
      </c>
      <c r="AY138" s="1" t="s">
        <v>3018</v>
      </c>
      <c r="AZ138" s="1" t="s">
        <v>681</v>
      </c>
      <c r="BA138" s="1" t="s">
        <v>1939</v>
      </c>
      <c r="BB138" s="1">
        <v>74.4</v>
      </c>
      <c r="BC138" s="1">
        <v>7.44</v>
      </c>
      <c r="BD138" s="1"/>
      <c r="BE138" s="1"/>
      <c r="BF138" s="1"/>
      <c r="BG138" s="1"/>
      <c r="BH138" s="1"/>
      <c r="BI138" s="1"/>
      <c r="BJ138" s="1" t="s">
        <v>3019</v>
      </c>
      <c r="BK138" s="1"/>
      <c r="BL138" s="1"/>
      <c r="BM138" s="1" t="s">
        <v>3020</v>
      </c>
      <c r="BN138" s="1">
        <v>6</v>
      </c>
      <c r="BO138" s="1"/>
      <c r="BP138" s="1" t="str">
        <f>HYPERLINK("https://nconnect.nicmar.ac.in/storage/profile/ProfilePhoto_P25700075_647825.jpg","Download")</f>
        <v>0</v>
      </c>
      <c r="BQ138" s="3"/>
      <c r="BR138" s="3"/>
    </row>
    <row r="139" spans="1:70">
      <c r="A139" s="1" t="s">
        <v>70</v>
      </c>
      <c r="B139" s="1" t="s">
        <v>1269</v>
      </c>
      <c r="C139" s="1" t="s">
        <v>3021</v>
      </c>
      <c r="D139" s="1" t="s">
        <v>2596</v>
      </c>
      <c r="E139" s="1" t="s">
        <v>444</v>
      </c>
      <c r="F139" s="1" t="s">
        <v>3022</v>
      </c>
      <c r="G139" s="1" t="s">
        <v>3023</v>
      </c>
      <c r="H139" s="1" t="s">
        <v>3024</v>
      </c>
      <c r="I139" s="1" t="s">
        <v>3025</v>
      </c>
      <c r="J139" s="1">
        <v>9552703406</v>
      </c>
      <c r="K139" s="1" t="s">
        <v>79</v>
      </c>
      <c r="L139" s="1" t="s">
        <v>3026</v>
      </c>
      <c r="M139" s="1" t="s">
        <v>81</v>
      </c>
      <c r="N139" s="1" t="s">
        <v>2008</v>
      </c>
      <c r="O139" s="1"/>
      <c r="P139" s="1" t="s">
        <v>1323</v>
      </c>
      <c r="Q139" s="1" t="s">
        <v>3027</v>
      </c>
      <c r="R139" s="1" t="s">
        <v>444</v>
      </c>
      <c r="S139" s="1">
        <v>9422281494</v>
      </c>
      <c r="T139" s="1" t="s">
        <v>674</v>
      </c>
      <c r="U139" s="1" t="s">
        <v>977</v>
      </c>
      <c r="V139" s="1">
        <v>9422942326</v>
      </c>
      <c r="W139" s="1" t="s">
        <v>89</v>
      </c>
      <c r="X139" s="1" t="s">
        <v>3028</v>
      </c>
      <c r="Y139" s="1" t="s">
        <v>246</v>
      </c>
      <c r="Z139" s="1" t="s">
        <v>92</v>
      </c>
      <c r="AA139" s="1" t="s">
        <v>3028</v>
      </c>
      <c r="AB139" s="1" t="s">
        <v>246</v>
      </c>
      <c r="AC139" s="1" t="s">
        <v>92</v>
      </c>
      <c r="AD139" s="1">
        <v>8.77</v>
      </c>
      <c r="AE139" s="1" t="s">
        <v>93</v>
      </c>
      <c r="AF139" s="1" t="s">
        <v>3029</v>
      </c>
      <c r="AG139" s="1" t="s">
        <v>939</v>
      </c>
      <c r="AH139" s="1" t="s">
        <v>161</v>
      </c>
      <c r="AI139" s="1" t="s">
        <v>527</v>
      </c>
      <c r="AJ139" s="1">
        <v>83.6</v>
      </c>
      <c r="AK139" s="1">
        <v>8.8</v>
      </c>
      <c r="AL139" s="1" t="s">
        <v>3029</v>
      </c>
      <c r="AM139" s="1" t="s">
        <v>939</v>
      </c>
      <c r="AN139" s="1" t="s">
        <v>383</v>
      </c>
      <c r="AO139" s="1" t="s">
        <v>166</v>
      </c>
      <c r="AP139" s="1">
        <v>72.6</v>
      </c>
      <c r="AQ139" s="1"/>
      <c r="AR139" s="1"/>
      <c r="AS139" s="1"/>
      <c r="AT139" s="1"/>
      <c r="AU139" s="1"/>
      <c r="AV139" s="1"/>
      <c r="AW139" s="1"/>
      <c r="AX139" s="1" t="s">
        <v>102</v>
      </c>
      <c r="AY139" s="1" t="s">
        <v>3030</v>
      </c>
      <c r="AZ139" s="1" t="s">
        <v>169</v>
      </c>
      <c r="BA139" s="1" t="s">
        <v>105</v>
      </c>
      <c r="BB139" s="1">
        <v>87.5</v>
      </c>
      <c r="BC139" s="1">
        <v>9.25</v>
      </c>
      <c r="BD139" s="1"/>
      <c r="BE139" s="1"/>
      <c r="BF139" s="1"/>
      <c r="BG139" s="1"/>
      <c r="BH139" s="1"/>
      <c r="BI139" s="1"/>
      <c r="BJ139" s="1" t="s">
        <v>1383</v>
      </c>
      <c r="BK139" s="1" t="s">
        <v>3031</v>
      </c>
      <c r="BL139" s="1" t="s">
        <v>1028</v>
      </c>
      <c r="BM139" s="1" t="s">
        <v>3032</v>
      </c>
      <c r="BN139" s="1">
        <v>34</v>
      </c>
      <c r="BO139" s="1" t="s">
        <v>3033</v>
      </c>
      <c r="BP139" s="1" t="str">
        <f>HYPERLINK("https://nconnect.nicmar.ac.in/storage/profile/ProfilePhoto_P25700076_896241.jpg","Download")</f>
        <v>0</v>
      </c>
      <c r="BQ139" s="3"/>
      <c r="BR139" s="3"/>
    </row>
    <row r="140" spans="1:70">
      <c r="A140" s="1" t="s">
        <v>70</v>
      </c>
      <c r="B140" s="1" t="s">
        <v>1269</v>
      </c>
      <c r="C140" s="1" t="s">
        <v>3034</v>
      </c>
      <c r="D140" s="1" t="s">
        <v>3035</v>
      </c>
      <c r="E140" s="1" t="s">
        <v>1316</v>
      </c>
      <c r="F140" s="1" t="s">
        <v>3036</v>
      </c>
      <c r="G140" s="1" t="s">
        <v>3037</v>
      </c>
      <c r="H140" s="1" t="s">
        <v>3038</v>
      </c>
      <c r="I140" s="1" t="s">
        <v>3039</v>
      </c>
      <c r="J140" s="1">
        <v>7021948873</v>
      </c>
      <c r="K140" s="1" t="s">
        <v>79</v>
      </c>
      <c r="L140" s="1" t="s">
        <v>3040</v>
      </c>
      <c r="M140" s="1" t="s">
        <v>81</v>
      </c>
      <c r="N140" s="1" t="s">
        <v>2008</v>
      </c>
      <c r="O140" s="1"/>
      <c r="P140" s="1" t="s">
        <v>1278</v>
      </c>
      <c r="Q140" s="1" t="s">
        <v>3041</v>
      </c>
      <c r="R140" s="1" t="s">
        <v>3042</v>
      </c>
      <c r="S140" s="1">
        <v>9820848352</v>
      </c>
      <c r="T140" s="1" t="s">
        <v>496</v>
      </c>
      <c r="U140" s="1" t="s">
        <v>3043</v>
      </c>
      <c r="V140" s="1">
        <v>9029395241</v>
      </c>
      <c r="W140" s="1" t="s">
        <v>156</v>
      </c>
      <c r="X140" s="1" t="s">
        <v>3044</v>
      </c>
      <c r="Y140" s="1" t="s">
        <v>1623</v>
      </c>
      <c r="Z140" s="1" t="s">
        <v>92</v>
      </c>
      <c r="AA140" s="1" t="s">
        <v>3045</v>
      </c>
      <c r="AB140" s="1" t="s">
        <v>1623</v>
      </c>
      <c r="AC140" s="1" t="s">
        <v>92</v>
      </c>
      <c r="AD140" s="1">
        <v>7.87</v>
      </c>
      <c r="AE140" s="1" t="s">
        <v>93</v>
      </c>
      <c r="AF140" s="1" t="s">
        <v>3046</v>
      </c>
      <c r="AG140" s="1" t="s">
        <v>3047</v>
      </c>
      <c r="AH140" s="1" t="s">
        <v>161</v>
      </c>
      <c r="AI140" s="1" t="s">
        <v>456</v>
      </c>
      <c r="AJ140" s="1">
        <v>82</v>
      </c>
      <c r="AK140" s="1">
        <v>0</v>
      </c>
      <c r="AL140" s="1" t="s">
        <v>3048</v>
      </c>
      <c r="AM140" s="1" t="s">
        <v>3049</v>
      </c>
      <c r="AN140" s="1" t="s">
        <v>165</v>
      </c>
      <c r="AO140" s="1" t="s">
        <v>457</v>
      </c>
      <c r="AP140" s="1">
        <v>54.77</v>
      </c>
      <c r="AQ140" s="1">
        <v>0</v>
      </c>
      <c r="AR140" s="1" t="s">
        <v>98</v>
      </c>
      <c r="AS140" s="1" t="s">
        <v>3050</v>
      </c>
      <c r="AT140" s="1" t="s">
        <v>1307</v>
      </c>
      <c r="AU140" s="1" t="s">
        <v>170</v>
      </c>
      <c r="AV140" s="1">
        <v>81.68</v>
      </c>
      <c r="AW140" s="1">
        <v>0</v>
      </c>
      <c r="AX140" s="1" t="s">
        <v>1024</v>
      </c>
      <c r="AY140" s="1" t="s">
        <v>3051</v>
      </c>
      <c r="AZ140" s="1" t="s">
        <v>699</v>
      </c>
      <c r="BA140" s="1" t="s">
        <v>682</v>
      </c>
      <c r="BB140" s="1">
        <v>73.56</v>
      </c>
      <c r="BC140" s="1">
        <v>8.32</v>
      </c>
      <c r="BD140" s="1"/>
      <c r="BE140" s="1"/>
      <c r="BF140" s="1"/>
      <c r="BG140" s="1"/>
      <c r="BH140" s="1"/>
      <c r="BI140" s="1"/>
      <c r="BJ140" s="1" t="s">
        <v>364</v>
      </c>
      <c r="BK140" s="1" t="s">
        <v>3052</v>
      </c>
      <c r="BL140" s="1" t="s">
        <v>2187</v>
      </c>
      <c r="BM140" s="1" t="s">
        <v>3053</v>
      </c>
      <c r="BN140" s="1">
        <v>22</v>
      </c>
      <c r="BO140" s="1" t="s">
        <v>3054</v>
      </c>
      <c r="BP140" s="1" t="str">
        <f>HYPERLINK("https://nconnect.nicmar.ac.in/storage/profile/ProfilePhoto_P25700077_256193.jpg","Download")</f>
        <v>0</v>
      </c>
      <c r="BQ140" s="3"/>
      <c r="BR140" s="3"/>
    </row>
    <row r="141" spans="1:70">
      <c r="A141" s="1" t="s">
        <v>70</v>
      </c>
      <c r="B141" s="1" t="s">
        <v>1269</v>
      </c>
      <c r="C141" s="1" t="s">
        <v>3055</v>
      </c>
      <c r="D141" s="1" t="s">
        <v>3056</v>
      </c>
      <c r="E141" s="1" t="s">
        <v>3057</v>
      </c>
      <c r="F141" s="1" t="s">
        <v>3058</v>
      </c>
      <c r="G141" s="1" t="s">
        <v>3059</v>
      </c>
      <c r="H141" s="1" t="s">
        <v>3060</v>
      </c>
      <c r="I141" s="1" t="s">
        <v>3061</v>
      </c>
      <c r="J141" s="1">
        <v>7249691811</v>
      </c>
      <c r="K141" s="1" t="s">
        <v>79</v>
      </c>
      <c r="L141" s="1" t="s">
        <v>3062</v>
      </c>
      <c r="M141" s="1" t="s">
        <v>81</v>
      </c>
      <c r="N141" s="1" t="s">
        <v>3063</v>
      </c>
      <c r="O141" s="1"/>
      <c r="P141" s="1" t="s">
        <v>1766</v>
      </c>
      <c r="Q141" s="1" t="s">
        <v>3064</v>
      </c>
      <c r="R141" s="1" t="s">
        <v>3057</v>
      </c>
      <c r="S141" s="1">
        <v>9881097905</v>
      </c>
      <c r="T141" s="1" t="s">
        <v>87</v>
      </c>
      <c r="U141" s="1" t="s">
        <v>3065</v>
      </c>
      <c r="V141" s="1">
        <v>7755957905</v>
      </c>
      <c r="W141" s="1" t="s">
        <v>273</v>
      </c>
      <c r="X141" s="1" t="s">
        <v>3066</v>
      </c>
      <c r="Y141" s="1" t="s">
        <v>158</v>
      </c>
      <c r="Z141" s="1" t="s">
        <v>92</v>
      </c>
      <c r="AA141" s="1" t="s">
        <v>3066</v>
      </c>
      <c r="AB141" s="1" t="s">
        <v>158</v>
      </c>
      <c r="AC141" s="1" t="s">
        <v>92</v>
      </c>
      <c r="AD141" s="1">
        <v>6.97</v>
      </c>
      <c r="AE141" s="1" t="s">
        <v>93</v>
      </c>
      <c r="AF141" s="1" t="s">
        <v>3067</v>
      </c>
      <c r="AG141" s="1" t="s">
        <v>3068</v>
      </c>
      <c r="AH141" s="1" t="s">
        <v>165</v>
      </c>
      <c r="AI141" s="1" t="s">
        <v>281</v>
      </c>
      <c r="AJ141" s="1">
        <v>65.4</v>
      </c>
      <c r="AK141" s="1"/>
      <c r="AL141" s="1"/>
      <c r="AM141" s="1"/>
      <c r="AN141" s="1"/>
      <c r="AO141" s="1"/>
      <c r="AP141" s="1"/>
      <c r="AQ141" s="1"/>
      <c r="AR141" s="1" t="s">
        <v>434</v>
      </c>
      <c r="AS141" s="1" t="s">
        <v>3069</v>
      </c>
      <c r="AT141" s="1" t="s">
        <v>101</v>
      </c>
      <c r="AU141" s="1" t="s">
        <v>436</v>
      </c>
      <c r="AV141" s="1">
        <v>87.32</v>
      </c>
      <c r="AW141" s="1"/>
      <c r="AX141" s="1" t="s">
        <v>3070</v>
      </c>
      <c r="AY141" s="1" t="s">
        <v>3071</v>
      </c>
      <c r="AZ141" s="1" t="s">
        <v>897</v>
      </c>
      <c r="BA141" s="1" t="s">
        <v>202</v>
      </c>
      <c r="BB141" s="1">
        <v>60.6</v>
      </c>
      <c r="BC141" s="1">
        <v>6.81</v>
      </c>
      <c r="BD141" s="1"/>
      <c r="BE141" s="1"/>
      <c r="BF141" s="1"/>
      <c r="BG141" s="1"/>
      <c r="BH141" s="1"/>
      <c r="BI141" s="1"/>
      <c r="BJ141" s="1" t="s">
        <v>255</v>
      </c>
      <c r="BK141" s="1" t="s">
        <v>3072</v>
      </c>
      <c r="BL141" s="1" t="s">
        <v>1920</v>
      </c>
      <c r="BM141" s="1" t="s">
        <v>3073</v>
      </c>
      <c r="BN141" s="1">
        <v>11</v>
      </c>
      <c r="BO141" s="1" t="s">
        <v>3074</v>
      </c>
      <c r="BP141" s="1" t="str">
        <f>HYPERLINK("https://nconnect.nicmar.ac.in/storage/profile/ProfilePhoto_P25700078_578396.jpg","Download")</f>
        <v>0</v>
      </c>
      <c r="BQ141" s="3"/>
      <c r="BR141" s="3"/>
    </row>
    <row r="142" spans="1:70">
      <c r="A142" s="1" t="s">
        <v>70</v>
      </c>
      <c r="B142" s="1" t="s">
        <v>1269</v>
      </c>
      <c r="C142" s="1" t="s">
        <v>3075</v>
      </c>
      <c r="D142" s="1" t="s">
        <v>2596</v>
      </c>
      <c r="E142" s="1" t="s">
        <v>3076</v>
      </c>
      <c r="F142" s="1" t="s">
        <v>3077</v>
      </c>
      <c r="G142" s="1" t="s">
        <v>3078</v>
      </c>
      <c r="H142" s="1" t="s">
        <v>3079</v>
      </c>
      <c r="I142" s="1" t="s">
        <v>3080</v>
      </c>
      <c r="J142" s="1">
        <v>7758959334</v>
      </c>
      <c r="K142" s="1" t="s">
        <v>79</v>
      </c>
      <c r="L142" s="1" t="s">
        <v>3081</v>
      </c>
      <c r="M142" s="1" t="s">
        <v>81</v>
      </c>
      <c r="N142" s="1" t="s">
        <v>3082</v>
      </c>
      <c r="O142" s="1"/>
      <c r="P142" s="1" t="s">
        <v>1278</v>
      </c>
      <c r="Q142" s="1" t="s">
        <v>3083</v>
      </c>
      <c r="R142" s="1" t="s">
        <v>3076</v>
      </c>
      <c r="S142" s="1">
        <v>9960405141</v>
      </c>
      <c r="T142" s="1" t="s">
        <v>674</v>
      </c>
      <c r="U142" s="1" t="s">
        <v>3065</v>
      </c>
      <c r="V142" s="1">
        <v>8530285246</v>
      </c>
      <c r="W142" s="1" t="s">
        <v>156</v>
      </c>
      <c r="X142" s="1" t="s">
        <v>3084</v>
      </c>
      <c r="Y142" s="1" t="s">
        <v>191</v>
      </c>
      <c r="Z142" s="1" t="s">
        <v>92</v>
      </c>
      <c r="AA142" s="1" t="s">
        <v>3085</v>
      </c>
      <c r="AB142" s="1" t="s">
        <v>523</v>
      </c>
      <c r="AC142" s="1" t="s">
        <v>92</v>
      </c>
      <c r="AD142" s="1">
        <v>8.15</v>
      </c>
      <c r="AE142" s="1" t="s">
        <v>93</v>
      </c>
      <c r="AF142" s="1" t="s">
        <v>3086</v>
      </c>
      <c r="AG142" s="1" t="s">
        <v>160</v>
      </c>
      <c r="AH142" s="1" t="s">
        <v>101</v>
      </c>
      <c r="AI142" s="1" t="s">
        <v>409</v>
      </c>
      <c r="AJ142" s="1">
        <v>80.8</v>
      </c>
      <c r="AK142" s="1">
        <v>0</v>
      </c>
      <c r="AL142" s="1" t="s">
        <v>3087</v>
      </c>
      <c r="AM142" s="1" t="s">
        <v>160</v>
      </c>
      <c r="AN142" s="1" t="s">
        <v>173</v>
      </c>
      <c r="AO142" s="1" t="s">
        <v>3088</v>
      </c>
      <c r="AP142" s="1">
        <v>81.17</v>
      </c>
      <c r="AQ142" s="1">
        <v>0</v>
      </c>
      <c r="AR142" s="1"/>
      <c r="AS142" s="1"/>
      <c r="AT142" s="1"/>
      <c r="AU142" s="1"/>
      <c r="AV142" s="1"/>
      <c r="AW142" s="1"/>
      <c r="AX142" s="1" t="s">
        <v>361</v>
      </c>
      <c r="AY142" s="1" t="s">
        <v>3089</v>
      </c>
      <c r="AZ142" s="1" t="s">
        <v>436</v>
      </c>
      <c r="BA142" s="1" t="s">
        <v>1361</v>
      </c>
      <c r="BB142" s="1">
        <v>68.59</v>
      </c>
      <c r="BC142" s="1">
        <v>7.22</v>
      </c>
      <c r="BD142" s="1"/>
      <c r="BE142" s="1"/>
      <c r="BF142" s="1"/>
      <c r="BG142" s="1"/>
      <c r="BH142" s="1"/>
      <c r="BI142" s="1"/>
      <c r="BJ142" s="1" t="s">
        <v>3090</v>
      </c>
      <c r="BK142" s="1"/>
      <c r="BL142" s="1"/>
      <c r="BM142" s="1" t="s">
        <v>3091</v>
      </c>
      <c r="BN142" s="1">
        <v>13</v>
      </c>
      <c r="BO142" s="1"/>
      <c r="BP142" s="1" t="str">
        <f>HYPERLINK("https://nconnect.nicmar.ac.in/storage/profile/ProfilePhoto_P25700079_752381.jpg","Download")</f>
        <v>0</v>
      </c>
      <c r="BQ142" s="3"/>
      <c r="BR142" s="3"/>
    </row>
    <row r="143" spans="1:70">
      <c r="A143" s="1" t="s">
        <v>70</v>
      </c>
      <c r="B143" s="1" t="s">
        <v>1269</v>
      </c>
      <c r="C143" s="1" t="s">
        <v>3092</v>
      </c>
      <c r="D143" s="1" t="s">
        <v>3093</v>
      </c>
      <c r="E143" s="1" t="s">
        <v>3094</v>
      </c>
      <c r="F143" s="1" t="s">
        <v>835</v>
      </c>
      <c r="G143" s="1" t="s">
        <v>3095</v>
      </c>
      <c r="H143" s="1" t="s">
        <v>3096</v>
      </c>
      <c r="I143" s="1" t="s">
        <v>3097</v>
      </c>
      <c r="J143" s="1">
        <v>9923100377</v>
      </c>
      <c r="K143" s="1" t="s">
        <v>79</v>
      </c>
      <c r="L143" s="1" t="s">
        <v>3098</v>
      </c>
      <c r="M143" s="1" t="s">
        <v>81</v>
      </c>
      <c r="N143" s="1" t="s">
        <v>3099</v>
      </c>
      <c r="O143" s="1"/>
      <c r="P143" s="1" t="s">
        <v>1323</v>
      </c>
      <c r="Q143" s="1" t="s">
        <v>3100</v>
      </c>
      <c r="R143" s="1" t="s">
        <v>3094</v>
      </c>
      <c r="S143" s="1">
        <v>9561000047</v>
      </c>
      <c r="T143" s="1" t="s">
        <v>842</v>
      </c>
      <c r="U143" s="1" t="s">
        <v>3101</v>
      </c>
      <c r="V143" s="1">
        <v>9923100377</v>
      </c>
      <c r="W143" s="1" t="s">
        <v>89</v>
      </c>
      <c r="X143" s="1" t="s">
        <v>3102</v>
      </c>
      <c r="Y143" s="1" t="s">
        <v>405</v>
      </c>
      <c r="Z143" s="1" t="s">
        <v>92</v>
      </c>
      <c r="AA143" s="1" t="s">
        <v>3102</v>
      </c>
      <c r="AB143" s="1" t="s">
        <v>405</v>
      </c>
      <c r="AC143" s="1" t="s">
        <v>92</v>
      </c>
      <c r="AD143" s="1">
        <v>9.15</v>
      </c>
      <c r="AE143" s="1" t="s">
        <v>93</v>
      </c>
      <c r="AF143" s="1" t="s">
        <v>3103</v>
      </c>
      <c r="AG143" s="1" t="s">
        <v>3104</v>
      </c>
      <c r="AH143" s="1" t="s">
        <v>3105</v>
      </c>
      <c r="AI143" s="1" t="s">
        <v>165</v>
      </c>
      <c r="AJ143" s="1">
        <v>95</v>
      </c>
      <c r="AK143" s="1">
        <v>10</v>
      </c>
      <c r="AL143" s="1" t="s">
        <v>3106</v>
      </c>
      <c r="AM143" s="1" t="s">
        <v>3104</v>
      </c>
      <c r="AN143" s="1" t="s">
        <v>165</v>
      </c>
      <c r="AO143" s="1" t="s">
        <v>308</v>
      </c>
      <c r="AP143" s="1">
        <v>73.8</v>
      </c>
      <c r="AQ143" s="1"/>
      <c r="AR143" s="1"/>
      <c r="AS143" s="1"/>
      <c r="AT143" s="1"/>
      <c r="AU143" s="1"/>
      <c r="AV143" s="1"/>
      <c r="AW143" s="1"/>
      <c r="AX143" s="1" t="s">
        <v>410</v>
      </c>
      <c r="AY143" s="1" t="s">
        <v>3107</v>
      </c>
      <c r="AZ143" s="1" t="s">
        <v>201</v>
      </c>
      <c r="BA143" s="1" t="s">
        <v>682</v>
      </c>
      <c r="BB143" s="1">
        <v>86.9</v>
      </c>
      <c r="BC143" s="1">
        <v>8.69</v>
      </c>
      <c r="BD143" s="1"/>
      <c r="BE143" s="1"/>
      <c r="BF143" s="1"/>
      <c r="BG143" s="1"/>
      <c r="BH143" s="1"/>
      <c r="BI143" s="1"/>
      <c r="BJ143" s="1" t="s">
        <v>3108</v>
      </c>
      <c r="BK143" s="1" t="s">
        <v>3109</v>
      </c>
      <c r="BL143" s="1" t="s">
        <v>3110</v>
      </c>
      <c r="BM143" s="1" t="s">
        <v>3111</v>
      </c>
      <c r="BN143" s="1">
        <v>21</v>
      </c>
      <c r="BO143" s="1" t="s">
        <v>3112</v>
      </c>
      <c r="BP143" s="1" t="str">
        <f>HYPERLINK("https://nconnect.nicmar.ac.in/storage/profile/ProfilePhoto_P25700080_357284.jpg","Download")</f>
        <v>0</v>
      </c>
      <c r="BQ143" s="3"/>
      <c r="BR143" s="3"/>
    </row>
    <row r="144" spans="1:70">
      <c r="A144" s="1" t="s">
        <v>70</v>
      </c>
      <c r="B144" s="1" t="s">
        <v>1269</v>
      </c>
      <c r="C144" s="1" t="s">
        <v>3113</v>
      </c>
      <c r="D144" s="1" t="s">
        <v>3114</v>
      </c>
      <c r="E144" s="1"/>
      <c r="F144" s="1" t="s">
        <v>2717</v>
      </c>
      <c r="G144" s="1" t="s">
        <v>3115</v>
      </c>
      <c r="H144" s="1" t="s">
        <v>3116</v>
      </c>
      <c r="I144" s="1" t="s">
        <v>3117</v>
      </c>
      <c r="J144" s="1">
        <v>9398319303</v>
      </c>
      <c r="K144" s="1" t="s">
        <v>79</v>
      </c>
      <c r="L144" s="1" t="s">
        <v>3118</v>
      </c>
      <c r="M144" s="1" t="s">
        <v>81</v>
      </c>
      <c r="N144" s="1" t="s">
        <v>2621</v>
      </c>
      <c r="O144" s="1"/>
      <c r="P144" s="1" t="s">
        <v>1323</v>
      </c>
      <c r="Q144" s="1" t="s">
        <v>3119</v>
      </c>
      <c r="R144" s="1" t="s">
        <v>3120</v>
      </c>
      <c r="S144" s="1">
        <v>9949706447</v>
      </c>
      <c r="T144" s="1" t="s">
        <v>3121</v>
      </c>
      <c r="U144" s="1" t="s">
        <v>3122</v>
      </c>
      <c r="V144" s="1">
        <v>9618201239</v>
      </c>
      <c r="W144" s="1" t="s">
        <v>651</v>
      </c>
      <c r="X144" s="1" t="s">
        <v>3123</v>
      </c>
      <c r="Y144" s="1" t="s">
        <v>2727</v>
      </c>
      <c r="Z144" s="1" t="s">
        <v>276</v>
      </c>
      <c r="AA144" s="1" t="s">
        <v>3123</v>
      </c>
      <c r="AB144" s="1" t="s">
        <v>2727</v>
      </c>
      <c r="AC144" s="1" t="s">
        <v>276</v>
      </c>
      <c r="AD144" s="1">
        <v>9.44</v>
      </c>
      <c r="AE144" s="1" t="s">
        <v>93</v>
      </c>
      <c r="AF144" s="1" t="s">
        <v>3124</v>
      </c>
      <c r="AG144" s="1" t="s">
        <v>3125</v>
      </c>
      <c r="AH144" s="1" t="s">
        <v>162</v>
      </c>
      <c r="AI144" s="1" t="s">
        <v>678</v>
      </c>
      <c r="AJ144" s="1">
        <v>100</v>
      </c>
      <c r="AK144" s="1">
        <v>10</v>
      </c>
      <c r="AL144" s="1" t="s">
        <v>3126</v>
      </c>
      <c r="AM144" s="1" t="s">
        <v>1154</v>
      </c>
      <c r="AN144" s="1" t="s">
        <v>383</v>
      </c>
      <c r="AO144" s="1" t="s">
        <v>1065</v>
      </c>
      <c r="AP144" s="1">
        <v>94.2</v>
      </c>
      <c r="AQ144" s="1">
        <v>9.73</v>
      </c>
      <c r="AR144" s="1"/>
      <c r="AS144" s="1"/>
      <c r="AT144" s="1"/>
      <c r="AU144" s="1"/>
      <c r="AV144" s="1"/>
      <c r="AW144" s="1"/>
      <c r="AX144" s="1" t="s">
        <v>3127</v>
      </c>
      <c r="AY144" s="1" t="s">
        <v>3128</v>
      </c>
      <c r="AZ144" s="1" t="s">
        <v>201</v>
      </c>
      <c r="BA144" s="1" t="s">
        <v>174</v>
      </c>
      <c r="BB144" s="1">
        <v>82.8</v>
      </c>
      <c r="BC144" s="1">
        <v>8.54</v>
      </c>
      <c r="BD144" s="1"/>
      <c r="BE144" s="1"/>
      <c r="BF144" s="1"/>
      <c r="BG144" s="1"/>
      <c r="BH144" s="1"/>
      <c r="BI144" s="1"/>
      <c r="BJ144" s="1" t="s">
        <v>3129</v>
      </c>
      <c r="BK144" s="1"/>
      <c r="BL144" s="1"/>
      <c r="BM144" s="1" t="s">
        <v>3130</v>
      </c>
      <c r="BN144" s="1">
        <v>61</v>
      </c>
      <c r="BO144" s="1" t="s">
        <v>3131</v>
      </c>
      <c r="BP144" s="1" t="str">
        <f>HYPERLINK("https://nconnect.nicmar.ac.in/storage/profile/ProfilePhoto_P25700081_978456.jpg","Download")</f>
        <v>0</v>
      </c>
      <c r="BQ144" s="3"/>
      <c r="BR144" s="3"/>
    </row>
    <row r="145" spans="1:70">
      <c r="A145" s="1" t="s">
        <v>70</v>
      </c>
      <c r="B145" s="1" t="s">
        <v>1269</v>
      </c>
      <c r="C145" s="1" t="s">
        <v>3132</v>
      </c>
      <c r="D145" s="1" t="s">
        <v>3133</v>
      </c>
      <c r="E145" s="1"/>
      <c r="F145" s="1" t="s">
        <v>3134</v>
      </c>
      <c r="G145" s="1" t="s">
        <v>3135</v>
      </c>
      <c r="H145" s="1" t="s">
        <v>3136</v>
      </c>
      <c r="I145" s="1" t="s">
        <v>3137</v>
      </c>
      <c r="J145" s="1">
        <v>9566644136</v>
      </c>
      <c r="K145" s="1" t="s">
        <v>79</v>
      </c>
      <c r="L145" s="1" t="s">
        <v>3138</v>
      </c>
      <c r="M145" s="1" t="s">
        <v>81</v>
      </c>
      <c r="N145" s="1" t="s">
        <v>3139</v>
      </c>
      <c r="O145" s="1"/>
      <c r="P145" s="1" t="s">
        <v>1278</v>
      </c>
      <c r="Q145" s="1" t="s">
        <v>3140</v>
      </c>
      <c r="R145" s="1" t="s">
        <v>3141</v>
      </c>
      <c r="S145" s="1">
        <v>9444409338</v>
      </c>
      <c r="T145" s="1" t="s">
        <v>496</v>
      </c>
      <c r="U145" s="1" t="s">
        <v>3142</v>
      </c>
      <c r="V145" s="1">
        <v>9789960234</v>
      </c>
      <c r="W145" s="1" t="s">
        <v>651</v>
      </c>
      <c r="X145" s="1" t="s">
        <v>3143</v>
      </c>
      <c r="Y145" s="1" t="s">
        <v>191</v>
      </c>
      <c r="Z145" s="1" t="s">
        <v>92</v>
      </c>
      <c r="AA145" s="1" t="s">
        <v>3144</v>
      </c>
      <c r="AB145" s="1" t="s">
        <v>2320</v>
      </c>
      <c r="AC145" s="1" t="s">
        <v>1377</v>
      </c>
      <c r="AD145" s="1">
        <v>8.71</v>
      </c>
      <c r="AE145" s="1" t="s">
        <v>93</v>
      </c>
      <c r="AF145" s="1" t="s">
        <v>3145</v>
      </c>
      <c r="AG145" s="1" t="s">
        <v>3146</v>
      </c>
      <c r="AH145" s="1" t="s">
        <v>166</v>
      </c>
      <c r="AI145" s="1" t="s">
        <v>308</v>
      </c>
      <c r="AJ145" s="1">
        <v>85.6</v>
      </c>
      <c r="AK145" s="1"/>
      <c r="AL145" s="1" t="s">
        <v>3145</v>
      </c>
      <c r="AM145" s="1" t="s">
        <v>3146</v>
      </c>
      <c r="AN145" s="1" t="s">
        <v>412</v>
      </c>
      <c r="AO145" s="1" t="s">
        <v>506</v>
      </c>
      <c r="AP145" s="1">
        <v>84.4</v>
      </c>
      <c r="AQ145" s="1"/>
      <c r="AR145" s="1"/>
      <c r="AS145" s="1"/>
      <c r="AT145" s="1"/>
      <c r="AU145" s="1"/>
      <c r="AV145" s="1"/>
      <c r="AW145" s="1"/>
      <c r="AX145" s="1" t="s">
        <v>1381</v>
      </c>
      <c r="AY145" s="1" t="s">
        <v>3147</v>
      </c>
      <c r="AZ145" s="1" t="s">
        <v>1051</v>
      </c>
      <c r="BA145" s="1" t="s">
        <v>1361</v>
      </c>
      <c r="BB145" s="1">
        <v>80.36</v>
      </c>
      <c r="BC145" s="1"/>
      <c r="BD145" s="1"/>
      <c r="BE145" s="1"/>
      <c r="BF145" s="1"/>
      <c r="BG145" s="1"/>
      <c r="BH145" s="1"/>
      <c r="BI145" s="1"/>
      <c r="BJ145" s="1" t="s">
        <v>3148</v>
      </c>
      <c r="BK145" s="1"/>
      <c r="BL145" s="1"/>
      <c r="BM145" s="1" t="s">
        <v>3149</v>
      </c>
      <c r="BN145" s="1">
        <v>25</v>
      </c>
      <c r="BO145" s="1"/>
      <c r="BP145" s="1" t="str">
        <f>HYPERLINK("https://nconnect.nicmar.ac.in/storage/profile/ProfilePhoto_P25700082_853691.jpg","Download")</f>
        <v>0</v>
      </c>
      <c r="BQ145" s="3"/>
      <c r="BR145" s="3"/>
    </row>
    <row r="146" spans="1:70">
      <c r="A146" s="1" t="s">
        <v>70</v>
      </c>
      <c r="B146" s="1" t="s">
        <v>1269</v>
      </c>
      <c r="C146" s="1" t="s">
        <v>3150</v>
      </c>
      <c r="D146" s="1" t="s">
        <v>3151</v>
      </c>
      <c r="E146" s="1" t="s">
        <v>181</v>
      </c>
      <c r="F146" s="1" t="s">
        <v>3152</v>
      </c>
      <c r="G146" s="1" t="s">
        <v>3153</v>
      </c>
      <c r="H146" s="1" t="s">
        <v>3154</v>
      </c>
      <c r="I146" s="1" t="s">
        <v>3155</v>
      </c>
      <c r="J146" s="1">
        <v>7887452056</v>
      </c>
      <c r="K146" s="1" t="s">
        <v>79</v>
      </c>
      <c r="L146" s="1" t="s">
        <v>3156</v>
      </c>
      <c r="M146" s="1" t="s">
        <v>81</v>
      </c>
      <c r="N146" s="1" t="s">
        <v>2008</v>
      </c>
      <c r="O146" s="1"/>
      <c r="P146" s="1" t="s">
        <v>1278</v>
      </c>
      <c r="Q146" s="1" t="s">
        <v>3157</v>
      </c>
      <c r="R146" s="1" t="s">
        <v>181</v>
      </c>
      <c r="S146" s="1">
        <v>9921193909</v>
      </c>
      <c r="T146" s="1" t="s">
        <v>976</v>
      </c>
      <c r="U146" s="1" t="s">
        <v>3158</v>
      </c>
      <c r="V146" s="1">
        <v>9552458074</v>
      </c>
      <c r="W146" s="1" t="s">
        <v>156</v>
      </c>
      <c r="X146" s="1" t="s">
        <v>3159</v>
      </c>
      <c r="Y146" s="1" t="s">
        <v>405</v>
      </c>
      <c r="Z146" s="1" t="s">
        <v>92</v>
      </c>
      <c r="AA146" s="1" t="s">
        <v>3159</v>
      </c>
      <c r="AB146" s="1" t="s">
        <v>405</v>
      </c>
      <c r="AC146" s="1" t="s">
        <v>92</v>
      </c>
      <c r="AD146" s="1">
        <v>8.77</v>
      </c>
      <c r="AE146" s="1" t="s">
        <v>93</v>
      </c>
      <c r="AF146" s="1" t="s">
        <v>3160</v>
      </c>
      <c r="AG146" s="1" t="s">
        <v>3161</v>
      </c>
      <c r="AH146" s="1" t="s">
        <v>1670</v>
      </c>
      <c r="AI146" s="1" t="s">
        <v>165</v>
      </c>
      <c r="AJ146" s="1">
        <v>89.6</v>
      </c>
      <c r="AK146" s="1"/>
      <c r="AL146" s="1" t="s">
        <v>3162</v>
      </c>
      <c r="AM146" s="1" t="s">
        <v>3161</v>
      </c>
      <c r="AN146" s="1" t="s">
        <v>165</v>
      </c>
      <c r="AO146" s="1" t="s">
        <v>433</v>
      </c>
      <c r="AP146" s="1">
        <v>60</v>
      </c>
      <c r="AQ146" s="1"/>
      <c r="AR146" s="1" t="s">
        <v>98</v>
      </c>
      <c r="AS146" s="1" t="s">
        <v>3163</v>
      </c>
      <c r="AT146" s="1" t="s">
        <v>310</v>
      </c>
      <c r="AU146" s="1" t="s">
        <v>1051</v>
      </c>
      <c r="AV146" s="1">
        <v>83.45</v>
      </c>
      <c r="AW146" s="1"/>
      <c r="AX146" s="1" t="s">
        <v>361</v>
      </c>
      <c r="AY146" s="1" t="s">
        <v>3164</v>
      </c>
      <c r="AZ146" s="1" t="s">
        <v>897</v>
      </c>
      <c r="BA146" s="1" t="s">
        <v>3165</v>
      </c>
      <c r="BB146" s="1">
        <v>65.2</v>
      </c>
      <c r="BC146" s="1">
        <v>7.27</v>
      </c>
      <c r="BD146" s="1"/>
      <c r="BE146" s="1"/>
      <c r="BF146" s="1"/>
      <c r="BG146" s="1"/>
      <c r="BH146" s="1"/>
      <c r="BI146" s="1"/>
      <c r="BJ146" s="1" t="s">
        <v>3166</v>
      </c>
      <c r="BK146" s="1"/>
      <c r="BL146" s="1"/>
      <c r="BM146" s="1" t="s">
        <v>3167</v>
      </c>
      <c r="BN146" s="1">
        <v>61</v>
      </c>
      <c r="BO146" s="1"/>
      <c r="BP146" s="1" t="str">
        <f>HYPERLINK("https://nconnect.nicmar.ac.in/storage/profile/ProfilePhoto_P25700083_543168.jpg","Download")</f>
        <v>0</v>
      </c>
      <c r="BQ146" s="3"/>
      <c r="BR146" s="3"/>
    </row>
    <row r="147" spans="1:70">
      <c r="A147" s="1" t="s">
        <v>70</v>
      </c>
      <c r="B147" s="1" t="s">
        <v>1269</v>
      </c>
      <c r="C147" s="1" t="s">
        <v>3168</v>
      </c>
      <c r="D147" s="1" t="s">
        <v>3169</v>
      </c>
      <c r="E147" s="1"/>
      <c r="F147" s="1" t="s">
        <v>3170</v>
      </c>
      <c r="G147" s="1" t="s">
        <v>3171</v>
      </c>
      <c r="H147" s="1" t="s">
        <v>3172</v>
      </c>
      <c r="I147" s="1" t="s">
        <v>3173</v>
      </c>
      <c r="J147" s="1">
        <v>8075078042</v>
      </c>
      <c r="K147" s="1" t="s">
        <v>79</v>
      </c>
      <c r="L147" s="1" t="s">
        <v>3174</v>
      </c>
      <c r="M147" s="1" t="s">
        <v>81</v>
      </c>
      <c r="N147" s="1" t="s">
        <v>3175</v>
      </c>
      <c r="O147" s="1"/>
      <c r="P147" s="1" t="s">
        <v>1323</v>
      </c>
      <c r="Q147" s="1" t="s">
        <v>3176</v>
      </c>
      <c r="R147" s="1" t="s">
        <v>3177</v>
      </c>
      <c r="S147" s="1">
        <v>9447315770</v>
      </c>
      <c r="T147" s="1" t="s">
        <v>3178</v>
      </c>
      <c r="U147" s="1" t="s">
        <v>3179</v>
      </c>
      <c r="V147" s="1">
        <v>9446866397</v>
      </c>
      <c r="W147" s="1" t="s">
        <v>89</v>
      </c>
      <c r="X147" s="1" t="s">
        <v>3180</v>
      </c>
      <c r="Y147" s="1" t="s">
        <v>2140</v>
      </c>
      <c r="Z147" s="1" t="s">
        <v>125</v>
      </c>
      <c r="AA147" s="1" t="s">
        <v>3180</v>
      </c>
      <c r="AB147" s="1" t="s">
        <v>2140</v>
      </c>
      <c r="AC147" s="1" t="s">
        <v>125</v>
      </c>
      <c r="AD147" s="1">
        <v>8.03</v>
      </c>
      <c r="AE147" s="1" t="s">
        <v>93</v>
      </c>
      <c r="AF147" s="1" t="s">
        <v>3181</v>
      </c>
      <c r="AG147" s="1" t="s">
        <v>307</v>
      </c>
      <c r="AH147" s="1" t="s">
        <v>161</v>
      </c>
      <c r="AI147" s="1" t="s">
        <v>527</v>
      </c>
      <c r="AJ147" s="1">
        <v>87.4</v>
      </c>
      <c r="AK147" s="1">
        <v>9.2</v>
      </c>
      <c r="AL147" s="1" t="s">
        <v>3181</v>
      </c>
      <c r="AM147" s="1" t="s">
        <v>307</v>
      </c>
      <c r="AN147" s="1" t="s">
        <v>165</v>
      </c>
      <c r="AO147" s="1" t="s">
        <v>166</v>
      </c>
      <c r="AP147" s="1">
        <v>79</v>
      </c>
      <c r="AQ147" s="1"/>
      <c r="AR147" s="1"/>
      <c r="AS147" s="1"/>
      <c r="AT147" s="1"/>
      <c r="AU147" s="1"/>
      <c r="AV147" s="1"/>
      <c r="AW147" s="1"/>
      <c r="AX147" s="1" t="s">
        <v>3182</v>
      </c>
      <c r="AY147" s="1" t="s">
        <v>3183</v>
      </c>
      <c r="AZ147" s="1" t="s">
        <v>636</v>
      </c>
      <c r="BA147" s="1" t="s">
        <v>105</v>
      </c>
      <c r="BB147" s="1">
        <v>72.2</v>
      </c>
      <c r="BC147" s="1">
        <v>7.22</v>
      </c>
      <c r="BD147" s="1"/>
      <c r="BE147" s="1"/>
      <c r="BF147" s="1"/>
      <c r="BG147" s="1"/>
      <c r="BH147" s="1"/>
      <c r="BI147" s="1"/>
      <c r="BJ147" s="1" t="s">
        <v>3184</v>
      </c>
      <c r="BK147" s="1"/>
      <c r="BL147" s="1"/>
      <c r="BM147" s="1" t="s">
        <v>3185</v>
      </c>
      <c r="BN147" s="1">
        <v>8</v>
      </c>
      <c r="BO147" s="1"/>
      <c r="BP147" s="1" t="str">
        <f>HYPERLINK("https://nconnect.nicmar.ac.in/storage/profile/ProfilePhoto_P25700084_671924.jpg","Download")</f>
        <v>0</v>
      </c>
      <c r="BQ147" s="3"/>
      <c r="BR147" s="3"/>
    </row>
    <row r="148" spans="1:70">
      <c r="A148" s="1" t="s">
        <v>70</v>
      </c>
      <c r="B148" s="1" t="s">
        <v>1269</v>
      </c>
      <c r="C148" s="1" t="s">
        <v>3186</v>
      </c>
      <c r="D148" s="1" t="s">
        <v>3187</v>
      </c>
      <c r="E148" s="1" t="s">
        <v>3188</v>
      </c>
      <c r="F148" s="1" t="s">
        <v>3189</v>
      </c>
      <c r="G148" s="1" t="s">
        <v>3190</v>
      </c>
      <c r="H148" s="1" t="s">
        <v>3191</v>
      </c>
      <c r="I148" s="1" t="s">
        <v>3192</v>
      </c>
      <c r="J148" s="1">
        <v>7721074764</v>
      </c>
      <c r="K148" s="1" t="s">
        <v>79</v>
      </c>
      <c r="L148" s="1" t="s">
        <v>3193</v>
      </c>
      <c r="M148" s="1" t="s">
        <v>81</v>
      </c>
      <c r="N148" s="1" t="s">
        <v>3194</v>
      </c>
      <c r="O148" s="1"/>
      <c r="P148" s="1" t="s">
        <v>1323</v>
      </c>
      <c r="Q148" s="1" t="s">
        <v>3195</v>
      </c>
      <c r="R148" s="1" t="s">
        <v>3196</v>
      </c>
      <c r="S148" s="1">
        <v>7277921217</v>
      </c>
      <c r="T148" s="1" t="s">
        <v>3197</v>
      </c>
      <c r="U148" s="1" t="s">
        <v>3198</v>
      </c>
      <c r="V148" s="1">
        <v>9698711131</v>
      </c>
      <c r="W148" s="1" t="s">
        <v>156</v>
      </c>
      <c r="X148" s="1" t="s">
        <v>3199</v>
      </c>
      <c r="Y148" s="1" t="s">
        <v>2790</v>
      </c>
      <c r="Z148" s="1" t="s">
        <v>92</v>
      </c>
      <c r="AA148" s="1" t="s">
        <v>3199</v>
      </c>
      <c r="AB148" s="1" t="s">
        <v>2790</v>
      </c>
      <c r="AC148" s="1" t="s">
        <v>92</v>
      </c>
      <c r="AD148" s="1" t="s">
        <v>93</v>
      </c>
      <c r="AE148" s="1" t="s">
        <v>93</v>
      </c>
      <c r="AF148" s="1" t="s">
        <v>3200</v>
      </c>
      <c r="AG148" s="1" t="s">
        <v>307</v>
      </c>
      <c r="AH148" s="1" t="s">
        <v>331</v>
      </c>
      <c r="AI148" s="1" t="s">
        <v>786</v>
      </c>
      <c r="AJ148" s="1">
        <v>95</v>
      </c>
      <c r="AK148" s="1">
        <v>10</v>
      </c>
      <c r="AL148" s="1" t="s">
        <v>3201</v>
      </c>
      <c r="AM148" s="1" t="s">
        <v>476</v>
      </c>
      <c r="AN148" s="1" t="s">
        <v>1001</v>
      </c>
      <c r="AO148" s="1" t="s">
        <v>457</v>
      </c>
      <c r="AP148" s="1">
        <v>81.85</v>
      </c>
      <c r="AQ148" s="1"/>
      <c r="AR148" s="1"/>
      <c r="AS148" s="1"/>
      <c r="AT148" s="1"/>
      <c r="AU148" s="1"/>
      <c r="AV148" s="1"/>
      <c r="AW148" s="1"/>
      <c r="AX148" s="1" t="s">
        <v>1088</v>
      </c>
      <c r="AY148" s="1" t="s">
        <v>3202</v>
      </c>
      <c r="AZ148" s="1" t="s">
        <v>636</v>
      </c>
      <c r="BA148" s="1" t="s">
        <v>2632</v>
      </c>
      <c r="BB148" s="1">
        <v>73.5</v>
      </c>
      <c r="BC148" s="1">
        <v>8.1</v>
      </c>
      <c r="BD148" s="1"/>
      <c r="BE148" s="1"/>
      <c r="BF148" s="1"/>
      <c r="BG148" s="1"/>
      <c r="BH148" s="1"/>
      <c r="BI148" s="1"/>
      <c r="BJ148" s="1" t="s">
        <v>3203</v>
      </c>
      <c r="BK148" s="1" t="s">
        <v>3204</v>
      </c>
      <c r="BL148" s="1" t="s">
        <v>2019</v>
      </c>
      <c r="BM148" s="1" t="s">
        <v>3205</v>
      </c>
      <c r="BN148" s="1">
        <v>8</v>
      </c>
      <c r="BO148" s="1" t="s">
        <v>3206</v>
      </c>
      <c r="BP148" s="1" t="str">
        <f>HYPERLINK("https://nconnect.nicmar.ac.in/storage/profile/ProfilePhoto_P25700085_527189.jpg","Download")</f>
        <v>0</v>
      </c>
      <c r="BQ148" s="3"/>
      <c r="BR148" s="3"/>
    </row>
    <row r="149" spans="1:70">
      <c r="A149" s="1" t="s">
        <v>70</v>
      </c>
      <c r="B149" s="1" t="s">
        <v>1269</v>
      </c>
      <c r="C149" s="1" t="s">
        <v>3207</v>
      </c>
      <c r="D149" s="1" t="s">
        <v>1818</v>
      </c>
      <c r="E149" s="1" t="s">
        <v>3208</v>
      </c>
      <c r="F149" s="1" t="s">
        <v>3209</v>
      </c>
      <c r="G149" s="1" t="s">
        <v>3210</v>
      </c>
      <c r="H149" s="1" t="s">
        <v>3211</v>
      </c>
      <c r="I149" s="1" t="s">
        <v>3212</v>
      </c>
      <c r="J149" s="1">
        <v>7821014020</v>
      </c>
      <c r="K149" s="1" t="s">
        <v>79</v>
      </c>
      <c r="L149" s="1" t="s">
        <v>3213</v>
      </c>
      <c r="M149" s="1" t="s">
        <v>81</v>
      </c>
      <c r="N149" s="1" t="s">
        <v>3214</v>
      </c>
      <c r="O149" s="1"/>
      <c r="P149" s="1" t="s">
        <v>1323</v>
      </c>
      <c r="Q149" s="1" t="s">
        <v>3215</v>
      </c>
      <c r="R149" s="1" t="s">
        <v>3216</v>
      </c>
      <c r="S149" s="1">
        <v>9420184313</v>
      </c>
      <c r="T149" s="1" t="s">
        <v>3217</v>
      </c>
      <c r="U149" s="1" t="s">
        <v>3218</v>
      </c>
      <c r="V149" s="1">
        <v>8669022335</v>
      </c>
      <c r="W149" s="1" t="s">
        <v>156</v>
      </c>
      <c r="X149" s="1" t="s">
        <v>3219</v>
      </c>
      <c r="Y149" s="1" t="s">
        <v>191</v>
      </c>
      <c r="Z149" s="1" t="s">
        <v>92</v>
      </c>
      <c r="AA149" s="1" t="s">
        <v>3220</v>
      </c>
      <c r="AB149" s="1" t="s">
        <v>2906</v>
      </c>
      <c r="AC149" s="1" t="s">
        <v>92</v>
      </c>
      <c r="AD149" s="1">
        <v>8.51</v>
      </c>
      <c r="AE149" s="1" t="s">
        <v>93</v>
      </c>
      <c r="AF149" s="1" t="s">
        <v>3221</v>
      </c>
      <c r="AG149" s="1" t="s">
        <v>3222</v>
      </c>
      <c r="AH149" s="1" t="s">
        <v>165</v>
      </c>
      <c r="AI149" s="1" t="s">
        <v>281</v>
      </c>
      <c r="AJ149" s="1">
        <v>86.8</v>
      </c>
      <c r="AK149" s="1">
        <v>0</v>
      </c>
      <c r="AL149" s="1" t="s">
        <v>3223</v>
      </c>
      <c r="AM149" s="1" t="s">
        <v>3224</v>
      </c>
      <c r="AN149" s="1" t="s">
        <v>1065</v>
      </c>
      <c r="AO149" s="1" t="s">
        <v>360</v>
      </c>
      <c r="AP149" s="1">
        <v>74.31</v>
      </c>
      <c r="AQ149" s="1">
        <v>0</v>
      </c>
      <c r="AR149" s="1"/>
      <c r="AS149" s="1"/>
      <c r="AT149" s="1"/>
      <c r="AU149" s="1"/>
      <c r="AV149" s="1"/>
      <c r="AW149" s="1"/>
      <c r="AX149" s="1" t="s">
        <v>361</v>
      </c>
      <c r="AY149" s="1" t="s">
        <v>3225</v>
      </c>
      <c r="AZ149" s="1" t="s">
        <v>920</v>
      </c>
      <c r="BA149" s="1" t="s">
        <v>202</v>
      </c>
      <c r="BB149" s="1">
        <v>75.4</v>
      </c>
      <c r="BC149" s="1">
        <v>8.29</v>
      </c>
      <c r="BD149" s="1"/>
      <c r="BE149" s="1"/>
      <c r="BF149" s="1"/>
      <c r="BG149" s="1"/>
      <c r="BH149" s="1"/>
      <c r="BI149" s="1"/>
      <c r="BJ149" s="1" t="s">
        <v>3226</v>
      </c>
      <c r="BK149" s="1"/>
      <c r="BL149" s="1"/>
      <c r="BM149" s="1" t="s">
        <v>3227</v>
      </c>
      <c r="BN149" s="1">
        <v>37</v>
      </c>
      <c r="BO149" s="1" t="s">
        <v>3228</v>
      </c>
      <c r="BP149" s="1" t="str">
        <f>HYPERLINK("https://nconnect.nicmar.ac.in/storage/profile/ProfilePhoto_P25700086_943578.jpg","Download")</f>
        <v>0</v>
      </c>
      <c r="BQ149" s="3"/>
      <c r="BR149" s="3"/>
    </row>
    <row r="150" spans="1:70">
      <c r="A150" s="1" t="s">
        <v>70</v>
      </c>
      <c r="B150" s="1" t="s">
        <v>1269</v>
      </c>
      <c r="C150" s="1" t="s">
        <v>3229</v>
      </c>
      <c r="D150" s="1" t="s">
        <v>3230</v>
      </c>
      <c r="E150" s="1" t="s">
        <v>3231</v>
      </c>
      <c r="F150" s="1" t="s">
        <v>3232</v>
      </c>
      <c r="G150" s="1" t="s">
        <v>3233</v>
      </c>
      <c r="H150" s="1" t="s">
        <v>3234</v>
      </c>
      <c r="I150" s="1" t="s">
        <v>3235</v>
      </c>
      <c r="J150" s="1">
        <v>8369371163</v>
      </c>
      <c r="K150" s="1" t="s">
        <v>79</v>
      </c>
      <c r="L150" s="1" t="s">
        <v>3118</v>
      </c>
      <c r="M150" s="1" t="s">
        <v>81</v>
      </c>
      <c r="N150" s="1" t="s">
        <v>3236</v>
      </c>
      <c r="O150" s="1"/>
      <c r="P150" s="1" t="s">
        <v>1298</v>
      </c>
      <c r="Q150" s="1" t="s">
        <v>3237</v>
      </c>
      <c r="R150" s="1" t="s">
        <v>3231</v>
      </c>
      <c r="S150" s="1">
        <v>7710942092</v>
      </c>
      <c r="T150" s="1" t="s">
        <v>120</v>
      </c>
      <c r="U150" s="1" t="s">
        <v>3238</v>
      </c>
      <c r="V150" s="1">
        <v>9930116890</v>
      </c>
      <c r="W150" s="1" t="s">
        <v>156</v>
      </c>
      <c r="X150" s="1" t="s">
        <v>3239</v>
      </c>
      <c r="Y150" s="1" t="s">
        <v>1018</v>
      </c>
      <c r="Z150" s="1" t="s">
        <v>92</v>
      </c>
      <c r="AA150" s="1" t="s">
        <v>3239</v>
      </c>
      <c r="AB150" s="1" t="s">
        <v>1018</v>
      </c>
      <c r="AC150" s="1" t="s">
        <v>92</v>
      </c>
      <c r="AD150" s="1">
        <v>8.49</v>
      </c>
      <c r="AE150" s="1" t="s">
        <v>93</v>
      </c>
      <c r="AF150" s="1" t="s">
        <v>3240</v>
      </c>
      <c r="AG150" s="1" t="s">
        <v>3241</v>
      </c>
      <c r="AH150" s="1" t="s">
        <v>527</v>
      </c>
      <c r="AI150" s="1" t="s">
        <v>165</v>
      </c>
      <c r="AJ150" s="1">
        <v>68.8</v>
      </c>
      <c r="AK150" s="1">
        <v>0</v>
      </c>
      <c r="AL150" s="1" t="s">
        <v>3242</v>
      </c>
      <c r="AM150" s="1" t="s">
        <v>3241</v>
      </c>
      <c r="AN150" s="1" t="s">
        <v>169</v>
      </c>
      <c r="AO150" s="1" t="s">
        <v>308</v>
      </c>
      <c r="AP150" s="1">
        <v>61.85</v>
      </c>
      <c r="AQ150" s="1">
        <v>0</v>
      </c>
      <c r="AR150" s="1"/>
      <c r="AS150" s="1"/>
      <c r="AT150" s="1"/>
      <c r="AU150" s="1"/>
      <c r="AV150" s="1"/>
      <c r="AW150" s="1"/>
      <c r="AX150" s="1" t="s">
        <v>253</v>
      </c>
      <c r="AY150" s="1" t="s">
        <v>3243</v>
      </c>
      <c r="AZ150" s="1" t="s">
        <v>201</v>
      </c>
      <c r="BA150" s="1" t="s">
        <v>1134</v>
      </c>
      <c r="BB150" s="1">
        <v>69.25</v>
      </c>
      <c r="BC150" s="1">
        <v>7.75</v>
      </c>
      <c r="BD150" s="1"/>
      <c r="BE150" s="1"/>
      <c r="BF150" s="1"/>
      <c r="BG150" s="1"/>
      <c r="BH150" s="1"/>
      <c r="BI150" s="1"/>
      <c r="BJ150" s="1" t="s">
        <v>3244</v>
      </c>
      <c r="BK150" s="1" t="s">
        <v>3245</v>
      </c>
      <c r="BL150" s="1" t="s">
        <v>3246</v>
      </c>
      <c r="BM150" s="1" t="s">
        <v>3247</v>
      </c>
      <c r="BN150" s="1">
        <v>12</v>
      </c>
      <c r="BO150" s="1" t="s">
        <v>3248</v>
      </c>
      <c r="BP150" s="1" t="str">
        <f>HYPERLINK("https://nconnect.nicmar.ac.in/storage/profile/ProfilePhoto_P25700087_527389.jpg","Download")</f>
        <v>0</v>
      </c>
      <c r="BQ150" s="3"/>
      <c r="BR150" s="3"/>
    </row>
    <row r="151" spans="1:70">
      <c r="A151" s="1" t="s">
        <v>70</v>
      </c>
      <c r="B151" s="1" t="s">
        <v>1269</v>
      </c>
      <c r="C151" s="1" t="s">
        <v>3249</v>
      </c>
      <c r="D151" s="1" t="s">
        <v>3250</v>
      </c>
      <c r="E151" s="1" t="s">
        <v>3251</v>
      </c>
      <c r="F151" s="1" t="s">
        <v>3252</v>
      </c>
      <c r="G151" s="1" t="s">
        <v>3253</v>
      </c>
      <c r="H151" s="1" t="s">
        <v>3254</v>
      </c>
      <c r="I151" s="1" t="s">
        <v>3255</v>
      </c>
      <c r="J151" s="1">
        <v>7039123763</v>
      </c>
      <c r="K151" s="1" t="s">
        <v>79</v>
      </c>
      <c r="L151" s="1" t="s">
        <v>3256</v>
      </c>
      <c r="M151" s="1" t="s">
        <v>81</v>
      </c>
      <c r="N151" s="1" t="s">
        <v>2008</v>
      </c>
      <c r="O151" s="1"/>
      <c r="P151" s="1" t="s">
        <v>1323</v>
      </c>
      <c r="Q151" s="1" t="s">
        <v>3257</v>
      </c>
      <c r="R151" s="1" t="s">
        <v>3251</v>
      </c>
      <c r="S151" s="1">
        <v>9969034019</v>
      </c>
      <c r="T151" s="1" t="s">
        <v>120</v>
      </c>
      <c r="U151" s="1" t="s">
        <v>3258</v>
      </c>
      <c r="V151" s="1">
        <v>9892778289</v>
      </c>
      <c r="W151" s="1" t="s">
        <v>120</v>
      </c>
      <c r="X151" s="1" t="s">
        <v>3259</v>
      </c>
      <c r="Y151" s="1" t="s">
        <v>995</v>
      </c>
      <c r="Z151" s="1" t="s">
        <v>92</v>
      </c>
      <c r="AA151" s="1" t="s">
        <v>3259</v>
      </c>
      <c r="AB151" s="1" t="s">
        <v>995</v>
      </c>
      <c r="AC151" s="1" t="s">
        <v>92</v>
      </c>
      <c r="AD151" s="1">
        <v>8.56</v>
      </c>
      <c r="AE151" s="1" t="s">
        <v>93</v>
      </c>
      <c r="AF151" s="1" t="s">
        <v>3260</v>
      </c>
      <c r="AG151" s="1" t="s">
        <v>3261</v>
      </c>
      <c r="AH151" s="1" t="s">
        <v>96</v>
      </c>
      <c r="AI151" s="1" t="s">
        <v>131</v>
      </c>
      <c r="AJ151" s="1">
        <v>67.2</v>
      </c>
      <c r="AK151" s="1"/>
      <c r="AL151" s="1"/>
      <c r="AM151" s="1"/>
      <c r="AN151" s="1"/>
      <c r="AO151" s="1"/>
      <c r="AP151" s="1"/>
      <c r="AQ151" s="1"/>
      <c r="AR151" s="1" t="s">
        <v>98</v>
      </c>
      <c r="AS151" s="1" t="s">
        <v>3262</v>
      </c>
      <c r="AT151" s="1" t="s">
        <v>337</v>
      </c>
      <c r="AU151" s="1" t="s">
        <v>166</v>
      </c>
      <c r="AV151" s="1">
        <v>84.4</v>
      </c>
      <c r="AW151" s="1"/>
      <c r="AX151" s="1" t="s">
        <v>253</v>
      </c>
      <c r="AY151" s="1" t="s">
        <v>3263</v>
      </c>
      <c r="AZ151" s="1" t="s">
        <v>169</v>
      </c>
      <c r="BA151" s="1" t="s">
        <v>1712</v>
      </c>
      <c r="BB151" s="1">
        <v>71.4</v>
      </c>
      <c r="BC151" s="1">
        <v>7.89</v>
      </c>
      <c r="BD151" s="1"/>
      <c r="BE151" s="1"/>
      <c r="BF151" s="1"/>
      <c r="BG151" s="1"/>
      <c r="BH151" s="1"/>
      <c r="BI151" s="1"/>
      <c r="BJ151" s="1" t="s">
        <v>3264</v>
      </c>
      <c r="BK151" s="1" t="s">
        <v>3265</v>
      </c>
      <c r="BL151" s="1" t="s">
        <v>3266</v>
      </c>
      <c r="BM151" s="1" t="s">
        <v>3267</v>
      </c>
      <c r="BN151" s="1">
        <v>14</v>
      </c>
      <c r="BO151" s="1"/>
      <c r="BP151" s="1" t="str">
        <f>HYPERLINK("https://nconnect.nicmar.ac.in/storage/profile/ProfilePhoto_P25700088_736859.jpg","Download")</f>
        <v>0</v>
      </c>
      <c r="BQ151" s="3"/>
      <c r="BR151" s="3"/>
    </row>
    <row r="152" spans="1:70">
      <c r="A152" s="1" t="s">
        <v>70</v>
      </c>
      <c r="B152" s="1" t="s">
        <v>1269</v>
      </c>
      <c r="C152" s="1" t="s">
        <v>3268</v>
      </c>
      <c r="D152" s="1" t="s">
        <v>3269</v>
      </c>
      <c r="E152" s="1" t="s">
        <v>3231</v>
      </c>
      <c r="F152" s="1" t="s">
        <v>2897</v>
      </c>
      <c r="G152" s="1" t="s">
        <v>3270</v>
      </c>
      <c r="H152" s="1" t="s">
        <v>3271</v>
      </c>
      <c r="I152" s="1" t="s">
        <v>3272</v>
      </c>
      <c r="J152" s="1">
        <v>9172120588</v>
      </c>
      <c r="K152" s="1" t="s">
        <v>79</v>
      </c>
      <c r="L152" s="1" t="s">
        <v>3273</v>
      </c>
      <c r="M152" s="1" t="s">
        <v>81</v>
      </c>
      <c r="N152" s="1" t="s">
        <v>2008</v>
      </c>
      <c r="O152" s="1"/>
      <c r="P152" s="1" t="s">
        <v>1323</v>
      </c>
      <c r="Q152" s="1" t="s">
        <v>3274</v>
      </c>
      <c r="R152" s="1" t="s">
        <v>3275</v>
      </c>
      <c r="S152" s="1">
        <v>9172120588</v>
      </c>
      <c r="T152" s="1" t="s">
        <v>120</v>
      </c>
      <c r="U152" s="1" t="s">
        <v>3276</v>
      </c>
      <c r="V152" s="1">
        <v>9172120588</v>
      </c>
      <c r="W152" s="1" t="s">
        <v>156</v>
      </c>
      <c r="X152" s="1" t="s">
        <v>3277</v>
      </c>
      <c r="Y152" s="1" t="s">
        <v>2790</v>
      </c>
      <c r="Z152" s="1" t="s">
        <v>92</v>
      </c>
      <c r="AA152" s="1" t="s">
        <v>3277</v>
      </c>
      <c r="AB152" s="1" t="s">
        <v>2790</v>
      </c>
      <c r="AC152" s="1" t="s">
        <v>92</v>
      </c>
      <c r="AD152" s="1">
        <v>8.59</v>
      </c>
      <c r="AE152" s="1" t="s">
        <v>93</v>
      </c>
      <c r="AF152" s="1" t="s">
        <v>3278</v>
      </c>
      <c r="AG152" s="1" t="s">
        <v>3279</v>
      </c>
      <c r="AH152" s="1" t="s">
        <v>165</v>
      </c>
      <c r="AI152" s="1" t="s">
        <v>166</v>
      </c>
      <c r="AJ152" s="1">
        <v>81.8</v>
      </c>
      <c r="AK152" s="1"/>
      <c r="AL152" s="1" t="s">
        <v>3278</v>
      </c>
      <c r="AM152" s="1" t="s">
        <v>3279</v>
      </c>
      <c r="AN152" s="1" t="s">
        <v>433</v>
      </c>
      <c r="AO152" s="1" t="s">
        <v>173</v>
      </c>
      <c r="AP152" s="1">
        <v>74.2</v>
      </c>
      <c r="AQ152" s="1"/>
      <c r="AR152" s="1"/>
      <c r="AS152" s="1"/>
      <c r="AT152" s="1"/>
      <c r="AU152" s="1"/>
      <c r="AV152" s="1"/>
      <c r="AW152" s="1"/>
      <c r="AX152" s="1" t="s">
        <v>361</v>
      </c>
      <c r="AY152" s="1" t="s">
        <v>3280</v>
      </c>
      <c r="AZ152" s="1" t="s">
        <v>681</v>
      </c>
      <c r="BA152" s="1" t="s">
        <v>202</v>
      </c>
      <c r="BB152" s="1">
        <v>66.21</v>
      </c>
      <c r="BC152" s="1">
        <v>7.44</v>
      </c>
      <c r="BD152" s="1"/>
      <c r="BE152" s="1"/>
      <c r="BF152" s="1"/>
      <c r="BG152" s="1"/>
      <c r="BH152" s="1"/>
      <c r="BI152" s="1"/>
      <c r="BJ152" s="1" t="s">
        <v>3281</v>
      </c>
      <c r="BK152" s="1" t="s">
        <v>3282</v>
      </c>
      <c r="BL152" s="1" t="s">
        <v>1220</v>
      </c>
      <c r="BM152" s="1" t="s">
        <v>3283</v>
      </c>
      <c r="BN152" s="1">
        <v>8</v>
      </c>
      <c r="BO152" s="1"/>
      <c r="BP152" s="1" t="str">
        <f>HYPERLINK("https://nconnect.nicmar.ac.in/storage/profile/ProfilePhoto_P25700089_931658.jpg","Download")</f>
        <v>0</v>
      </c>
      <c r="BQ152" s="3"/>
      <c r="BR152" s="3"/>
    </row>
    <row r="153" spans="1:70">
      <c r="A153" s="1" t="s">
        <v>70</v>
      </c>
      <c r="B153" s="1" t="s">
        <v>1269</v>
      </c>
      <c r="C153" s="1" t="s">
        <v>3284</v>
      </c>
      <c r="D153" s="1" t="s">
        <v>3169</v>
      </c>
      <c r="E153" s="1"/>
      <c r="F153" s="1" t="s">
        <v>3285</v>
      </c>
      <c r="G153" s="1" t="s">
        <v>3286</v>
      </c>
      <c r="H153" s="1" t="s">
        <v>3287</v>
      </c>
      <c r="I153" s="1" t="s">
        <v>3288</v>
      </c>
      <c r="J153" s="1">
        <v>9701658656</v>
      </c>
      <c r="K153" s="1" t="s">
        <v>79</v>
      </c>
      <c r="L153" s="1" t="s">
        <v>3289</v>
      </c>
      <c r="M153" s="1" t="s">
        <v>81</v>
      </c>
      <c r="N153" s="1" t="s">
        <v>3290</v>
      </c>
      <c r="O153" s="1"/>
      <c r="P153" s="1" t="s">
        <v>1278</v>
      </c>
      <c r="Q153" s="1" t="s">
        <v>3291</v>
      </c>
      <c r="R153" s="1" t="s">
        <v>3292</v>
      </c>
      <c r="S153" s="1">
        <v>9849829955</v>
      </c>
      <c r="T153" s="1" t="s">
        <v>154</v>
      </c>
      <c r="U153" s="1" t="s">
        <v>3293</v>
      </c>
      <c r="V153" s="1">
        <v>9989220434</v>
      </c>
      <c r="W153" s="1" t="s">
        <v>273</v>
      </c>
      <c r="X153" s="1" t="s">
        <v>3294</v>
      </c>
      <c r="Y153" s="1" t="s">
        <v>275</v>
      </c>
      <c r="Z153" s="1" t="s">
        <v>276</v>
      </c>
      <c r="AA153" s="1" t="s">
        <v>3294</v>
      </c>
      <c r="AB153" s="1" t="s">
        <v>275</v>
      </c>
      <c r="AC153" s="1" t="s">
        <v>276</v>
      </c>
      <c r="AD153" s="1">
        <v>8.74</v>
      </c>
      <c r="AE153" s="1" t="s">
        <v>93</v>
      </c>
      <c r="AF153" s="1" t="s">
        <v>3295</v>
      </c>
      <c r="AG153" s="1" t="s">
        <v>3296</v>
      </c>
      <c r="AH153" s="1" t="s">
        <v>165</v>
      </c>
      <c r="AI153" s="1" t="s">
        <v>1307</v>
      </c>
      <c r="AJ153" s="1">
        <v>100</v>
      </c>
      <c r="AK153" s="1">
        <v>10</v>
      </c>
      <c r="AL153" s="1" t="s">
        <v>3297</v>
      </c>
      <c r="AM153" s="1" t="s">
        <v>3298</v>
      </c>
      <c r="AN153" s="1" t="s">
        <v>101</v>
      </c>
      <c r="AO153" s="1" t="s">
        <v>412</v>
      </c>
      <c r="AP153" s="1">
        <v>94.6</v>
      </c>
      <c r="AQ153" s="1">
        <v>9.82</v>
      </c>
      <c r="AR153" s="1"/>
      <c r="AS153" s="1"/>
      <c r="AT153" s="1"/>
      <c r="AU153" s="1"/>
      <c r="AV153" s="1"/>
      <c r="AW153" s="1"/>
      <c r="AX153" s="1" t="s">
        <v>3299</v>
      </c>
      <c r="AY153" s="1" t="s">
        <v>3300</v>
      </c>
      <c r="AZ153" s="1" t="s">
        <v>920</v>
      </c>
      <c r="BA153" s="1" t="s">
        <v>702</v>
      </c>
      <c r="BB153" s="1">
        <v>65.9</v>
      </c>
      <c r="BC153" s="1">
        <v>7.34</v>
      </c>
      <c r="BD153" s="1"/>
      <c r="BE153" s="1"/>
      <c r="BF153" s="1"/>
      <c r="BG153" s="1"/>
      <c r="BH153" s="1"/>
      <c r="BI153" s="1"/>
      <c r="BJ153" s="1" t="s">
        <v>3301</v>
      </c>
      <c r="BK153" s="1"/>
      <c r="BL153" s="1"/>
      <c r="BM153" s="1" t="s">
        <v>3302</v>
      </c>
      <c r="BN153" s="1">
        <v>19</v>
      </c>
      <c r="BO153" s="1"/>
      <c r="BP153" s="1" t="str">
        <f>HYPERLINK("https://nconnect.nicmar.ac.in/storage/profile/ProfilePhoto_P25700090_678295.jpg","Download")</f>
        <v>0</v>
      </c>
      <c r="BQ153" s="3"/>
      <c r="BR153" s="3"/>
    </row>
    <row r="154" spans="1:70">
      <c r="A154" s="1" t="s">
        <v>70</v>
      </c>
      <c r="B154" s="1" t="s">
        <v>1269</v>
      </c>
      <c r="C154" s="1" t="s">
        <v>3303</v>
      </c>
      <c r="D154" s="1" t="s">
        <v>3304</v>
      </c>
      <c r="E154" s="1" t="s">
        <v>3305</v>
      </c>
      <c r="F154" s="1" t="s">
        <v>3306</v>
      </c>
      <c r="G154" s="1" t="s">
        <v>3307</v>
      </c>
      <c r="H154" s="1" t="s">
        <v>3308</v>
      </c>
      <c r="I154" s="1" t="s">
        <v>3309</v>
      </c>
      <c r="J154" s="1">
        <v>8975936363</v>
      </c>
      <c r="K154" s="1" t="s">
        <v>79</v>
      </c>
      <c r="L154" s="1" t="s">
        <v>3310</v>
      </c>
      <c r="M154" s="1" t="s">
        <v>81</v>
      </c>
      <c r="N154" s="1" t="s">
        <v>3311</v>
      </c>
      <c r="O154" s="1"/>
      <c r="P154" s="1" t="s">
        <v>1298</v>
      </c>
      <c r="Q154" s="1" t="s">
        <v>3312</v>
      </c>
      <c r="R154" s="1" t="s">
        <v>3305</v>
      </c>
      <c r="S154" s="1">
        <v>8308572500</v>
      </c>
      <c r="T154" s="1" t="s">
        <v>496</v>
      </c>
      <c r="U154" s="1" t="s">
        <v>2336</v>
      </c>
      <c r="V154" s="1">
        <v>7350589898</v>
      </c>
      <c r="W154" s="1" t="s">
        <v>156</v>
      </c>
      <c r="X154" s="1" t="s">
        <v>3313</v>
      </c>
      <c r="Y154" s="1" t="s">
        <v>191</v>
      </c>
      <c r="Z154" s="1" t="s">
        <v>92</v>
      </c>
      <c r="AA154" s="1" t="s">
        <v>3313</v>
      </c>
      <c r="AB154" s="1" t="s">
        <v>191</v>
      </c>
      <c r="AC154" s="1" t="s">
        <v>92</v>
      </c>
      <c r="AD154" s="1">
        <v>9.31</v>
      </c>
      <c r="AE154" s="1" t="s">
        <v>93</v>
      </c>
      <c r="AF154" s="1" t="s">
        <v>3314</v>
      </c>
      <c r="AG154" s="1" t="s">
        <v>160</v>
      </c>
      <c r="AH154" s="1" t="s">
        <v>3105</v>
      </c>
      <c r="AI154" s="1" t="s">
        <v>409</v>
      </c>
      <c r="AJ154" s="1">
        <v>90.2</v>
      </c>
      <c r="AK154" s="1"/>
      <c r="AL154" s="1" t="s">
        <v>3315</v>
      </c>
      <c r="AM154" s="1" t="s">
        <v>160</v>
      </c>
      <c r="AN154" s="1" t="s">
        <v>433</v>
      </c>
      <c r="AO154" s="1" t="s">
        <v>1131</v>
      </c>
      <c r="AP154" s="1">
        <v>84</v>
      </c>
      <c r="AQ154" s="1"/>
      <c r="AR154" s="1"/>
      <c r="AS154" s="1"/>
      <c r="AT154" s="1"/>
      <c r="AU154" s="1"/>
      <c r="AV154" s="1"/>
      <c r="AW154" s="1"/>
      <c r="AX154" s="1" t="s">
        <v>361</v>
      </c>
      <c r="AY154" s="1" t="s">
        <v>3316</v>
      </c>
      <c r="AZ154" s="1" t="s">
        <v>897</v>
      </c>
      <c r="BA154" s="1" t="s">
        <v>1361</v>
      </c>
      <c r="BB154" s="1">
        <v>80.18</v>
      </c>
      <c r="BC154" s="1">
        <v>8.44</v>
      </c>
      <c r="BD154" s="1"/>
      <c r="BE154" s="1"/>
      <c r="BF154" s="1"/>
      <c r="BG154" s="1"/>
      <c r="BH154" s="1"/>
      <c r="BI154" s="1"/>
      <c r="BJ154" s="1" t="s">
        <v>255</v>
      </c>
      <c r="BK154" s="1"/>
      <c r="BL154" s="1"/>
      <c r="BM154" s="1" t="s">
        <v>3317</v>
      </c>
      <c r="BN154" s="1">
        <v>13</v>
      </c>
      <c r="BO154" s="1"/>
      <c r="BP154" s="1" t="str">
        <f>HYPERLINK("https://nconnect.nicmar.ac.in/storage/profile/ProfilePhoto_P25700091_861592.jpg","Download")</f>
        <v>0</v>
      </c>
      <c r="BQ154" s="3"/>
      <c r="BR154" s="3"/>
    </row>
    <row r="155" spans="1:70">
      <c r="A155" s="1" t="s">
        <v>70</v>
      </c>
      <c r="B155" s="1" t="s">
        <v>1269</v>
      </c>
      <c r="C155" s="1" t="s">
        <v>3318</v>
      </c>
      <c r="D155" s="1" t="s">
        <v>3319</v>
      </c>
      <c r="E155" s="1"/>
      <c r="F155" s="1" t="s">
        <v>3320</v>
      </c>
      <c r="G155" s="1" t="s">
        <v>3321</v>
      </c>
      <c r="H155" s="1" t="s">
        <v>3322</v>
      </c>
      <c r="I155" s="1" t="s">
        <v>3323</v>
      </c>
      <c r="J155" s="1">
        <v>6282333205</v>
      </c>
      <c r="K155" s="1" t="s">
        <v>79</v>
      </c>
      <c r="L155" s="1" t="s">
        <v>3324</v>
      </c>
      <c r="M155" s="1" t="s">
        <v>81</v>
      </c>
      <c r="N155" s="1" t="s">
        <v>3325</v>
      </c>
      <c r="O155" s="1"/>
      <c r="P155" s="1" t="s">
        <v>1278</v>
      </c>
      <c r="Q155" s="1" t="s">
        <v>3326</v>
      </c>
      <c r="R155" s="1" t="s">
        <v>3327</v>
      </c>
      <c r="S155" s="1">
        <v>9446204739</v>
      </c>
      <c r="T155" s="1" t="s">
        <v>120</v>
      </c>
      <c r="U155" s="1" t="s">
        <v>3328</v>
      </c>
      <c r="V155" s="1">
        <v>9495632950</v>
      </c>
      <c r="W155" s="1" t="s">
        <v>120</v>
      </c>
      <c r="X155" s="1" t="s">
        <v>3329</v>
      </c>
      <c r="Y155" s="1" t="s">
        <v>3330</v>
      </c>
      <c r="Z155" s="1" t="s">
        <v>125</v>
      </c>
      <c r="AA155" s="1" t="s">
        <v>3329</v>
      </c>
      <c r="AB155" s="1" t="s">
        <v>3330</v>
      </c>
      <c r="AC155" s="1" t="s">
        <v>125</v>
      </c>
      <c r="AD155" s="1">
        <v>8.62</v>
      </c>
      <c r="AE155" s="1" t="s">
        <v>93</v>
      </c>
      <c r="AF155" s="1" t="s">
        <v>3331</v>
      </c>
      <c r="AG155" s="1" t="s">
        <v>3332</v>
      </c>
      <c r="AH155" s="1" t="s">
        <v>165</v>
      </c>
      <c r="AI155" s="1" t="s">
        <v>281</v>
      </c>
      <c r="AJ155" s="1">
        <v>86.61</v>
      </c>
      <c r="AK155" s="1"/>
      <c r="AL155" s="1" t="s">
        <v>3331</v>
      </c>
      <c r="AM155" s="1" t="s">
        <v>3333</v>
      </c>
      <c r="AN155" s="1" t="s">
        <v>101</v>
      </c>
      <c r="AO155" s="1" t="s">
        <v>941</v>
      </c>
      <c r="AP155" s="1">
        <v>72.66</v>
      </c>
      <c r="AQ155" s="1"/>
      <c r="AR155" s="1"/>
      <c r="AS155" s="1"/>
      <c r="AT155" s="1"/>
      <c r="AU155" s="1"/>
      <c r="AV155" s="1"/>
      <c r="AW155" s="1"/>
      <c r="AX155" s="1" t="s">
        <v>3334</v>
      </c>
      <c r="AY155" s="1" t="s">
        <v>3335</v>
      </c>
      <c r="AZ155" s="1" t="s">
        <v>681</v>
      </c>
      <c r="BA155" s="1" t="s">
        <v>202</v>
      </c>
      <c r="BB155" s="1">
        <v>67.2</v>
      </c>
      <c r="BC155" s="1">
        <v>6.72</v>
      </c>
      <c r="BD155" s="1"/>
      <c r="BE155" s="1"/>
      <c r="BF155" s="1"/>
      <c r="BG155" s="1"/>
      <c r="BH155" s="1"/>
      <c r="BI155" s="1"/>
      <c r="BJ155" s="1" t="s">
        <v>3336</v>
      </c>
      <c r="BK155" s="1" t="s">
        <v>3337</v>
      </c>
      <c r="BL155" s="1" t="s">
        <v>484</v>
      </c>
      <c r="BM155" s="1" t="s">
        <v>3338</v>
      </c>
      <c r="BN155" s="1">
        <v>9</v>
      </c>
      <c r="BO155" s="1" t="s">
        <v>3339</v>
      </c>
      <c r="BP155" s="1" t="str">
        <f>HYPERLINK("https://nconnect.nicmar.ac.in/storage/profile/ProfilePhoto_P25700092_346187.jpg","Download")</f>
        <v>0</v>
      </c>
      <c r="BQ155" s="3"/>
      <c r="BR155" s="3"/>
    </row>
    <row r="156" spans="1:70">
      <c r="A156" s="1" t="s">
        <v>70</v>
      </c>
      <c r="B156" s="1" t="s">
        <v>1269</v>
      </c>
      <c r="C156" s="1" t="s">
        <v>3340</v>
      </c>
      <c r="D156" s="1" t="s">
        <v>3341</v>
      </c>
      <c r="E156" s="1"/>
      <c r="F156" s="1" t="s">
        <v>3342</v>
      </c>
      <c r="G156" s="1" t="s">
        <v>3343</v>
      </c>
      <c r="H156" s="1" t="s">
        <v>3344</v>
      </c>
      <c r="I156" s="1" t="s">
        <v>3345</v>
      </c>
      <c r="J156" s="1">
        <v>9311490065</v>
      </c>
      <c r="K156" s="1" t="s">
        <v>79</v>
      </c>
      <c r="L156" s="1" t="s">
        <v>3346</v>
      </c>
      <c r="M156" s="1" t="s">
        <v>81</v>
      </c>
      <c r="N156" s="1" t="s">
        <v>3347</v>
      </c>
      <c r="O156" s="1"/>
      <c r="P156" s="1" t="s">
        <v>1323</v>
      </c>
      <c r="Q156" s="1" t="s">
        <v>3348</v>
      </c>
      <c r="R156" s="1" t="s">
        <v>3349</v>
      </c>
      <c r="S156" s="1">
        <v>9314012773</v>
      </c>
      <c r="T156" s="1" t="s">
        <v>842</v>
      </c>
      <c r="U156" s="1" t="s">
        <v>3350</v>
      </c>
      <c r="V156" s="1">
        <v>9414012773</v>
      </c>
      <c r="W156" s="1" t="s">
        <v>3351</v>
      </c>
      <c r="X156" s="1" t="s">
        <v>3352</v>
      </c>
      <c r="Y156" s="1" t="s">
        <v>718</v>
      </c>
      <c r="Z156" s="1" t="s">
        <v>719</v>
      </c>
      <c r="AA156" s="1" t="s">
        <v>3352</v>
      </c>
      <c r="AB156" s="1" t="s">
        <v>718</v>
      </c>
      <c r="AC156" s="1" t="s">
        <v>719</v>
      </c>
      <c r="AD156" s="1" t="s">
        <v>93</v>
      </c>
      <c r="AE156" s="1" t="s">
        <v>93</v>
      </c>
      <c r="AF156" s="1" t="s">
        <v>3353</v>
      </c>
      <c r="AG156" s="1" t="s">
        <v>3354</v>
      </c>
      <c r="AH156" s="1" t="s">
        <v>678</v>
      </c>
      <c r="AI156" s="1" t="s">
        <v>281</v>
      </c>
      <c r="AJ156" s="1">
        <v>66.5</v>
      </c>
      <c r="AK156" s="1"/>
      <c r="AL156" s="1" t="s">
        <v>3355</v>
      </c>
      <c r="AM156" s="1" t="s">
        <v>307</v>
      </c>
      <c r="AN156" s="1" t="s">
        <v>409</v>
      </c>
      <c r="AO156" s="1" t="s">
        <v>941</v>
      </c>
      <c r="AP156" s="1">
        <v>74.6</v>
      </c>
      <c r="AQ156" s="1"/>
      <c r="AR156" s="1"/>
      <c r="AS156" s="1"/>
      <c r="AT156" s="1"/>
      <c r="AU156" s="1"/>
      <c r="AV156" s="1"/>
      <c r="AW156" s="1"/>
      <c r="AX156" s="1" t="s">
        <v>3356</v>
      </c>
      <c r="AY156" s="1" t="s">
        <v>3357</v>
      </c>
      <c r="AZ156" s="1" t="s">
        <v>920</v>
      </c>
      <c r="BA156" s="1" t="s">
        <v>944</v>
      </c>
      <c r="BB156" s="1">
        <v>91.7</v>
      </c>
      <c r="BC156" s="1">
        <v>9.17</v>
      </c>
      <c r="BD156" s="1"/>
      <c r="BE156" s="1"/>
      <c r="BF156" s="1"/>
      <c r="BG156" s="1"/>
      <c r="BH156" s="1"/>
      <c r="BI156" s="1"/>
      <c r="BJ156" s="1" t="s">
        <v>255</v>
      </c>
      <c r="BK156" s="1"/>
      <c r="BL156" s="1"/>
      <c r="BM156" s="1" t="s">
        <v>3358</v>
      </c>
      <c r="BN156" s="1">
        <v>61</v>
      </c>
      <c r="BO156" s="1" t="s">
        <v>3359</v>
      </c>
      <c r="BP156" s="1" t="str">
        <f>HYPERLINK("https://nconnect.nicmar.ac.in/storage/profile/ProfilePhoto_P25700093_764528.jpg","Download")</f>
        <v>0</v>
      </c>
      <c r="BQ156" s="3"/>
      <c r="BR156" s="3"/>
    </row>
    <row r="157" spans="1:70">
      <c r="A157" s="1" t="s">
        <v>70</v>
      </c>
      <c r="B157" s="1" t="s">
        <v>1269</v>
      </c>
      <c r="C157" s="1" t="s">
        <v>3360</v>
      </c>
      <c r="D157" s="1" t="s">
        <v>3361</v>
      </c>
      <c r="E157" s="1" t="s">
        <v>3362</v>
      </c>
      <c r="F157" s="1" t="s">
        <v>3363</v>
      </c>
      <c r="G157" s="1" t="s">
        <v>3364</v>
      </c>
      <c r="H157" s="1" t="s">
        <v>3365</v>
      </c>
      <c r="I157" s="1" t="s">
        <v>3366</v>
      </c>
      <c r="J157" s="1">
        <v>7020313041</v>
      </c>
      <c r="K157" s="1" t="s">
        <v>79</v>
      </c>
      <c r="L157" s="1" t="s">
        <v>744</v>
      </c>
      <c r="M157" s="1" t="s">
        <v>81</v>
      </c>
      <c r="N157" s="1" t="s">
        <v>2008</v>
      </c>
      <c r="O157" s="1"/>
      <c r="P157" s="1" t="s">
        <v>1278</v>
      </c>
      <c r="Q157" s="1" t="s">
        <v>3367</v>
      </c>
      <c r="R157" s="1" t="s">
        <v>3362</v>
      </c>
      <c r="S157" s="1">
        <v>9423076607</v>
      </c>
      <c r="T157" s="1" t="s">
        <v>496</v>
      </c>
      <c r="U157" s="1" t="s">
        <v>3368</v>
      </c>
      <c r="V157" s="1">
        <v>9405283841</v>
      </c>
      <c r="W157" s="1" t="s">
        <v>156</v>
      </c>
      <c r="X157" s="1" t="s">
        <v>3369</v>
      </c>
      <c r="Y157" s="1" t="s">
        <v>191</v>
      </c>
      <c r="Z157" s="1" t="s">
        <v>92</v>
      </c>
      <c r="AA157" s="1" t="s">
        <v>3370</v>
      </c>
      <c r="AB157" s="1" t="s">
        <v>1991</v>
      </c>
      <c r="AC157" s="1" t="s">
        <v>92</v>
      </c>
      <c r="AD157" s="1">
        <v>8.77</v>
      </c>
      <c r="AE157" s="1" t="s">
        <v>93</v>
      </c>
      <c r="AF157" s="1" t="s">
        <v>3371</v>
      </c>
      <c r="AG157" s="1" t="s">
        <v>3372</v>
      </c>
      <c r="AH157" s="1" t="s">
        <v>162</v>
      </c>
      <c r="AI157" s="1" t="s">
        <v>678</v>
      </c>
      <c r="AJ157" s="1">
        <v>95.4</v>
      </c>
      <c r="AK157" s="1"/>
      <c r="AL157" s="1" t="s">
        <v>3373</v>
      </c>
      <c r="AM157" s="1" t="s">
        <v>3374</v>
      </c>
      <c r="AN157" s="1" t="s">
        <v>101</v>
      </c>
      <c r="AO157" s="1" t="s">
        <v>308</v>
      </c>
      <c r="AP157" s="1">
        <v>79.8</v>
      </c>
      <c r="AQ157" s="1"/>
      <c r="AR157" s="1"/>
      <c r="AS157" s="1"/>
      <c r="AT157" s="1"/>
      <c r="AU157" s="1"/>
      <c r="AV157" s="1"/>
      <c r="AW157" s="1"/>
      <c r="AX157" s="1" t="s">
        <v>361</v>
      </c>
      <c r="AY157" s="1" t="s">
        <v>3375</v>
      </c>
      <c r="AZ157" s="1" t="s">
        <v>201</v>
      </c>
      <c r="BA157" s="1" t="s">
        <v>229</v>
      </c>
      <c r="BB157" s="1">
        <v>75</v>
      </c>
      <c r="BC157" s="1">
        <v>8</v>
      </c>
      <c r="BD157" s="1"/>
      <c r="BE157" s="1"/>
      <c r="BF157" s="1"/>
      <c r="BG157" s="1"/>
      <c r="BH157" s="1"/>
      <c r="BI157" s="1"/>
      <c r="BJ157" s="1" t="s">
        <v>3376</v>
      </c>
      <c r="BK157" s="1" t="s">
        <v>3377</v>
      </c>
      <c r="BL157" s="1" t="s">
        <v>639</v>
      </c>
      <c r="BM157" s="1" t="s">
        <v>3378</v>
      </c>
      <c r="BN157" s="1">
        <v>8</v>
      </c>
      <c r="BO157" s="1" t="s">
        <v>3379</v>
      </c>
      <c r="BP157" s="1" t="str">
        <f>HYPERLINK("https://nconnect.nicmar.ac.in/storage/profile/ProfilePhoto_P25700094_172359.jpg","Download")</f>
        <v>0</v>
      </c>
      <c r="BQ157" s="3"/>
      <c r="BR157" s="3"/>
    </row>
    <row r="158" spans="1:70">
      <c r="A158" s="1" t="s">
        <v>70</v>
      </c>
      <c r="B158" s="1" t="s">
        <v>1269</v>
      </c>
      <c r="C158" s="1" t="s">
        <v>3380</v>
      </c>
      <c r="D158" s="1" t="s">
        <v>3381</v>
      </c>
      <c r="E158" s="1"/>
      <c r="F158" s="1" t="s">
        <v>2191</v>
      </c>
      <c r="G158" s="1" t="s">
        <v>3382</v>
      </c>
      <c r="H158" s="1" t="s">
        <v>3383</v>
      </c>
      <c r="I158" s="1" t="s">
        <v>3384</v>
      </c>
      <c r="J158" s="1">
        <v>9526322039</v>
      </c>
      <c r="K158" s="1" t="s">
        <v>79</v>
      </c>
      <c r="L158" s="1" t="s">
        <v>3385</v>
      </c>
      <c r="M158" s="1" t="s">
        <v>81</v>
      </c>
      <c r="N158" s="1" t="s">
        <v>116</v>
      </c>
      <c r="O158" s="1"/>
      <c r="P158" s="1" t="s">
        <v>1323</v>
      </c>
      <c r="Q158" s="1" t="s">
        <v>3386</v>
      </c>
      <c r="R158" s="1" t="s">
        <v>3387</v>
      </c>
      <c r="S158" s="1">
        <v>9946333362</v>
      </c>
      <c r="T158" s="1" t="s">
        <v>3388</v>
      </c>
      <c r="U158" s="1" t="s">
        <v>3389</v>
      </c>
      <c r="V158" s="1">
        <v>9526644881</v>
      </c>
      <c r="W158" s="1" t="s">
        <v>273</v>
      </c>
      <c r="X158" s="1" t="s">
        <v>3390</v>
      </c>
      <c r="Y158" s="1" t="s">
        <v>2140</v>
      </c>
      <c r="Z158" s="1" t="s">
        <v>125</v>
      </c>
      <c r="AA158" s="1" t="s">
        <v>3390</v>
      </c>
      <c r="AB158" s="1" t="s">
        <v>2140</v>
      </c>
      <c r="AC158" s="1" t="s">
        <v>125</v>
      </c>
      <c r="AD158" s="1" t="s">
        <v>93</v>
      </c>
      <c r="AE158" s="1" t="s">
        <v>93</v>
      </c>
      <c r="AF158" s="1" t="s">
        <v>3391</v>
      </c>
      <c r="AG158" s="1" t="s">
        <v>3392</v>
      </c>
      <c r="AH158" s="1" t="s">
        <v>161</v>
      </c>
      <c r="AI158" s="1" t="s">
        <v>527</v>
      </c>
      <c r="AJ158" s="1">
        <v>89.3</v>
      </c>
      <c r="AK158" s="1">
        <v>9.4</v>
      </c>
      <c r="AL158" s="1" t="s">
        <v>3391</v>
      </c>
      <c r="AM158" s="1" t="s">
        <v>3393</v>
      </c>
      <c r="AN158" s="1" t="s">
        <v>165</v>
      </c>
      <c r="AO158" s="1" t="s">
        <v>166</v>
      </c>
      <c r="AP158" s="1">
        <v>65</v>
      </c>
      <c r="AQ158" s="1"/>
      <c r="AR158" s="1"/>
      <c r="AS158" s="1"/>
      <c r="AT158" s="1"/>
      <c r="AU158" s="1"/>
      <c r="AV158" s="1"/>
      <c r="AW158" s="1"/>
      <c r="AX158" s="1" t="s">
        <v>132</v>
      </c>
      <c r="AY158" s="1" t="s">
        <v>3394</v>
      </c>
      <c r="AZ158" s="1" t="s">
        <v>636</v>
      </c>
      <c r="BA158" s="1" t="s">
        <v>590</v>
      </c>
      <c r="BB158" s="1">
        <v>70</v>
      </c>
      <c r="BC158" s="1">
        <v>7</v>
      </c>
      <c r="BD158" s="1"/>
      <c r="BE158" s="1"/>
      <c r="BF158" s="1"/>
      <c r="BG158" s="1"/>
      <c r="BH158" s="1"/>
      <c r="BI158" s="1"/>
      <c r="BJ158" s="1" t="s">
        <v>3395</v>
      </c>
      <c r="BK158" s="1" t="s">
        <v>3396</v>
      </c>
      <c r="BL158" s="1" t="s">
        <v>2384</v>
      </c>
      <c r="BM158" s="1" t="s">
        <v>3397</v>
      </c>
      <c r="BN158" s="1">
        <v>51</v>
      </c>
      <c r="BO158" s="1"/>
      <c r="BP158" s="1" t="str">
        <f>HYPERLINK("https://nconnect.nicmar.ac.in/storage/profile/ProfilePhoto_P25700095_258476.jpg","Download")</f>
        <v>0</v>
      </c>
      <c r="BQ158" s="3"/>
      <c r="BR158" s="3"/>
    </row>
    <row r="159" spans="1:70">
      <c r="A159" s="1" t="s">
        <v>70</v>
      </c>
      <c r="B159" s="1" t="s">
        <v>1269</v>
      </c>
      <c r="C159" s="1" t="s">
        <v>3398</v>
      </c>
      <c r="D159" s="1" t="s">
        <v>3399</v>
      </c>
      <c r="E159" s="1" t="s">
        <v>1612</v>
      </c>
      <c r="F159" s="1" t="s">
        <v>3400</v>
      </c>
      <c r="G159" s="1" t="s">
        <v>3401</v>
      </c>
      <c r="H159" s="1" t="s">
        <v>3402</v>
      </c>
      <c r="I159" s="1" t="s">
        <v>3403</v>
      </c>
      <c r="J159" s="1">
        <v>9920520638</v>
      </c>
      <c r="K159" s="1" t="s">
        <v>79</v>
      </c>
      <c r="L159" s="1" t="s">
        <v>3404</v>
      </c>
      <c r="M159" s="1" t="s">
        <v>81</v>
      </c>
      <c r="N159" s="1" t="s">
        <v>2008</v>
      </c>
      <c r="O159" s="1"/>
      <c r="P159" s="1" t="s">
        <v>1298</v>
      </c>
      <c r="Q159" s="1" t="s">
        <v>3405</v>
      </c>
      <c r="R159" s="1" t="s">
        <v>3406</v>
      </c>
      <c r="S159" s="1">
        <v>9867149867</v>
      </c>
      <c r="T159" s="1" t="s">
        <v>93</v>
      </c>
      <c r="U159" s="1" t="s">
        <v>3407</v>
      </c>
      <c r="V159" s="1">
        <v>9867149867</v>
      </c>
      <c r="W159" s="1" t="s">
        <v>156</v>
      </c>
      <c r="X159" s="1" t="s">
        <v>3408</v>
      </c>
      <c r="Y159" s="1" t="s">
        <v>766</v>
      </c>
      <c r="Z159" s="1" t="s">
        <v>92</v>
      </c>
      <c r="AA159" s="1" t="s">
        <v>3408</v>
      </c>
      <c r="AB159" s="1" t="s">
        <v>766</v>
      </c>
      <c r="AC159" s="1" t="s">
        <v>92</v>
      </c>
      <c r="AD159" s="1">
        <v>9.31</v>
      </c>
      <c r="AE159" s="1" t="s">
        <v>93</v>
      </c>
      <c r="AF159" s="1" t="s">
        <v>3409</v>
      </c>
      <c r="AG159" s="1" t="s">
        <v>544</v>
      </c>
      <c r="AH159" s="1" t="s">
        <v>3410</v>
      </c>
      <c r="AI159" s="1" t="s">
        <v>96</v>
      </c>
      <c r="AJ159" s="1">
        <v>84.2</v>
      </c>
      <c r="AK159" s="1"/>
      <c r="AL159" s="1"/>
      <c r="AM159" s="1"/>
      <c r="AN159" s="1"/>
      <c r="AO159" s="1"/>
      <c r="AP159" s="1"/>
      <c r="AQ159" s="1"/>
      <c r="AR159" s="1" t="s">
        <v>98</v>
      </c>
      <c r="AS159" s="1" t="s">
        <v>3411</v>
      </c>
      <c r="AT159" s="1" t="s">
        <v>252</v>
      </c>
      <c r="AU159" s="1" t="s">
        <v>165</v>
      </c>
      <c r="AV159" s="1">
        <v>78.67</v>
      </c>
      <c r="AW159" s="1"/>
      <c r="AX159" s="1" t="s">
        <v>1024</v>
      </c>
      <c r="AY159" s="1" t="s">
        <v>3412</v>
      </c>
      <c r="AZ159" s="1" t="s">
        <v>225</v>
      </c>
      <c r="BA159" s="1" t="s">
        <v>170</v>
      </c>
      <c r="BB159" s="1">
        <v>75.4</v>
      </c>
      <c r="BC159" s="1">
        <v>8.29</v>
      </c>
      <c r="BD159" s="1"/>
      <c r="BE159" s="1"/>
      <c r="BF159" s="1"/>
      <c r="BG159" s="1"/>
      <c r="BH159" s="1"/>
      <c r="BI159" s="1"/>
      <c r="BJ159" s="1" t="s">
        <v>1383</v>
      </c>
      <c r="BK159" s="1" t="s">
        <v>3413</v>
      </c>
      <c r="BL159" s="1" t="s">
        <v>1497</v>
      </c>
      <c r="BM159" s="1" t="s">
        <v>3414</v>
      </c>
      <c r="BN159" s="1">
        <v>33</v>
      </c>
      <c r="BO159" s="1" t="s">
        <v>3415</v>
      </c>
      <c r="BP159" s="1" t="str">
        <f>HYPERLINK("https://nconnect.nicmar.ac.in/storage/profile/ProfilePhoto_P25700096_597461.jpg","Download")</f>
        <v>0</v>
      </c>
      <c r="BQ159" s="3"/>
      <c r="BR159" s="3"/>
    </row>
    <row r="160" spans="1:70">
      <c r="A160" s="1" t="s">
        <v>70</v>
      </c>
      <c r="B160" s="1" t="s">
        <v>1269</v>
      </c>
      <c r="C160" s="1" t="s">
        <v>3416</v>
      </c>
      <c r="D160" s="1" t="s">
        <v>3417</v>
      </c>
      <c r="E160" s="1"/>
      <c r="F160" s="1" t="s">
        <v>1226</v>
      </c>
      <c r="G160" s="1" t="s">
        <v>3418</v>
      </c>
      <c r="H160" s="1" t="s">
        <v>3419</v>
      </c>
      <c r="I160" s="1" t="s">
        <v>3420</v>
      </c>
      <c r="J160" s="1">
        <v>9418593000</v>
      </c>
      <c r="K160" s="1" t="s">
        <v>79</v>
      </c>
      <c r="L160" s="1" t="s">
        <v>2620</v>
      </c>
      <c r="M160" s="1" t="s">
        <v>81</v>
      </c>
      <c r="N160" s="1" t="s">
        <v>374</v>
      </c>
      <c r="O160" s="1"/>
      <c r="P160" s="1" t="s">
        <v>1766</v>
      </c>
      <c r="Q160" s="1" t="s">
        <v>3421</v>
      </c>
      <c r="R160" s="1" t="s">
        <v>3422</v>
      </c>
      <c r="S160" s="1">
        <v>9816344216</v>
      </c>
      <c r="T160" s="1" t="s">
        <v>863</v>
      </c>
      <c r="U160" s="1" t="s">
        <v>3423</v>
      </c>
      <c r="V160" s="1">
        <v>9418102501</v>
      </c>
      <c r="W160" s="1" t="s">
        <v>122</v>
      </c>
      <c r="X160" s="1" t="s">
        <v>3424</v>
      </c>
      <c r="Y160" s="1" t="s">
        <v>3425</v>
      </c>
      <c r="Z160" s="1" t="s">
        <v>3426</v>
      </c>
      <c r="AA160" s="1" t="s">
        <v>3424</v>
      </c>
      <c r="AB160" s="1" t="s">
        <v>3425</v>
      </c>
      <c r="AC160" s="1" t="s">
        <v>3426</v>
      </c>
      <c r="AD160" s="1">
        <v>8.61</v>
      </c>
      <c r="AE160" s="1" t="s">
        <v>93</v>
      </c>
      <c r="AF160" s="1" t="s">
        <v>3427</v>
      </c>
      <c r="AG160" s="1" t="s">
        <v>3428</v>
      </c>
      <c r="AH160" s="1" t="s">
        <v>3429</v>
      </c>
      <c r="AI160" s="1" t="s">
        <v>409</v>
      </c>
      <c r="AJ160" s="1">
        <v>90.8</v>
      </c>
      <c r="AK160" s="1"/>
      <c r="AL160" s="1" t="s">
        <v>3430</v>
      </c>
      <c r="AM160" s="1" t="s">
        <v>3431</v>
      </c>
      <c r="AN160" s="1" t="s">
        <v>1065</v>
      </c>
      <c r="AO160" s="1" t="s">
        <v>504</v>
      </c>
      <c r="AP160" s="1">
        <v>90</v>
      </c>
      <c r="AQ160" s="1"/>
      <c r="AR160" s="1"/>
      <c r="AS160" s="1"/>
      <c r="AT160" s="1"/>
      <c r="AU160" s="1"/>
      <c r="AV160" s="1"/>
      <c r="AW160" s="1"/>
      <c r="AX160" s="1" t="s">
        <v>3432</v>
      </c>
      <c r="AY160" s="1" t="s">
        <v>3433</v>
      </c>
      <c r="AZ160" s="1" t="s">
        <v>1131</v>
      </c>
      <c r="BA160" s="1" t="s">
        <v>1361</v>
      </c>
      <c r="BB160" s="1">
        <v>87.6</v>
      </c>
      <c r="BC160" s="1">
        <v>8.76</v>
      </c>
      <c r="BD160" s="1"/>
      <c r="BE160" s="1"/>
      <c r="BF160" s="1"/>
      <c r="BG160" s="1"/>
      <c r="BH160" s="1"/>
      <c r="BI160" s="1"/>
      <c r="BJ160" s="1" t="s">
        <v>3434</v>
      </c>
      <c r="BK160" s="1"/>
      <c r="BL160" s="1"/>
      <c r="BM160" s="1" t="s">
        <v>3435</v>
      </c>
      <c r="BN160" s="1">
        <v>12</v>
      </c>
      <c r="BO160" s="1" t="s">
        <v>3436</v>
      </c>
      <c r="BP160" s="1" t="str">
        <f>HYPERLINK("https://nconnect.nicmar.ac.in/storage/profile/6a665bbd8e653.png","Download")</f>
        <v>0</v>
      </c>
      <c r="BQ160" s="3"/>
      <c r="BR160" s="3"/>
    </row>
    <row r="161" spans="1:70">
      <c r="A161" s="1" t="s">
        <v>70</v>
      </c>
      <c r="B161" s="1" t="s">
        <v>1269</v>
      </c>
      <c r="C161" s="1" t="s">
        <v>3437</v>
      </c>
      <c r="D161" s="1" t="s">
        <v>595</v>
      </c>
      <c r="E161" s="1" t="s">
        <v>3438</v>
      </c>
      <c r="F161" s="1" t="s">
        <v>3439</v>
      </c>
      <c r="G161" s="1" t="s">
        <v>3440</v>
      </c>
      <c r="H161" s="1" t="s">
        <v>3441</v>
      </c>
      <c r="I161" s="1" t="s">
        <v>3442</v>
      </c>
      <c r="J161" s="1">
        <v>6309591204</v>
      </c>
      <c r="K161" s="1" t="s">
        <v>79</v>
      </c>
      <c r="L161" s="1" t="s">
        <v>3443</v>
      </c>
      <c r="M161" s="1" t="s">
        <v>81</v>
      </c>
      <c r="N161" s="1" t="s">
        <v>3444</v>
      </c>
      <c r="O161" s="1"/>
      <c r="P161" s="1" t="s">
        <v>1278</v>
      </c>
      <c r="Q161" s="1" t="s">
        <v>3445</v>
      </c>
      <c r="R161" s="1" t="s">
        <v>3446</v>
      </c>
      <c r="S161" s="1">
        <v>8919042728</v>
      </c>
      <c r="T161" s="1" t="s">
        <v>2767</v>
      </c>
      <c r="U161" s="1" t="s">
        <v>3447</v>
      </c>
      <c r="V161" s="1">
        <v>8919042728</v>
      </c>
      <c r="W161" s="1" t="s">
        <v>273</v>
      </c>
      <c r="X161" s="1" t="s">
        <v>3448</v>
      </c>
      <c r="Y161" s="1" t="s">
        <v>3449</v>
      </c>
      <c r="Z161" s="1" t="s">
        <v>609</v>
      </c>
      <c r="AA161" s="1" t="s">
        <v>3448</v>
      </c>
      <c r="AB161" s="1" t="s">
        <v>3449</v>
      </c>
      <c r="AC161" s="1" t="s">
        <v>609</v>
      </c>
      <c r="AD161" s="1">
        <v>9.46</v>
      </c>
      <c r="AE161" s="1" t="s">
        <v>93</v>
      </c>
      <c r="AF161" s="1" t="s">
        <v>3450</v>
      </c>
      <c r="AG161" s="1" t="s">
        <v>611</v>
      </c>
      <c r="AH161" s="1" t="s">
        <v>165</v>
      </c>
      <c r="AI161" s="1" t="s">
        <v>281</v>
      </c>
      <c r="AJ161" s="1">
        <v>87</v>
      </c>
      <c r="AK161" s="1">
        <v>8.7</v>
      </c>
      <c r="AL161" s="1"/>
      <c r="AM161" s="1"/>
      <c r="AN161" s="1"/>
      <c r="AO161" s="1"/>
      <c r="AP161" s="1"/>
      <c r="AQ161" s="1"/>
      <c r="AR161" s="1" t="s">
        <v>434</v>
      </c>
      <c r="AS161" s="1" t="s">
        <v>3451</v>
      </c>
      <c r="AT161" s="1" t="s">
        <v>101</v>
      </c>
      <c r="AU161" s="1" t="s">
        <v>504</v>
      </c>
      <c r="AV161" s="1">
        <v>92.5</v>
      </c>
      <c r="AW161" s="1">
        <v>9.75</v>
      </c>
      <c r="AX161" s="1" t="s">
        <v>614</v>
      </c>
      <c r="AY161" s="1" t="s">
        <v>3451</v>
      </c>
      <c r="AZ161" s="1" t="s">
        <v>1131</v>
      </c>
      <c r="BA161" s="1" t="s">
        <v>202</v>
      </c>
      <c r="BB161" s="1">
        <v>75.7</v>
      </c>
      <c r="BC161" s="1">
        <v>8.07</v>
      </c>
      <c r="BD161" s="1"/>
      <c r="BE161" s="1"/>
      <c r="BF161" s="1"/>
      <c r="BG161" s="1"/>
      <c r="BH161" s="1"/>
      <c r="BI161" s="1"/>
      <c r="BJ161" s="1" t="s">
        <v>1383</v>
      </c>
      <c r="BK161" s="1"/>
      <c r="BL161" s="1"/>
      <c r="BM161" s="1" t="s">
        <v>3452</v>
      </c>
      <c r="BN161" s="1">
        <v>24</v>
      </c>
      <c r="BO161" s="1"/>
      <c r="BP161" s="1" t="str">
        <f>HYPERLINK("https://nconnect.nicmar.ac.in/storage/profile/ProfilePhoto_P25700098_621459.jpg","Download")</f>
        <v>0</v>
      </c>
      <c r="BQ161" s="3"/>
      <c r="BR161" s="3"/>
    </row>
    <row r="162" spans="1:70">
      <c r="A162" s="1" t="s">
        <v>70</v>
      </c>
      <c r="B162" s="1" t="s">
        <v>1269</v>
      </c>
      <c r="C162" s="1" t="s">
        <v>3453</v>
      </c>
      <c r="D162" s="1" t="s">
        <v>3454</v>
      </c>
      <c r="E162" s="1"/>
      <c r="F162" s="1" t="s">
        <v>3455</v>
      </c>
      <c r="G162" s="1" t="s">
        <v>3456</v>
      </c>
      <c r="H162" s="1" t="s">
        <v>3457</v>
      </c>
      <c r="I162" s="1" t="s">
        <v>3458</v>
      </c>
      <c r="J162" s="1">
        <v>9666532175</v>
      </c>
      <c r="K162" s="1" t="s">
        <v>79</v>
      </c>
      <c r="L162" s="1" t="s">
        <v>3459</v>
      </c>
      <c r="M162" s="1" t="s">
        <v>81</v>
      </c>
      <c r="N162" s="1" t="s">
        <v>3460</v>
      </c>
      <c r="O162" s="1"/>
      <c r="P162" s="1" t="s">
        <v>1298</v>
      </c>
      <c r="Q162" s="1" t="s">
        <v>3461</v>
      </c>
      <c r="R162" s="1" t="s">
        <v>3462</v>
      </c>
      <c r="S162" s="1">
        <v>9948600153</v>
      </c>
      <c r="T162" s="1" t="s">
        <v>3463</v>
      </c>
      <c r="U162" s="1" t="s">
        <v>3464</v>
      </c>
      <c r="V162" s="1">
        <v>9502920289</v>
      </c>
      <c r="W162" s="1" t="s">
        <v>273</v>
      </c>
      <c r="X162" s="1" t="s">
        <v>3465</v>
      </c>
      <c r="Y162" s="1" t="s">
        <v>3466</v>
      </c>
      <c r="Z162" s="1" t="s">
        <v>276</v>
      </c>
      <c r="AA162" s="1" t="s">
        <v>3465</v>
      </c>
      <c r="AB162" s="1" t="s">
        <v>3466</v>
      </c>
      <c r="AC162" s="1" t="s">
        <v>276</v>
      </c>
      <c r="AD162" s="1">
        <v>8.1</v>
      </c>
      <c r="AE162" s="1" t="s">
        <v>93</v>
      </c>
      <c r="AF162" s="1" t="s">
        <v>3467</v>
      </c>
      <c r="AG162" s="1" t="s">
        <v>2245</v>
      </c>
      <c r="AH162" s="1" t="s">
        <v>101</v>
      </c>
      <c r="AI162" s="1" t="s">
        <v>409</v>
      </c>
      <c r="AJ162" s="1">
        <v>98</v>
      </c>
      <c r="AK162" s="1">
        <v>9.8</v>
      </c>
      <c r="AL162" s="1" t="s">
        <v>1153</v>
      </c>
      <c r="AM162" s="1" t="s">
        <v>2247</v>
      </c>
      <c r="AN162" s="1" t="s">
        <v>433</v>
      </c>
      <c r="AO162" s="1" t="s">
        <v>504</v>
      </c>
      <c r="AP162" s="1">
        <v>92.8</v>
      </c>
      <c r="AQ162" s="1">
        <v>0</v>
      </c>
      <c r="AR162" s="1"/>
      <c r="AS162" s="1"/>
      <c r="AT162" s="1"/>
      <c r="AU162" s="1"/>
      <c r="AV162" s="1"/>
      <c r="AW162" s="1"/>
      <c r="AX162" s="1" t="s">
        <v>3468</v>
      </c>
      <c r="AY162" s="1" t="s">
        <v>3469</v>
      </c>
      <c r="AZ162" s="1" t="s">
        <v>1131</v>
      </c>
      <c r="BA162" s="1" t="s">
        <v>1408</v>
      </c>
      <c r="BB162" s="1">
        <v>68.7</v>
      </c>
      <c r="BC162" s="1">
        <v>7.62</v>
      </c>
      <c r="BD162" s="1"/>
      <c r="BE162" s="1"/>
      <c r="BF162" s="1"/>
      <c r="BG162" s="1"/>
      <c r="BH162" s="1"/>
      <c r="BI162" s="1"/>
      <c r="BJ162" s="1" t="s">
        <v>3470</v>
      </c>
      <c r="BK162" s="1"/>
      <c r="BL162" s="1"/>
      <c r="BM162" s="1" t="s">
        <v>3471</v>
      </c>
      <c r="BN162" s="1">
        <v>52</v>
      </c>
      <c r="BO162" s="1"/>
      <c r="BP162" s="1" t="str">
        <f>HYPERLINK("https://nconnect.nicmar.ac.in/storage/profile/ProfilePhoto_P25700099_561739.jpg","Download")</f>
        <v>0</v>
      </c>
      <c r="BQ162" s="3"/>
      <c r="BR162" s="3"/>
    </row>
    <row r="163" spans="1:70">
      <c r="A163" s="1" t="s">
        <v>70</v>
      </c>
      <c r="B163" s="1" t="s">
        <v>1269</v>
      </c>
      <c r="C163" s="1" t="s">
        <v>3472</v>
      </c>
      <c r="D163" s="1" t="s">
        <v>3473</v>
      </c>
      <c r="E163" s="1" t="s">
        <v>2766</v>
      </c>
      <c r="F163" s="1" t="s">
        <v>3474</v>
      </c>
      <c r="G163" s="1" t="s">
        <v>3475</v>
      </c>
      <c r="H163" s="1" t="s">
        <v>3476</v>
      </c>
      <c r="I163" s="1" t="s">
        <v>3477</v>
      </c>
      <c r="J163" s="1">
        <v>8600645914</v>
      </c>
      <c r="K163" s="1" t="s">
        <v>79</v>
      </c>
      <c r="L163" s="1" t="s">
        <v>3478</v>
      </c>
      <c r="M163" s="1" t="s">
        <v>81</v>
      </c>
      <c r="N163" s="1" t="s">
        <v>2008</v>
      </c>
      <c r="O163" s="1"/>
      <c r="P163" s="1" t="s">
        <v>1278</v>
      </c>
      <c r="Q163" s="1" t="s">
        <v>3479</v>
      </c>
      <c r="R163" s="1" t="s">
        <v>2766</v>
      </c>
      <c r="S163" s="1">
        <v>9422558314</v>
      </c>
      <c r="T163" s="1" t="s">
        <v>154</v>
      </c>
      <c r="U163" s="1" t="s">
        <v>3480</v>
      </c>
      <c r="V163" s="1">
        <v>9767415214</v>
      </c>
      <c r="W163" s="1" t="s">
        <v>156</v>
      </c>
      <c r="X163" s="1" t="s">
        <v>3481</v>
      </c>
      <c r="Y163" s="1" t="s">
        <v>3482</v>
      </c>
      <c r="Z163" s="1" t="s">
        <v>92</v>
      </c>
      <c r="AA163" s="1" t="s">
        <v>3481</v>
      </c>
      <c r="AB163" s="1" t="s">
        <v>3482</v>
      </c>
      <c r="AC163" s="1" t="s">
        <v>92</v>
      </c>
      <c r="AD163" s="1">
        <v>8.26</v>
      </c>
      <c r="AE163" s="1" t="s">
        <v>93</v>
      </c>
      <c r="AF163" s="1" t="s">
        <v>3483</v>
      </c>
      <c r="AG163" s="1" t="s">
        <v>3484</v>
      </c>
      <c r="AH163" s="1" t="s">
        <v>195</v>
      </c>
      <c r="AI163" s="1" t="s">
        <v>281</v>
      </c>
      <c r="AJ163" s="1">
        <v>64.6</v>
      </c>
      <c r="AK163" s="1"/>
      <c r="AL163" s="1"/>
      <c r="AM163" s="1"/>
      <c r="AN163" s="1"/>
      <c r="AO163" s="1"/>
      <c r="AP163" s="1"/>
      <c r="AQ163" s="1"/>
      <c r="AR163" s="1" t="s">
        <v>434</v>
      </c>
      <c r="AS163" s="1" t="s">
        <v>3485</v>
      </c>
      <c r="AT163" s="1" t="s">
        <v>636</v>
      </c>
      <c r="AU163" s="1" t="s">
        <v>436</v>
      </c>
      <c r="AV163" s="1">
        <v>88.37</v>
      </c>
      <c r="AW163" s="1"/>
      <c r="AX163" s="1" t="s">
        <v>2691</v>
      </c>
      <c r="AY163" s="1" t="s">
        <v>3486</v>
      </c>
      <c r="AZ163" s="1" t="s">
        <v>1051</v>
      </c>
      <c r="BA163" s="1" t="s">
        <v>202</v>
      </c>
      <c r="BB163" s="1">
        <v>70.03</v>
      </c>
      <c r="BC163" s="1">
        <v>7.03</v>
      </c>
      <c r="BD163" s="1"/>
      <c r="BE163" s="1"/>
      <c r="BF163" s="1"/>
      <c r="BG163" s="1"/>
      <c r="BH163" s="1"/>
      <c r="BI163" s="1"/>
      <c r="BJ163" s="1" t="s">
        <v>3487</v>
      </c>
      <c r="BK163" s="1" t="s">
        <v>3488</v>
      </c>
      <c r="BL163" s="1" t="s">
        <v>484</v>
      </c>
      <c r="BM163" s="1" t="s">
        <v>3489</v>
      </c>
      <c r="BN163" s="1">
        <v>12</v>
      </c>
      <c r="BO163" s="1" t="s">
        <v>3490</v>
      </c>
      <c r="BP163" s="1" t="str">
        <f>HYPERLINK("https://nconnect.nicmar.ac.in/storage/profile/ProfilePhoto_P25700100_631259.jpg","Download")</f>
        <v>0</v>
      </c>
      <c r="BQ163" s="3"/>
      <c r="BR163" s="3"/>
    </row>
    <row r="164" spans="1:70">
      <c r="A164" s="1" t="s">
        <v>70</v>
      </c>
      <c r="B164" s="1" t="s">
        <v>1269</v>
      </c>
      <c r="C164" s="1" t="s">
        <v>3491</v>
      </c>
      <c r="D164" s="1" t="s">
        <v>3492</v>
      </c>
      <c r="E164" s="1" t="s">
        <v>1982</v>
      </c>
      <c r="F164" s="1" t="s">
        <v>3493</v>
      </c>
      <c r="G164" s="1" t="s">
        <v>3494</v>
      </c>
      <c r="H164" s="1" t="s">
        <v>3495</v>
      </c>
      <c r="I164" s="1" t="s">
        <v>3496</v>
      </c>
      <c r="J164" s="1">
        <v>9022806743</v>
      </c>
      <c r="K164" s="1" t="s">
        <v>79</v>
      </c>
      <c r="L164" s="1" t="s">
        <v>3497</v>
      </c>
      <c r="M164" s="1" t="s">
        <v>81</v>
      </c>
      <c r="N164" s="1" t="s">
        <v>151</v>
      </c>
      <c r="O164" s="1"/>
      <c r="P164" s="1" t="s">
        <v>3498</v>
      </c>
      <c r="Q164" s="1" t="s">
        <v>3499</v>
      </c>
      <c r="R164" s="1" t="s">
        <v>3500</v>
      </c>
      <c r="S164" s="1">
        <v>8087894240</v>
      </c>
      <c r="T164" s="1" t="s">
        <v>496</v>
      </c>
      <c r="U164" s="1" t="s">
        <v>3501</v>
      </c>
      <c r="V164" s="1">
        <v>9420484422</v>
      </c>
      <c r="W164" s="1" t="s">
        <v>156</v>
      </c>
      <c r="X164" s="1" t="s">
        <v>3502</v>
      </c>
      <c r="Y164" s="1" t="s">
        <v>1174</v>
      </c>
      <c r="Z164" s="1" t="s">
        <v>92</v>
      </c>
      <c r="AA164" s="1" t="s">
        <v>3502</v>
      </c>
      <c r="AB164" s="1" t="s">
        <v>1174</v>
      </c>
      <c r="AC164" s="1" t="s">
        <v>92</v>
      </c>
      <c r="AD164" s="1">
        <v>8.72</v>
      </c>
      <c r="AE164" s="1" t="s">
        <v>93</v>
      </c>
      <c r="AF164" s="1" t="s">
        <v>3503</v>
      </c>
      <c r="AG164" s="1" t="s">
        <v>160</v>
      </c>
      <c r="AH164" s="1" t="s">
        <v>281</v>
      </c>
      <c r="AI164" s="1" t="s">
        <v>409</v>
      </c>
      <c r="AJ164" s="1">
        <v>82</v>
      </c>
      <c r="AK164" s="1"/>
      <c r="AL164" s="1"/>
      <c r="AM164" s="1"/>
      <c r="AN164" s="1"/>
      <c r="AO164" s="1"/>
      <c r="AP164" s="1"/>
      <c r="AQ164" s="1"/>
      <c r="AR164" s="1" t="s">
        <v>98</v>
      </c>
      <c r="AS164" s="1" t="s">
        <v>3504</v>
      </c>
      <c r="AT164" s="1" t="s">
        <v>310</v>
      </c>
      <c r="AU164" s="1" t="s">
        <v>481</v>
      </c>
      <c r="AV164" s="1">
        <v>83.63</v>
      </c>
      <c r="AW164" s="1"/>
      <c r="AX164" s="1" t="s">
        <v>361</v>
      </c>
      <c r="AY164" s="1" t="s">
        <v>3505</v>
      </c>
      <c r="AZ164" s="1" t="s">
        <v>874</v>
      </c>
      <c r="BA164" s="1" t="s">
        <v>1714</v>
      </c>
      <c r="BB164" s="1">
        <v>70.5</v>
      </c>
      <c r="BC164" s="1">
        <v>7.8</v>
      </c>
      <c r="BD164" s="1"/>
      <c r="BE164" s="1"/>
      <c r="BF164" s="1"/>
      <c r="BG164" s="1"/>
      <c r="BH164" s="1"/>
      <c r="BI164" s="1"/>
      <c r="BJ164" s="1" t="s">
        <v>364</v>
      </c>
      <c r="BK164" s="1"/>
      <c r="BL164" s="1"/>
      <c r="BM164" s="1" t="s">
        <v>3506</v>
      </c>
      <c r="BN164" s="1">
        <v>14</v>
      </c>
      <c r="BO164" s="1" t="s">
        <v>3507</v>
      </c>
      <c r="BP164" s="1" t="str">
        <f>HYPERLINK("https://nconnect.nicmar.ac.in/storage/profile/ProfilePhoto_P25700101_136785.jpg","Download")</f>
        <v>0</v>
      </c>
      <c r="BQ164" s="3"/>
      <c r="BR164" s="3"/>
    </row>
    <row r="165" spans="1:70">
      <c r="A165" s="1" t="s">
        <v>70</v>
      </c>
      <c r="B165" s="1" t="s">
        <v>1269</v>
      </c>
      <c r="C165" s="1" t="s">
        <v>3508</v>
      </c>
      <c r="D165" s="1" t="s">
        <v>595</v>
      </c>
      <c r="E165" s="1" t="s">
        <v>1680</v>
      </c>
      <c r="F165" s="1" t="s">
        <v>111</v>
      </c>
      <c r="G165" s="1" t="s">
        <v>3509</v>
      </c>
      <c r="H165" s="1" t="s">
        <v>3510</v>
      </c>
      <c r="I165" s="1" t="s">
        <v>3511</v>
      </c>
      <c r="J165" s="1">
        <v>9526316048</v>
      </c>
      <c r="K165" s="1" t="s">
        <v>79</v>
      </c>
      <c r="L165" s="1" t="s">
        <v>3512</v>
      </c>
      <c r="M165" s="1" t="s">
        <v>81</v>
      </c>
      <c r="N165" s="1" t="s">
        <v>3513</v>
      </c>
      <c r="O165" s="1"/>
      <c r="P165" s="1" t="s">
        <v>2821</v>
      </c>
      <c r="Q165" s="1" t="s">
        <v>3514</v>
      </c>
      <c r="R165" s="1" t="s">
        <v>3515</v>
      </c>
      <c r="S165" s="1">
        <v>9446570916</v>
      </c>
      <c r="T165" s="1" t="s">
        <v>3516</v>
      </c>
      <c r="U165" s="1" t="s">
        <v>3517</v>
      </c>
      <c r="V165" s="1">
        <v>9446330916</v>
      </c>
      <c r="W165" s="1" t="s">
        <v>3518</v>
      </c>
      <c r="X165" s="1" t="s">
        <v>3519</v>
      </c>
      <c r="Y165" s="1" t="s">
        <v>2140</v>
      </c>
      <c r="Z165" s="1" t="s">
        <v>125</v>
      </c>
      <c r="AA165" s="1" t="s">
        <v>3519</v>
      </c>
      <c r="AB165" s="1" t="s">
        <v>2140</v>
      </c>
      <c r="AC165" s="1" t="s">
        <v>125</v>
      </c>
      <c r="AD165" s="1">
        <v>8.71</v>
      </c>
      <c r="AE165" s="1" t="s">
        <v>93</v>
      </c>
      <c r="AF165" s="1" t="s">
        <v>3520</v>
      </c>
      <c r="AG165" s="1" t="s">
        <v>307</v>
      </c>
      <c r="AH165" s="1" t="s">
        <v>165</v>
      </c>
      <c r="AI165" s="1" t="s">
        <v>166</v>
      </c>
      <c r="AJ165" s="1">
        <v>87.8</v>
      </c>
      <c r="AK165" s="1"/>
      <c r="AL165" s="1" t="s">
        <v>3521</v>
      </c>
      <c r="AM165" s="1" t="s">
        <v>3522</v>
      </c>
      <c r="AN165" s="1" t="s">
        <v>433</v>
      </c>
      <c r="AO165" s="1" t="s">
        <v>173</v>
      </c>
      <c r="AP165" s="1">
        <v>81.5</v>
      </c>
      <c r="AQ165" s="1"/>
      <c r="AR165" s="1"/>
      <c r="AS165" s="1"/>
      <c r="AT165" s="1"/>
      <c r="AU165" s="1"/>
      <c r="AV165" s="1"/>
      <c r="AW165" s="1"/>
      <c r="AX165" s="1" t="s">
        <v>132</v>
      </c>
      <c r="AY165" s="1" t="s">
        <v>3523</v>
      </c>
      <c r="AZ165" s="1" t="s">
        <v>2463</v>
      </c>
      <c r="BA165" s="1" t="s">
        <v>202</v>
      </c>
      <c r="BB165" s="1">
        <v>74.6</v>
      </c>
      <c r="BC165" s="1">
        <v>7.46</v>
      </c>
      <c r="BD165" s="1"/>
      <c r="BE165" s="1"/>
      <c r="BF165" s="1"/>
      <c r="BG165" s="1"/>
      <c r="BH165" s="1"/>
      <c r="BI165" s="1"/>
      <c r="BJ165" s="1" t="s">
        <v>1383</v>
      </c>
      <c r="BK165" s="1" t="s">
        <v>3524</v>
      </c>
      <c r="BL165" s="1" t="s">
        <v>2892</v>
      </c>
      <c r="BM165" s="1" t="s">
        <v>3525</v>
      </c>
      <c r="BN165" s="1">
        <v>10</v>
      </c>
      <c r="BO165" s="1"/>
      <c r="BP165" s="1" t="str">
        <f>HYPERLINK("https://nconnect.nicmar.ac.in/storage/profile/ProfilePhoto_P25700103_548732.jpg","Download")</f>
        <v>0</v>
      </c>
      <c r="BQ165" s="3"/>
      <c r="BR165" s="3"/>
    </row>
    <row r="166" spans="1:70">
      <c r="A166" s="1" t="s">
        <v>70</v>
      </c>
      <c r="B166" s="1" t="s">
        <v>1269</v>
      </c>
      <c r="C166" s="1" t="s">
        <v>3526</v>
      </c>
      <c r="D166" s="1" t="s">
        <v>3527</v>
      </c>
      <c r="E166" s="1" t="s">
        <v>3528</v>
      </c>
      <c r="F166" s="1" t="s">
        <v>3529</v>
      </c>
      <c r="G166" s="1" t="s">
        <v>3530</v>
      </c>
      <c r="H166" s="1" t="s">
        <v>3531</v>
      </c>
      <c r="I166" s="1" t="s">
        <v>3532</v>
      </c>
      <c r="J166" s="1">
        <v>9067195331</v>
      </c>
      <c r="K166" s="1" t="s">
        <v>79</v>
      </c>
      <c r="L166" s="1" t="s">
        <v>3533</v>
      </c>
      <c r="M166" s="1" t="s">
        <v>81</v>
      </c>
      <c r="N166" s="1" t="s">
        <v>2008</v>
      </c>
      <c r="O166" s="1"/>
      <c r="P166" s="1" t="s">
        <v>1766</v>
      </c>
      <c r="Q166" s="1" t="s">
        <v>3534</v>
      </c>
      <c r="R166" s="1" t="s">
        <v>3535</v>
      </c>
      <c r="S166" s="1">
        <v>7875811564</v>
      </c>
      <c r="T166" s="1" t="s">
        <v>120</v>
      </c>
      <c r="U166" s="1" t="s">
        <v>3536</v>
      </c>
      <c r="V166" s="1">
        <v>7620262665</v>
      </c>
      <c r="W166" s="1" t="s">
        <v>156</v>
      </c>
      <c r="X166" s="1" t="s">
        <v>3537</v>
      </c>
      <c r="Y166" s="1" t="s">
        <v>379</v>
      </c>
      <c r="Z166" s="1" t="s">
        <v>92</v>
      </c>
      <c r="AA166" s="1" t="s">
        <v>3537</v>
      </c>
      <c r="AB166" s="1" t="s">
        <v>379</v>
      </c>
      <c r="AC166" s="1" t="s">
        <v>92</v>
      </c>
      <c r="AD166" s="1">
        <v>8.26</v>
      </c>
      <c r="AE166" s="1" t="s">
        <v>93</v>
      </c>
      <c r="AF166" s="1" t="s">
        <v>3538</v>
      </c>
      <c r="AG166" s="1" t="s">
        <v>3539</v>
      </c>
      <c r="AH166" s="1" t="s">
        <v>658</v>
      </c>
      <c r="AI166" s="1" t="s">
        <v>101</v>
      </c>
      <c r="AJ166" s="1">
        <v>80</v>
      </c>
      <c r="AK166" s="1"/>
      <c r="AL166" s="1"/>
      <c r="AM166" s="1"/>
      <c r="AN166" s="1"/>
      <c r="AO166" s="1"/>
      <c r="AP166" s="1"/>
      <c r="AQ166" s="1"/>
      <c r="AR166" s="1" t="s">
        <v>223</v>
      </c>
      <c r="AS166" s="1" t="s">
        <v>3540</v>
      </c>
      <c r="AT166" s="1" t="s">
        <v>636</v>
      </c>
      <c r="AU166" s="1" t="s">
        <v>436</v>
      </c>
      <c r="AV166" s="1">
        <v>82.47</v>
      </c>
      <c r="AW166" s="1"/>
      <c r="AX166" s="1" t="s">
        <v>3541</v>
      </c>
      <c r="AY166" s="1" t="s">
        <v>3542</v>
      </c>
      <c r="AZ166" s="1" t="s">
        <v>897</v>
      </c>
      <c r="BA166" s="1" t="s">
        <v>202</v>
      </c>
      <c r="BB166" s="1">
        <v>63.3</v>
      </c>
      <c r="BC166" s="1">
        <v>6.83</v>
      </c>
      <c r="BD166" s="1"/>
      <c r="BE166" s="1"/>
      <c r="BF166" s="1"/>
      <c r="BG166" s="1"/>
      <c r="BH166" s="1"/>
      <c r="BI166" s="1"/>
      <c r="BJ166" s="1" t="s">
        <v>3543</v>
      </c>
      <c r="BK166" s="1" t="s">
        <v>3544</v>
      </c>
      <c r="BL166" s="1" t="s">
        <v>1028</v>
      </c>
      <c r="BM166" s="1" t="s">
        <v>3545</v>
      </c>
      <c r="BN166" s="1">
        <v>8</v>
      </c>
      <c r="BO166" s="1"/>
      <c r="BP166" s="1" t="str">
        <f>HYPERLINK("https://nconnect.nicmar.ac.in/storage/profile/ProfilePhoto_P25700104_637154.jpg","Download")</f>
        <v>0</v>
      </c>
      <c r="BQ166" s="3"/>
      <c r="BR166" s="3"/>
    </row>
    <row r="167" spans="1:70">
      <c r="A167" s="1" t="s">
        <v>70</v>
      </c>
      <c r="B167" s="1" t="s">
        <v>1269</v>
      </c>
      <c r="C167" s="1" t="s">
        <v>3546</v>
      </c>
      <c r="D167" s="1" t="s">
        <v>1781</v>
      </c>
      <c r="E167" s="1" t="s">
        <v>3547</v>
      </c>
      <c r="F167" s="1" t="s">
        <v>3548</v>
      </c>
      <c r="G167" s="1" t="s">
        <v>3549</v>
      </c>
      <c r="H167" s="1" t="s">
        <v>3550</v>
      </c>
      <c r="I167" s="1" t="s">
        <v>3551</v>
      </c>
      <c r="J167" s="1">
        <v>9834515514</v>
      </c>
      <c r="K167" s="1" t="s">
        <v>79</v>
      </c>
      <c r="L167" s="1" t="s">
        <v>3552</v>
      </c>
      <c r="M167" s="1" t="s">
        <v>81</v>
      </c>
      <c r="N167" s="1" t="s">
        <v>1765</v>
      </c>
      <c r="O167" s="1"/>
      <c r="P167" s="1" t="s">
        <v>2821</v>
      </c>
      <c r="Q167" s="1" t="s">
        <v>3553</v>
      </c>
      <c r="R167" s="1" t="s">
        <v>3554</v>
      </c>
      <c r="S167" s="1">
        <v>9856917777</v>
      </c>
      <c r="T167" s="1" t="s">
        <v>154</v>
      </c>
      <c r="U167" s="1" t="s">
        <v>3555</v>
      </c>
      <c r="V167" s="1">
        <v>8888651777</v>
      </c>
      <c r="W167" s="1" t="s">
        <v>156</v>
      </c>
      <c r="X167" s="1" t="s">
        <v>3556</v>
      </c>
      <c r="Y167" s="1" t="s">
        <v>246</v>
      </c>
      <c r="Z167" s="1" t="s">
        <v>92</v>
      </c>
      <c r="AA167" s="1" t="s">
        <v>3556</v>
      </c>
      <c r="AB167" s="1" t="s">
        <v>246</v>
      </c>
      <c r="AC167" s="1" t="s">
        <v>92</v>
      </c>
      <c r="AD167" s="1" t="s">
        <v>93</v>
      </c>
      <c r="AE167" s="1" t="s">
        <v>93</v>
      </c>
      <c r="AF167" s="1" t="s">
        <v>3557</v>
      </c>
      <c r="AG167" s="1" t="s">
        <v>3558</v>
      </c>
      <c r="AH167" s="1" t="s">
        <v>279</v>
      </c>
      <c r="AI167" s="1" t="s">
        <v>195</v>
      </c>
      <c r="AJ167" s="1">
        <v>75.6</v>
      </c>
      <c r="AK167" s="1"/>
      <c r="AL167" s="1"/>
      <c r="AM167" s="1"/>
      <c r="AN167" s="1"/>
      <c r="AO167" s="1"/>
      <c r="AP167" s="1"/>
      <c r="AQ167" s="1"/>
      <c r="AR167" s="1" t="s">
        <v>434</v>
      </c>
      <c r="AS167" s="1" t="s">
        <v>3559</v>
      </c>
      <c r="AT167" s="1" t="s">
        <v>383</v>
      </c>
      <c r="AU167" s="1" t="s">
        <v>170</v>
      </c>
      <c r="AV167" s="1">
        <v>85.42</v>
      </c>
      <c r="AW167" s="1"/>
      <c r="AX167" s="1" t="s">
        <v>361</v>
      </c>
      <c r="AY167" s="1" t="s">
        <v>3560</v>
      </c>
      <c r="AZ167" s="1" t="s">
        <v>173</v>
      </c>
      <c r="BA167" s="1" t="s">
        <v>174</v>
      </c>
      <c r="BB167" s="1">
        <v>67.3</v>
      </c>
      <c r="BC167" s="1">
        <v>7.48</v>
      </c>
      <c r="BD167" s="1"/>
      <c r="BE167" s="1"/>
      <c r="BF167" s="1"/>
      <c r="BG167" s="1"/>
      <c r="BH167" s="1"/>
      <c r="BI167" s="1"/>
      <c r="BJ167" s="1" t="s">
        <v>1383</v>
      </c>
      <c r="BK167" s="1"/>
      <c r="BL167" s="1"/>
      <c r="BM167" s="1" t="s">
        <v>3561</v>
      </c>
      <c r="BN167" s="1">
        <v>-26</v>
      </c>
      <c r="BO167" s="1"/>
      <c r="BP167" s="1" t="str">
        <f>HYPERLINK("https://nconnect.nicmar.ac.in/storage/profile/ProfilePhoto_P25700105_329654.jpg","Download")</f>
        <v>0</v>
      </c>
      <c r="BQ167" s="3"/>
      <c r="BR167" s="3"/>
    </row>
    <row r="168" spans="1:70">
      <c r="A168" s="1" t="s">
        <v>70</v>
      </c>
      <c r="B168" s="1" t="s">
        <v>1269</v>
      </c>
      <c r="C168" s="1" t="s">
        <v>3562</v>
      </c>
      <c r="D168" s="1" t="s">
        <v>3563</v>
      </c>
      <c r="E168" s="1"/>
      <c r="F168" s="1" t="s">
        <v>3564</v>
      </c>
      <c r="G168" s="1" t="s">
        <v>3565</v>
      </c>
      <c r="H168" s="1" t="s">
        <v>3566</v>
      </c>
      <c r="I168" s="1" t="s">
        <v>3567</v>
      </c>
      <c r="J168" s="1">
        <v>6000841510</v>
      </c>
      <c r="K168" s="1" t="s">
        <v>79</v>
      </c>
      <c r="L168" s="1" t="s">
        <v>3568</v>
      </c>
      <c r="M168" s="1" t="s">
        <v>81</v>
      </c>
      <c r="N168" s="1" t="s">
        <v>3569</v>
      </c>
      <c r="O168" s="1"/>
      <c r="P168" s="1" t="s">
        <v>1298</v>
      </c>
      <c r="Q168" s="1" t="s">
        <v>3570</v>
      </c>
      <c r="R168" s="1" t="s">
        <v>3571</v>
      </c>
      <c r="S168" s="1">
        <v>9435041613</v>
      </c>
      <c r="T168" s="1" t="s">
        <v>3572</v>
      </c>
      <c r="U168" s="1" t="s">
        <v>3573</v>
      </c>
      <c r="V168" s="1">
        <v>9435041613</v>
      </c>
      <c r="W168" s="1" t="s">
        <v>156</v>
      </c>
      <c r="X168" s="1" t="s">
        <v>3574</v>
      </c>
      <c r="Y168" s="1" t="s">
        <v>2376</v>
      </c>
      <c r="Z168" s="1" t="s">
        <v>2377</v>
      </c>
      <c r="AA168" s="1" t="s">
        <v>3574</v>
      </c>
      <c r="AB168" s="1" t="s">
        <v>2376</v>
      </c>
      <c r="AC168" s="1" t="s">
        <v>2377</v>
      </c>
      <c r="AD168" s="1">
        <v>8.92</v>
      </c>
      <c r="AE168" s="1" t="s">
        <v>93</v>
      </c>
      <c r="AF168" s="1" t="s">
        <v>3575</v>
      </c>
      <c r="AG168" s="1" t="s">
        <v>3576</v>
      </c>
      <c r="AH168" s="1" t="s">
        <v>131</v>
      </c>
      <c r="AI168" s="1" t="s">
        <v>527</v>
      </c>
      <c r="AJ168" s="1">
        <v>95</v>
      </c>
      <c r="AK168" s="1">
        <v>10</v>
      </c>
      <c r="AL168" s="1" t="s">
        <v>3575</v>
      </c>
      <c r="AM168" s="1" t="s">
        <v>3576</v>
      </c>
      <c r="AN168" s="1" t="s">
        <v>479</v>
      </c>
      <c r="AO168" s="1" t="s">
        <v>166</v>
      </c>
      <c r="AP168" s="1">
        <v>82.66</v>
      </c>
      <c r="AQ168" s="1"/>
      <c r="AR168" s="1"/>
      <c r="AS168" s="1"/>
      <c r="AT168" s="1"/>
      <c r="AU168" s="1"/>
      <c r="AV168" s="1"/>
      <c r="AW168" s="1"/>
      <c r="AX168" s="1" t="s">
        <v>3577</v>
      </c>
      <c r="AY168" s="1" t="s">
        <v>3577</v>
      </c>
      <c r="AZ168" s="1" t="s">
        <v>169</v>
      </c>
      <c r="BA168" s="1" t="s">
        <v>616</v>
      </c>
      <c r="BB168" s="1">
        <v>81.3</v>
      </c>
      <c r="BC168" s="1">
        <v>8.13</v>
      </c>
      <c r="BD168" s="1"/>
      <c r="BE168" s="1"/>
      <c r="BF168" s="1"/>
      <c r="BG168" s="1"/>
      <c r="BH168" s="1"/>
      <c r="BI168" s="1"/>
      <c r="BJ168" s="1" t="s">
        <v>3578</v>
      </c>
      <c r="BK168" s="1"/>
      <c r="BL168" s="1"/>
      <c r="BM168" s="1" t="s">
        <v>3579</v>
      </c>
      <c r="BN168" s="1">
        <v>17</v>
      </c>
      <c r="BO168" s="1" t="s">
        <v>3580</v>
      </c>
      <c r="BP168" s="1" t="str">
        <f>HYPERLINK("https://nconnect.nicmar.ac.in/storage/profile/ProfilePhoto_P25700106_635142.jpg","Download")</f>
        <v>0</v>
      </c>
      <c r="BQ168" s="3"/>
      <c r="BR168" s="3"/>
    </row>
    <row r="169" spans="1:70">
      <c r="A169" s="1" t="s">
        <v>70</v>
      </c>
      <c r="B169" s="1" t="s">
        <v>1269</v>
      </c>
      <c r="C169" s="1" t="s">
        <v>3581</v>
      </c>
      <c r="D169" s="1" t="s">
        <v>3582</v>
      </c>
      <c r="E169" s="1" t="s">
        <v>3583</v>
      </c>
      <c r="F169" s="1" t="s">
        <v>3584</v>
      </c>
      <c r="G169" s="1" t="s">
        <v>3585</v>
      </c>
      <c r="H169" s="1" t="s">
        <v>3586</v>
      </c>
      <c r="I169" s="1" t="s">
        <v>3587</v>
      </c>
      <c r="J169" s="1">
        <v>7994646588</v>
      </c>
      <c r="K169" s="1" t="s">
        <v>79</v>
      </c>
      <c r="L169" s="1" t="s">
        <v>3588</v>
      </c>
      <c r="M169" s="1" t="s">
        <v>81</v>
      </c>
      <c r="N169" s="1" t="s">
        <v>3589</v>
      </c>
      <c r="O169" s="1"/>
      <c r="P169" s="1" t="s">
        <v>1323</v>
      </c>
      <c r="Q169" s="1" t="s">
        <v>3590</v>
      </c>
      <c r="R169" s="1" t="s">
        <v>3591</v>
      </c>
      <c r="S169" s="1">
        <v>9142394591</v>
      </c>
      <c r="T169" s="1" t="s">
        <v>3592</v>
      </c>
      <c r="U169" s="1" t="s">
        <v>3593</v>
      </c>
      <c r="V169" s="1">
        <v>9400700712</v>
      </c>
      <c r="W169" s="1" t="s">
        <v>122</v>
      </c>
      <c r="X169" s="1" t="s">
        <v>3594</v>
      </c>
      <c r="Y169" s="1" t="s">
        <v>2140</v>
      </c>
      <c r="Z169" s="1" t="s">
        <v>125</v>
      </c>
      <c r="AA169" s="1" t="s">
        <v>3594</v>
      </c>
      <c r="AB169" s="1" t="s">
        <v>2140</v>
      </c>
      <c r="AC169" s="1" t="s">
        <v>125</v>
      </c>
      <c r="AD169" s="1">
        <v>8.15</v>
      </c>
      <c r="AE169" s="1" t="s">
        <v>93</v>
      </c>
      <c r="AF169" s="1" t="s">
        <v>501</v>
      </c>
      <c r="AG169" s="1" t="s">
        <v>307</v>
      </c>
      <c r="AH169" s="1" t="s">
        <v>3595</v>
      </c>
      <c r="AI169" s="1" t="s">
        <v>1197</v>
      </c>
      <c r="AJ169" s="1">
        <v>76</v>
      </c>
      <c r="AK169" s="1">
        <v>8</v>
      </c>
      <c r="AL169" s="1" t="s">
        <v>501</v>
      </c>
      <c r="AM169" s="1" t="s">
        <v>307</v>
      </c>
      <c r="AN169" s="1" t="s">
        <v>96</v>
      </c>
      <c r="AO169" s="1" t="s">
        <v>527</v>
      </c>
      <c r="AP169" s="1">
        <v>71.4</v>
      </c>
      <c r="AQ169" s="1">
        <v>0</v>
      </c>
      <c r="AR169" s="1"/>
      <c r="AS169" s="1"/>
      <c r="AT169" s="1"/>
      <c r="AU169" s="1"/>
      <c r="AV169" s="1"/>
      <c r="AW169" s="1"/>
      <c r="AX169" s="1" t="s">
        <v>132</v>
      </c>
      <c r="AY169" s="1" t="s">
        <v>3596</v>
      </c>
      <c r="AZ169" s="1" t="s">
        <v>733</v>
      </c>
      <c r="BA169" s="1" t="s">
        <v>920</v>
      </c>
      <c r="BB169" s="1">
        <v>72.5</v>
      </c>
      <c r="BC169" s="1">
        <v>7.25</v>
      </c>
      <c r="BD169" s="1"/>
      <c r="BE169" s="1"/>
      <c r="BF169" s="1"/>
      <c r="BG169" s="1"/>
      <c r="BH169" s="1"/>
      <c r="BI169" s="1"/>
      <c r="BJ169" s="1" t="s">
        <v>3597</v>
      </c>
      <c r="BK169" s="1" t="s">
        <v>3598</v>
      </c>
      <c r="BL169" s="1" t="s">
        <v>1920</v>
      </c>
      <c r="BM169" s="1" t="s">
        <v>3599</v>
      </c>
      <c r="BN169" s="1">
        <v>9</v>
      </c>
      <c r="BO169" s="1" t="s">
        <v>3600</v>
      </c>
      <c r="BP169" s="1" t="str">
        <f>HYPERLINK("https://nconnect.nicmar.ac.in/storage/profile/ProfilePhoto_P25700107_215674.jpg","Download")</f>
        <v>0</v>
      </c>
      <c r="BQ169" s="3"/>
      <c r="BR169" s="3"/>
    </row>
    <row r="170" spans="1:70">
      <c r="A170" s="1" t="s">
        <v>70</v>
      </c>
      <c r="B170" s="1" t="s">
        <v>1269</v>
      </c>
      <c r="C170" s="1" t="s">
        <v>3601</v>
      </c>
      <c r="D170" s="1" t="s">
        <v>3602</v>
      </c>
      <c r="E170" s="1"/>
      <c r="F170" s="1" t="s">
        <v>3342</v>
      </c>
      <c r="G170" s="1" t="s">
        <v>3603</v>
      </c>
      <c r="H170" s="1" t="s">
        <v>3604</v>
      </c>
      <c r="I170" s="1" t="s">
        <v>3605</v>
      </c>
      <c r="J170" s="1">
        <v>7039966503</v>
      </c>
      <c r="K170" s="1" t="s">
        <v>79</v>
      </c>
      <c r="L170" s="1" t="s">
        <v>3606</v>
      </c>
      <c r="M170" s="1" t="s">
        <v>81</v>
      </c>
      <c r="N170" s="1" t="s">
        <v>2008</v>
      </c>
      <c r="O170" s="1"/>
      <c r="P170" s="1" t="s">
        <v>1323</v>
      </c>
      <c r="Q170" s="1" t="s">
        <v>3607</v>
      </c>
      <c r="R170" s="1" t="s">
        <v>3608</v>
      </c>
      <c r="S170" s="1">
        <v>9892540817</v>
      </c>
      <c r="T170" s="1" t="s">
        <v>763</v>
      </c>
      <c r="U170" s="1" t="s">
        <v>3609</v>
      </c>
      <c r="V170" s="1">
        <v>9594369800</v>
      </c>
      <c r="W170" s="1" t="s">
        <v>156</v>
      </c>
      <c r="X170" s="1" t="s">
        <v>3610</v>
      </c>
      <c r="Y170" s="1" t="s">
        <v>1623</v>
      </c>
      <c r="Z170" s="1" t="s">
        <v>92</v>
      </c>
      <c r="AA170" s="1" t="s">
        <v>3610</v>
      </c>
      <c r="AB170" s="1" t="s">
        <v>1623</v>
      </c>
      <c r="AC170" s="1" t="s">
        <v>92</v>
      </c>
      <c r="AD170" s="1">
        <v>8.49</v>
      </c>
      <c r="AE170" s="1" t="s">
        <v>93</v>
      </c>
      <c r="AF170" s="1" t="s">
        <v>3611</v>
      </c>
      <c r="AG170" s="1" t="s">
        <v>3612</v>
      </c>
      <c r="AH170" s="1" t="s">
        <v>165</v>
      </c>
      <c r="AI170" s="1" t="s">
        <v>1307</v>
      </c>
      <c r="AJ170" s="1">
        <v>62.4</v>
      </c>
      <c r="AK170" s="1"/>
      <c r="AL170" s="1"/>
      <c r="AM170" s="1"/>
      <c r="AN170" s="1"/>
      <c r="AO170" s="1"/>
      <c r="AP170" s="1"/>
      <c r="AQ170" s="1"/>
      <c r="AR170" s="1" t="s">
        <v>98</v>
      </c>
      <c r="AS170" s="1" t="s">
        <v>3613</v>
      </c>
      <c r="AT170" s="1" t="s">
        <v>169</v>
      </c>
      <c r="AU170" s="1" t="s">
        <v>1712</v>
      </c>
      <c r="AV170" s="1">
        <v>75.47</v>
      </c>
      <c r="AW170" s="1"/>
      <c r="AX170" s="1" t="s">
        <v>1024</v>
      </c>
      <c r="AY170" s="1" t="s">
        <v>3614</v>
      </c>
      <c r="AZ170" s="1" t="s">
        <v>897</v>
      </c>
      <c r="BA170" s="1" t="s">
        <v>413</v>
      </c>
      <c r="BB170" s="1">
        <v>60.04</v>
      </c>
      <c r="BC170" s="1"/>
      <c r="BD170" s="1"/>
      <c r="BE170" s="1"/>
      <c r="BF170" s="1"/>
      <c r="BG170" s="1"/>
      <c r="BH170" s="1"/>
      <c r="BI170" s="1"/>
      <c r="BJ170" s="1" t="s">
        <v>364</v>
      </c>
      <c r="BK170" s="1" t="s">
        <v>3615</v>
      </c>
      <c r="BL170" s="1" t="s">
        <v>1896</v>
      </c>
      <c r="BM170" s="1"/>
      <c r="BN170" s="1"/>
      <c r="BO170" s="1"/>
      <c r="BP170" s="1" t="str">
        <f>HYPERLINK("https://nconnect.nicmar.ac.in/storage/profile/ProfilePhoto_P25700108_352764.jpg","Download")</f>
        <v>0</v>
      </c>
      <c r="BQ170" s="3"/>
      <c r="BR170" s="3"/>
    </row>
    <row r="171" spans="1:70">
      <c r="A171" s="1" t="s">
        <v>70</v>
      </c>
      <c r="B171" s="1" t="s">
        <v>1269</v>
      </c>
      <c r="C171" s="1" t="s">
        <v>3616</v>
      </c>
      <c r="D171" s="1" t="s">
        <v>3617</v>
      </c>
      <c r="E171" s="1"/>
      <c r="F171" s="1" t="s">
        <v>3618</v>
      </c>
      <c r="G171" s="1" t="s">
        <v>3619</v>
      </c>
      <c r="H171" s="1" t="s">
        <v>3620</v>
      </c>
      <c r="I171" s="1" t="s">
        <v>3621</v>
      </c>
      <c r="J171" s="1">
        <v>8777253745</v>
      </c>
      <c r="K171" s="1" t="s">
        <v>79</v>
      </c>
      <c r="L171" s="1" t="s">
        <v>3622</v>
      </c>
      <c r="M171" s="1" t="s">
        <v>81</v>
      </c>
      <c r="N171" s="1" t="s">
        <v>3623</v>
      </c>
      <c r="O171" s="1"/>
      <c r="P171" s="1" t="s">
        <v>1278</v>
      </c>
      <c r="Q171" s="1" t="s">
        <v>3624</v>
      </c>
      <c r="R171" s="1" t="s">
        <v>3625</v>
      </c>
      <c r="S171" s="1">
        <v>8584016850</v>
      </c>
      <c r="T171" s="1" t="s">
        <v>3626</v>
      </c>
      <c r="U171" s="1" t="s">
        <v>3627</v>
      </c>
      <c r="V171" s="1">
        <v>9007894130</v>
      </c>
      <c r="W171" s="1" t="s">
        <v>156</v>
      </c>
      <c r="X171" s="1" t="s">
        <v>3628</v>
      </c>
      <c r="Y171" s="1" t="s">
        <v>3629</v>
      </c>
      <c r="Z171" s="1" t="s">
        <v>783</v>
      </c>
      <c r="AA171" s="1" t="s">
        <v>3628</v>
      </c>
      <c r="AB171" s="1" t="s">
        <v>3629</v>
      </c>
      <c r="AC171" s="1" t="s">
        <v>783</v>
      </c>
      <c r="AD171" s="1">
        <v>7.64</v>
      </c>
      <c r="AE171" s="1" t="s">
        <v>93</v>
      </c>
      <c r="AF171" s="1" t="s">
        <v>3630</v>
      </c>
      <c r="AG171" s="1" t="s">
        <v>3631</v>
      </c>
      <c r="AH171" s="1" t="s">
        <v>1197</v>
      </c>
      <c r="AI171" s="1" t="s">
        <v>131</v>
      </c>
      <c r="AJ171" s="1">
        <v>70.42</v>
      </c>
      <c r="AK171" s="1"/>
      <c r="AL171" s="1" t="s">
        <v>3630</v>
      </c>
      <c r="AM171" s="1" t="s">
        <v>3632</v>
      </c>
      <c r="AN171" s="1" t="s">
        <v>786</v>
      </c>
      <c r="AO171" s="1" t="s">
        <v>479</v>
      </c>
      <c r="AP171" s="1">
        <v>67.6</v>
      </c>
      <c r="AQ171" s="1"/>
      <c r="AR171" s="1"/>
      <c r="AS171" s="1"/>
      <c r="AT171" s="1"/>
      <c r="AU171" s="1"/>
      <c r="AV171" s="1"/>
      <c r="AW171" s="1"/>
      <c r="AX171" s="1" t="s">
        <v>2078</v>
      </c>
      <c r="AY171" s="1" t="s">
        <v>3633</v>
      </c>
      <c r="AZ171" s="1" t="s">
        <v>310</v>
      </c>
      <c r="BA171" s="1" t="s">
        <v>174</v>
      </c>
      <c r="BB171" s="1">
        <v>78.2</v>
      </c>
      <c r="BC171" s="1">
        <v>8.57</v>
      </c>
      <c r="BD171" s="1"/>
      <c r="BE171" s="1"/>
      <c r="BF171" s="1"/>
      <c r="BG171" s="1"/>
      <c r="BH171" s="1"/>
      <c r="BI171" s="1"/>
      <c r="BJ171" s="1" t="s">
        <v>3634</v>
      </c>
      <c r="BK171" s="1" t="s">
        <v>3635</v>
      </c>
      <c r="BL171" s="1" t="s">
        <v>1289</v>
      </c>
      <c r="BM171" s="1" t="s">
        <v>3636</v>
      </c>
      <c r="BN171" s="1">
        <v>12</v>
      </c>
      <c r="BO171" s="1" t="s">
        <v>3637</v>
      </c>
      <c r="BP171" s="1" t="str">
        <f>HYPERLINK("https://nconnect.nicmar.ac.in/storage/profile/ProfilePhoto_P25700109_129586.jpg","Download")</f>
        <v>0</v>
      </c>
      <c r="BQ171" s="3"/>
      <c r="BR171" s="3"/>
    </row>
    <row r="172" spans="1:70">
      <c r="A172" s="1" t="s">
        <v>70</v>
      </c>
      <c r="B172" s="1" t="s">
        <v>1269</v>
      </c>
      <c r="C172" s="1" t="s">
        <v>3638</v>
      </c>
      <c r="D172" s="1" t="s">
        <v>443</v>
      </c>
      <c r="E172" s="1" t="s">
        <v>3076</v>
      </c>
      <c r="F172" s="1" t="s">
        <v>3058</v>
      </c>
      <c r="G172" s="1" t="s">
        <v>3639</v>
      </c>
      <c r="H172" s="1" t="s">
        <v>3640</v>
      </c>
      <c r="I172" s="1" t="s">
        <v>3641</v>
      </c>
      <c r="J172" s="1">
        <v>7719869034</v>
      </c>
      <c r="K172" s="1" t="s">
        <v>79</v>
      </c>
      <c r="L172" s="1" t="s">
        <v>3642</v>
      </c>
      <c r="M172" s="1" t="s">
        <v>81</v>
      </c>
      <c r="N172" s="1" t="s">
        <v>2008</v>
      </c>
      <c r="O172" s="1"/>
      <c r="P172" s="1" t="s">
        <v>1323</v>
      </c>
      <c r="Q172" s="1" t="s">
        <v>3643</v>
      </c>
      <c r="R172" s="1" t="s">
        <v>3644</v>
      </c>
      <c r="S172" s="1">
        <v>9422514472</v>
      </c>
      <c r="T172" s="1" t="s">
        <v>120</v>
      </c>
      <c r="U172" s="1" t="s">
        <v>3645</v>
      </c>
      <c r="V172" s="1">
        <v>9850702486</v>
      </c>
      <c r="W172" s="1" t="s">
        <v>156</v>
      </c>
      <c r="X172" s="1" t="s">
        <v>3646</v>
      </c>
      <c r="Y172" s="1" t="s">
        <v>191</v>
      </c>
      <c r="Z172" s="1" t="s">
        <v>92</v>
      </c>
      <c r="AA172" s="1" t="s">
        <v>3646</v>
      </c>
      <c r="AB172" s="1" t="s">
        <v>191</v>
      </c>
      <c r="AC172" s="1" t="s">
        <v>92</v>
      </c>
      <c r="AD172" s="1">
        <v>8.62</v>
      </c>
      <c r="AE172" s="1" t="s">
        <v>93</v>
      </c>
      <c r="AF172" s="1" t="s">
        <v>3647</v>
      </c>
      <c r="AG172" s="1" t="s">
        <v>3648</v>
      </c>
      <c r="AH172" s="1" t="s">
        <v>3649</v>
      </c>
      <c r="AI172" s="1" t="s">
        <v>165</v>
      </c>
      <c r="AJ172" s="1">
        <v>74.2</v>
      </c>
      <c r="AK172" s="1">
        <v>8</v>
      </c>
      <c r="AL172" s="1"/>
      <c r="AM172" s="1"/>
      <c r="AN172" s="1"/>
      <c r="AO172" s="1"/>
      <c r="AP172" s="1"/>
      <c r="AQ172" s="1"/>
      <c r="AR172" s="1" t="s">
        <v>434</v>
      </c>
      <c r="AS172" s="1" t="s">
        <v>3650</v>
      </c>
      <c r="AT172" s="1" t="s">
        <v>225</v>
      </c>
      <c r="AU172" s="1" t="s">
        <v>170</v>
      </c>
      <c r="AV172" s="1">
        <v>92.84</v>
      </c>
      <c r="AW172" s="1"/>
      <c r="AX172" s="1" t="s">
        <v>361</v>
      </c>
      <c r="AY172" s="1" t="s">
        <v>3651</v>
      </c>
      <c r="AZ172" s="1" t="s">
        <v>363</v>
      </c>
      <c r="BA172" s="1" t="s">
        <v>174</v>
      </c>
      <c r="BB172" s="1">
        <v>82.88</v>
      </c>
      <c r="BC172" s="1">
        <v>8.99</v>
      </c>
      <c r="BD172" s="1"/>
      <c r="BE172" s="1"/>
      <c r="BF172" s="1"/>
      <c r="BG172" s="1"/>
      <c r="BH172" s="1"/>
      <c r="BI172" s="1"/>
      <c r="BJ172" s="1" t="s">
        <v>3652</v>
      </c>
      <c r="BK172" s="1" t="s">
        <v>3653</v>
      </c>
      <c r="BL172" s="1" t="s">
        <v>3246</v>
      </c>
      <c r="BM172" s="1" t="s">
        <v>3654</v>
      </c>
      <c r="BN172" s="1">
        <v>26</v>
      </c>
      <c r="BO172" s="1" t="s">
        <v>3655</v>
      </c>
      <c r="BP172" s="1" t="str">
        <f>HYPERLINK("https://nconnect.nicmar.ac.in/storage/profile/ProfilePhoto_P25700110_587169.jpg","Download")</f>
        <v>0</v>
      </c>
      <c r="BQ172" s="3"/>
      <c r="BR172" s="3"/>
    </row>
    <row r="173" spans="1:70">
      <c r="A173" s="1" t="s">
        <v>70</v>
      </c>
      <c r="B173" s="1" t="s">
        <v>1269</v>
      </c>
      <c r="C173" s="1" t="s">
        <v>3656</v>
      </c>
      <c r="D173" s="1" t="s">
        <v>3657</v>
      </c>
      <c r="E173" s="1" t="s">
        <v>2485</v>
      </c>
      <c r="F173" s="1" t="s">
        <v>3658</v>
      </c>
      <c r="G173" s="1" t="s">
        <v>3659</v>
      </c>
      <c r="H173" s="1" t="s">
        <v>3660</v>
      </c>
      <c r="I173" s="1" t="s">
        <v>3661</v>
      </c>
      <c r="J173" s="1">
        <v>7387665808</v>
      </c>
      <c r="K173" s="1" t="s">
        <v>79</v>
      </c>
      <c r="L173" s="1" t="s">
        <v>3662</v>
      </c>
      <c r="M173" s="1" t="s">
        <v>81</v>
      </c>
      <c r="N173" s="1" t="s">
        <v>2008</v>
      </c>
      <c r="O173" s="1"/>
      <c r="P173" s="1" t="s">
        <v>1278</v>
      </c>
      <c r="Q173" s="1" t="s">
        <v>3663</v>
      </c>
      <c r="R173" s="1" t="s">
        <v>3664</v>
      </c>
      <c r="S173" s="1">
        <v>9158243243</v>
      </c>
      <c r="T173" s="1" t="s">
        <v>3665</v>
      </c>
      <c r="U173" s="1" t="s">
        <v>3666</v>
      </c>
      <c r="V173" s="1">
        <v>9923807865</v>
      </c>
      <c r="W173" s="1" t="s">
        <v>273</v>
      </c>
      <c r="X173" s="1" t="s">
        <v>3667</v>
      </c>
      <c r="Y173" s="1" t="s">
        <v>191</v>
      </c>
      <c r="Z173" s="1" t="s">
        <v>92</v>
      </c>
      <c r="AA173" s="1" t="s">
        <v>3668</v>
      </c>
      <c r="AB173" s="1" t="s">
        <v>405</v>
      </c>
      <c r="AC173" s="1" t="s">
        <v>92</v>
      </c>
      <c r="AD173" s="1" t="s">
        <v>93</v>
      </c>
      <c r="AE173" s="1" t="s">
        <v>93</v>
      </c>
      <c r="AF173" s="1" t="s">
        <v>3669</v>
      </c>
      <c r="AG173" s="1" t="s">
        <v>3670</v>
      </c>
      <c r="AH173" s="1" t="s">
        <v>101</v>
      </c>
      <c r="AI173" s="1" t="s">
        <v>409</v>
      </c>
      <c r="AJ173" s="1">
        <v>64.4</v>
      </c>
      <c r="AK173" s="1"/>
      <c r="AL173" s="1"/>
      <c r="AM173" s="1"/>
      <c r="AN173" s="1"/>
      <c r="AO173" s="1"/>
      <c r="AP173" s="1"/>
      <c r="AQ173" s="1"/>
      <c r="AR173" s="1" t="s">
        <v>434</v>
      </c>
      <c r="AS173" s="1" t="s">
        <v>3671</v>
      </c>
      <c r="AT173" s="1" t="s">
        <v>3672</v>
      </c>
      <c r="AU173" s="1" t="s">
        <v>2632</v>
      </c>
      <c r="AV173" s="1">
        <v>69.63</v>
      </c>
      <c r="AW173" s="1"/>
      <c r="AX173" s="1" t="s">
        <v>410</v>
      </c>
      <c r="AY173" s="1" t="s">
        <v>3673</v>
      </c>
      <c r="AZ173" s="1" t="s">
        <v>2693</v>
      </c>
      <c r="BA173" s="1" t="s">
        <v>1714</v>
      </c>
      <c r="BB173" s="1">
        <v>61.4</v>
      </c>
      <c r="BC173" s="1"/>
      <c r="BD173" s="1"/>
      <c r="BE173" s="1"/>
      <c r="BF173" s="1"/>
      <c r="BG173" s="1"/>
      <c r="BH173" s="1"/>
      <c r="BI173" s="1"/>
      <c r="BJ173" s="1" t="s">
        <v>364</v>
      </c>
      <c r="BK173" s="1"/>
      <c r="BL173" s="1"/>
      <c r="BM173" s="1" t="s">
        <v>3674</v>
      </c>
      <c r="BN173" s="1">
        <v>15</v>
      </c>
      <c r="BO173" s="1"/>
      <c r="BP173" s="1" t="str">
        <f>HYPERLINK("https://nconnect.nicmar.ac.in/storage/profile/ProfilePhoto_P25700111_718243.jpg","Download")</f>
        <v>0</v>
      </c>
      <c r="BQ173" s="3"/>
      <c r="BR173" s="3"/>
    </row>
    <row r="174" spans="1:70">
      <c r="A174" s="1" t="s">
        <v>70</v>
      </c>
      <c r="B174" s="1" t="s">
        <v>1269</v>
      </c>
      <c r="C174" s="1" t="s">
        <v>3675</v>
      </c>
      <c r="D174" s="1" t="s">
        <v>3676</v>
      </c>
      <c r="E174" s="1" t="s">
        <v>3677</v>
      </c>
      <c r="F174" s="1" t="s">
        <v>3678</v>
      </c>
      <c r="G174" s="1" t="s">
        <v>3679</v>
      </c>
      <c r="H174" s="1" t="s">
        <v>3680</v>
      </c>
      <c r="I174" s="1" t="s">
        <v>3681</v>
      </c>
      <c r="J174" s="1">
        <v>7698373395</v>
      </c>
      <c r="K174" s="1" t="s">
        <v>79</v>
      </c>
      <c r="L174" s="1" t="s">
        <v>3682</v>
      </c>
      <c r="M174" s="1" t="s">
        <v>81</v>
      </c>
      <c r="N174" s="1" t="s">
        <v>3683</v>
      </c>
      <c r="O174" s="1"/>
      <c r="P174" s="1" t="s">
        <v>1323</v>
      </c>
      <c r="Q174" s="1" t="s">
        <v>3684</v>
      </c>
      <c r="R174" s="1" t="s">
        <v>3685</v>
      </c>
      <c r="S174" s="1">
        <v>9104986199</v>
      </c>
      <c r="T174" s="1" t="s">
        <v>3686</v>
      </c>
      <c r="U174" s="1" t="s">
        <v>3687</v>
      </c>
      <c r="V174" s="1">
        <v>9510059019</v>
      </c>
      <c r="W174" s="1" t="s">
        <v>273</v>
      </c>
      <c r="X174" s="1" t="s">
        <v>3688</v>
      </c>
      <c r="Y174" s="1" t="s">
        <v>3689</v>
      </c>
      <c r="Z174" s="1" t="s">
        <v>1468</v>
      </c>
      <c r="AA174" s="1" t="s">
        <v>3688</v>
      </c>
      <c r="AB174" s="1" t="s">
        <v>3689</v>
      </c>
      <c r="AC174" s="1" t="s">
        <v>1468</v>
      </c>
      <c r="AD174" s="1">
        <v>9.16</v>
      </c>
      <c r="AE174" s="1" t="s">
        <v>93</v>
      </c>
      <c r="AF174" s="1" t="s">
        <v>3690</v>
      </c>
      <c r="AG174" s="1" t="s">
        <v>3691</v>
      </c>
      <c r="AH174" s="1" t="s">
        <v>165</v>
      </c>
      <c r="AI174" s="1" t="s">
        <v>281</v>
      </c>
      <c r="AJ174" s="1">
        <v>88.33</v>
      </c>
      <c r="AK174" s="1">
        <v>0</v>
      </c>
      <c r="AL174" s="1" t="s">
        <v>3690</v>
      </c>
      <c r="AM174" s="1" t="s">
        <v>3691</v>
      </c>
      <c r="AN174" s="1" t="s">
        <v>433</v>
      </c>
      <c r="AO174" s="1" t="s">
        <v>941</v>
      </c>
      <c r="AP174" s="1">
        <v>80.16</v>
      </c>
      <c r="AQ174" s="1">
        <v>0</v>
      </c>
      <c r="AR174" s="1"/>
      <c r="AS174" s="1"/>
      <c r="AT174" s="1"/>
      <c r="AU174" s="1"/>
      <c r="AV174" s="1"/>
      <c r="AW174" s="1"/>
      <c r="AX174" s="1" t="s">
        <v>3692</v>
      </c>
      <c r="AY174" s="1" t="s">
        <v>3693</v>
      </c>
      <c r="AZ174" s="1" t="s">
        <v>170</v>
      </c>
      <c r="BA174" s="1" t="s">
        <v>413</v>
      </c>
      <c r="BB174" s="1">
        <v>82.3</v>
      </c>
      <c r="BC174" s="1">
        <v>8.23</v>
      </c>
      <c r="BD174" s="1"/>
      <c r="BE174" s="1"/>
      <c r="BF174" s="1"/>
      <c r="BG174" s="1"/>
      <c r="BH174" s="1"/>
      <c r="BI174" s="1"/>
      <c r="BJ174" s="1" t="s">
        <v>364</v>
      </c>
      <c r="BK174" s="1"/>
      <c r="BL174" s="1"/>
      <c r="BM174" s="1" t="s">
        <v>3694</v>
      </c>
      <c r="BN174" s="1">
        <v>36</v>
      </c>
      <c r="BO174" s="1"/>
      <c r="BP174" s="1" t="str">
        <f>HYPERLINK("https://nconnect.nicmar.ac.in/storage/profile/ProfilePhoto_P25700113_721496.jpg","Download")</f>
        <v>0</v>
      </c>
      <c r="BQ174" s="3"/>
      <c r="BR174" s="3"/>
    </row>
    <row r="175" spans="1:70">
      <c r="A175" s="1" t="s">
        <v>70</v>
      </c>
      <c r="B175" s="1" t="s">
        <v>1269</v>
      </c>
      <c r="C175" s="1" t="s">
        <v>3695</v>
      </c>
      <c r="D175" s="1" t="s">
        <v>443</v>
      </c>
      <c r="E175" s="1" t="s">
        <v>1875</v>
      </c>
      <c r="F175" s="1" t="s">
        <v>2658</v>
      </c>
      <c r="G175" s="1" t="s">
        <v>3696</v>
      </c>
      <c r="H175" s="1" t="s">
        <v>3697</v>
      </c>
      <c r="I175" s="1" t="s">
        <v>3698</v>
      </c>
      <c r="J175" s="1">
        <v>8157032468</v>
      </c>
      <c r="K175" s="1" t="s">
        <v>79</v>
      </c>
      <c r="L175" s="1" t="s">
        <v>1764</v>
      </c>
      <c r="M175" s="1" t="s">
        <v>81</v>
      </c>
      <c r="N175" s="1" t="s">
        <v>3699</v>
      </c>
      <c r="O175" s="1"/>
      <c r="P175" s="1" t="s">
        <v>1278</v>
      </c>
      <c r="Q175" s="1" t="s">
        <v>3700</v>
      </c>
      <c r="R175" s="1" t="s">
        <v>3701</v>
      </c>
      <c r="S175" s="1">
        <v>8281527268</v>
      </c>
      <c r="T175" s="1" t="s">
        <v>3702</v>
      </c>
      <c r="U175" s="1" t="s">
        <v>3703</v>
      </c>
      <c r="V175" s="1">
        <v>9446944868</v>
      </c>
      <c r="W175" s="1" t="s">
        <v>976</v>
      </c>
      <c r="X175" s="1" t="s">
        <v>3704</v>
      </c>
      <c r="Y175" s="1" t="s">
        <v>3330</v>
      </c>
      <c r="Z175" s="1" t="s">
        <v>125</v>
      </c>
      <c r="AA175" s="1" t="s">
        <v>3704</v>
      </c>
      <c r="AB175" s="1" t="s">
        <v>3330</v>
      </c>
      <c r="AC175" s="1" t="s">
        <v>125</v>
      </c>
      <c r="AD175" s="1">
        <v>8.33</v>
      </c>
      <c r="AE175" s="1" t="s">
        <v>93</v>
      </c>
      <c r="AF175" s="1" t="s">
        <v>3705</v>
      </c>
      <c r="AG175" s="1" t="s">
        <v>307</v>
      </c>
      <c r="AH175" s="1" t="s">
        <v>165</v>
      </c>
      <c r="AI175" s="1" t="s">
        <v>166</v>
      </c>
      <c r="AJ175" s="1">
        <v>82.2</v>
      </c>
      <c r="AK175" s="1"/>
      <c r="AL175" s="1" t="s">
        <v>3706</v>
      </c>
      <c r="AM175" s="1" t="s">
        <v>3707</v>
      </c>
      <c r="AN175" s="1" t="s">
        <v>433</v>
      </c>
      <c r="AO175" s="1" t="s">
        <v>173</v>
      </c>
      <c r="AP175" s="1">
        <v>89.66</v>
      </c>
      <c r="AQ175" s="1"/>
      <c r="AR175" s="1"/>
      <c r="AS175" s="1"/>
      <c r="AT175" s="1"/>
      <c r="AU175" s="1"/>
      <c r="AV175" s="1"/>
      <c r="AW175" s="1"/>
      <c r="AX175" s="1" t="s">
        <v>3708</v>
      </c>
      <c r="AY175" s="1" t="s">
        <v>3709</v>
      </c>
      <c r="AZ175" s="1" t="s">
        <v>681</v>
      </c>
      <c r="BA175" s="1" t="s">
        <v>413</v>
      </c>
      <c r="BB175" s="1">
        <v>66.1</v>
      </c>
      <c r="BC175" s="1">
        <v>6.61</v>
      </c>
      <c r="BD175" s="1"/>
      <c r="BE175" s="1"/>
      <c r="BF175" s="1"/>
      <c r="BG175" s="1"/>
      <c r="BH175" s="1"/>
      <c r="BI175" s="1"/>
      <c r="BJ175" s="1" t="s">
        <v>1383</v>
      </c>
      <c r="BK175" s="1" t="s">
        <v>3710</v>
      </c>
      <c r="BL175" s="1" t="s">
        <v>1220</v>
      </c>
      <c r="BM175" s="1" t="s">
        <v>3711</v>
      </c>
      <c r="BN175" s="1">
        <v>9</v>
      </c>
      <c r="BO175" s="1" t="s">
        <v>3712</v>
      </c>
      <c r="BP175" s="1" t="str">
        <f>HYPERLINK("https://nconnect.nicmar.ac.in/storage/profile/ProfilePhoto_P25700114_648312.jpg","Download")</f>
        <v>0</v>
      </c>
      <c r="BQ175" s="3"/>
      <c r="BR175" s="3"/>
    </row>
    <row r="176" spans="1:70">
      <c r="A176" s="1" t="s">
        <v>70</v>
      </c>
      <c r="B176" s="1" t="s">
        <v>1269</v>
      </c>
      <c r="C176" s="1" t="s">
        <v>3713</v>
      </c>
      <c r="D176" s="1" t="s">
        <v>533</v>
      </c>
      <c r="E176" s="1" t="s">
        <v>1546</v>
      </c>
      <c r="F176" s="1" t="s">
        <v>903</v>
      </c>
      <c r="G176" s="1" t="s">
        <v>3714</v>
      </c>
      <c r="H176" s="1" t="s">
        <v>3715</v>
      </c>
      <c r="I176" s="1" t="s">
        <v>3716</v>
      </c>
      <c r="J176" s="1">
        <v>9146964130</v>
      </c>
      <c r="K176" s="1" t="s">
        <v>79</v>
      </c>
      <c r="L176" s="1" t="s">
        <v>3717</v>
      </c>
      <c r="M176" s="1" t="s">
        <v>81</v>
      </c>
      <c r="N176" s="1" t="s">
        <v>1765</v>
      </c>
      <c r="O176" s="1"/>
      <c r="P176" s="1" t="s">
        <v>1278</v>
      </c>
      <c r="Q176" s="1" t="s">
        <v>3718</v>
      </c>
      <c r="R176" s="1" t="s">
        <v>3719</v>
      </c>
      <c r="S176" s="1">
        <v>9822678983</v>
      </c>
      <c r="T176" s="1" t="s">
        <v>496</v>
      </c>
      <c r="U176" s="1" t="s">
        <v>3720</v>
      </c>
      <c r="V176" s="1">
        <v>9021220811</v>
      </c>
      <c r="W176" s="1" t="s">
        <v>156</v>
      </c>
      <c r="X176" s="1" t="s">
        <v>3721</v>
      </c>
      <c r="Y176" s="1" t="s">
        <v>191</v>
      </c>
      <c r="Z176" s="1" t="s">
        <v>92</v>
      </c>
      <c r="AA176" s="1" t="s">
        <v>3721</v>
      </c>
      <c r="AB176" s="1" t="s">
        <v>191</v>
      </c>
      <c r="AC176" s="1" t="s">
        <v>92</v>
      </c>
      <c r="AD176" s="1" t="s">
        <v>93</v>
      </c>
      <c r="AE176" s="1" t="s">
        <v>93</v>
      </c>
      <c r="AF176" s="1" t="s">
        <v>3722</v>
      </c>
      <c r="AG176" s="1" t="s">
        <v>160</v>
      </c>
      <c r="AH176" s="1" t="s">
        <v>101</v>
      </c>
      <c r="AI176" s="1" t="s">
        <v>308</v>
      </c>
      <c r="AJ176" s="1">
        <v>67.2</v>
      </c>
      <c r="AK176" s="1"/>
      <c r="AL176" s="1"/>
      <c r="AM176" s="1"/>
      <c r="AN176" s="1"/>
      <c r="AO176" s="1"/>
      <c r="AP176" s="1"/>
      <c r="AQ176" s="1"/>
      <c r="AR176" s="1" t="s">
        <v>98</v>
      </c>
      <c r="AS176" s="1" t="s">
        <v>3723</v>
      </c>
      <c r="AT176" s="1" t="s">
        <v>201</v>
      </c>
      <c r="AU176" s="1" t="s">
        <v>481</v>
      </c>
      <c r="AV176" s="1">
        <v>69.21</v>
      </c>
      <c r="AW176" s="1"/>
      <c r="AX176" s="1" t="s">
        <v>3724</v>
      </c>
      <c r="AY176" s="1" t="s">
        <v>3725</v>
      </c>
      <c r="AZ176" s="1" t="s">
        <v>481</v>
      </c>
      <c r="BA176" s="1" t="s">
        <v>1361</v>
      </c>
      <c r="BB176" s="1">
        <v>75.13</v>
      </c>
      <c r="BC176" s="1">
        <v>7.51</v>
      </c>
      <c r="BD176" s="1"/>
      <c r="BE176" s="1"/>
      <c r="BF176" s="1"/>
      <c r="BG176" s="1"/>
      <c r="BH176" s="1"/>
      <c r="BI176" s="1"/>
      <c r="BJ176" s="1" t="s">
        <v>364</v>
      </c>
      <c r="BK176" s="1"/>
      <c r="BL176" s="1"/>
      <c r="BM176" s="1"/>
      <c r="BN176" s="1"/>
      <c r="BO176" s="1"/>
      <c r="BP176" s="1" t="str">
        <f>HYPERLINK("https://nconnect.nicmar.ac.in/storage/profile/ProfilePhoto_P25700115_875296.jpg","Download")</f>
        <v>0</v>
      </c>
      <c r="BQ176" s="3"/>
      <c r="BR176" s="3"/>
    </row>
    <row r="177" spans="1:70">
      <c r="A177" s="1" t="s">
        <v>70</v>
      </c>
      <c r="B177" s="1" t="s">
        <v>1269</v>
      </c>
      <c r="C177" s="1" t="s">
        <v>3726</v>
      </c>
      <c r="D177" s="1" t="s">
        <v>3727</v>
      </c>
      <c r="E177" s="1" t="s">
        <v>2485</v>
      </c>
      <c r="F177" s="1" t="s">
        <v>236</v>
      </c>
      <c r="G177" s="1" t="s">
        <v>3728</v>
      </c>
      <c r="H177" s="1" t="s">
        <v>3729</v>
      </c>
      <c r="I177" s="1" t="s">
        <v>3730</v>
      </c>
      <c r="J177" s="1">
        <v>8108344275</v>
      </c>
      <c r="K177" s="1" t="s">
        <v>79</v>
      </c>
      <c r="L177" s="1" t="s">
        <v>3731</v>
      </c>
      <c r="M177" s="1" t="s">
        <v>81</v>
      </c>
      <c r="N177" s="1" t="s">
        <v>3236</v>
      </c>
      <c r="O177" s="1"/>
      <c r="P177" s="1" t="s">
        <v>1766</v>
      </c>
      <c r="Q177" s="1" t="s">
        <v>3732</v>
      </c>
      <c r="R177" s="1" t="s">
        <v>3733</v>
      </c>
      <c r="S177" s="1">
        <v>8108639248</v>
      </c>
      <c r="T177" s="1" t="s">
        <v>3734</v>
      </c>
      <c r="U177" s="1" t="s">
        <v>3735</v>
      </c>
      <c r="V177" s="1">
        <v>8108640628</v>
      </c>
      <c r="W177" s="1" t="s">
        <v>156</v>
      </c>
      <c r="X177" s="1" t="s">
        <v>3736</v>
      </c>
      <c r="Y177" s="1" t="s">
        <v>766</v>
      </c>
      <c r="Z177" s="1" t="s">
        <v>92</v>
      </c>
      <c r="AA177" s="1" t="s">
        <v>3736</v>
      </c>
      <c r="AB177" s="1" t="s">
        <v>766</v>
      </c>
      <c r="AC177" s="1" t="s">
        <v>92</v>
      </c>
      <c r="AD177" s="1">
        <v>8.82</v>
      </c>
      <c r="AE177" s="1" t="s">
        <v>93</v>
      </c>
      <c r="AF177" s="1" t="s">
        <v>3737</v>
      </c>
      <c r="AG177" s="1" t="s">
        <v>476</v>
      </c>
      <c r="AH177" s="1" t="s">
        <v>165</v>
      </c>
      <c r="AI177" s="1" t="s">
        <v>101</v>
      </c>
      <c r="AJ177" s="1">
        <v>79</v>
      </c>
      <c r="AK177" s="1">
        <v>0</v>
      </c>
      <c r="AL177" s="1"/>
      <c r="AM177" s="1"/>
      <c r="AN177" s="1"/>
      <c r="AO177" s="1"/>
      <c r="AP177" s="1"/>
      <c r="AQ177" s="1"/>
      <c r="AR177" s="1" t="s">
        <v>434</v>
      </c>
      <c r="AS177" s="1" t="s">
        <v>3738</v>
      </c>
      <c r="AT177" s="1" t="s">
        <v>636</v>
      </c>
      <c r="AU177" s="1" t="s">
        <v>436</v>
      </c>
      <c r="AV177" s="1">
        <v>93.32</v>
      </c>
      <c r="AW177" s="1"/>
      <c r="AX177" s="1" t="s">
        <v>1024</v>
      </c>
      <c r="AY177" s="1" t="s">
        <v>3739</v>
      </c>
      <c r="AZ177" s="1" t="s">
        <v>897</v>
      </c>
      <c r="BA177" s="1" t="s">
        <v>202</v>
      </c>
      <c r="BB177" s="1">
        <v>82.67</v>
      </c>
      <c r="BC177" s="1">
        <v>9.55</v>
      </c>
      <c r="BD177" s="1"/>
      <c r="BE177" s="1"/>
      <c r="BF177" s="1"/>
      <c r="BG177" s="1"/>
      <c r="BH177" s="1"/>
      <c r="BI177" s="1"/>
      <c r="BJ177" s="1" t="s">
        <v>3740</v>
      </c>
      <c r="BK177" s="1"/>
      <c r="BL177" s="1"/>
      <c r="BM177" s="1" t="s">
        <v>3741</v>
      </c>
      <c r="BN177" s="1">
        <v>21</v>
      </c>
      <c r="BO177" s="1"/>
      <c r="BP177" s="1" t="str">
        <f>HYPERLINK("https://nconnect.nicmar.ac.in/storage/profile/ProfilePhoto_P25700116_731254.jpg","Download")</f>
        <v>0</v>
      </c>
      <c r="BQ177" s="3"/>
      <c r="BR177" s="3"/>
    </row>
    <row r="178" spans="1:70">
      <c r="A178" s="1" t="s">
        <v>70</v>
      </c>
      <c r="B178" s="1" t="s">
        <v>1269</v>
      </c>
      <c r="C178" s="1" t="s">
        <v>3742</v>
      </c>
      <c r="D178" s="1" t="s">
        <v>2327</v>
      </c>
      <c r="E178" s="1"/>
      <c r="F178" s="1" t="s">
        <v>835</v>
      </c>
      <c r="G178" s="1" t="s">
        <v>3743</v>
      </c>
      <c r="H178" s="1" t="s">
        <v>3744</v>
      </c>
      <c r="I178" s="1" t="s">
        <v>3745</v>
      </c>
      <c r="J178" s="1">
        <v>9399872931</v>
      </c>
      <c r="K178" s="1" t="s">
        <v>79</v>
      </c>
      <c r="L178" s="1" t="s">
        <v>3746</v>
      </c>
      <c r="M178" s="1" t="s">
        <v>81</v>
      </c>
      <c r="N178" s="1" t="s">
        <v>3747</v>
      </c>
      <c r="O178" s="1"/>
      <c r="P178" s="1" t="s">
        <v>1462</v>
      </c>
      <c r="Q178" s="1" t="s">
        <v>3748</v>
      </c>
      <c r="R178" s="1" t="s">
        <v>3749</v>
      </c>
      <c r="S178" s="1">
        <v>9893417262</v>
      </c>
      <c r="T178" s="1" t="s">
        <v>3750</v>
      </c>
      <c r="U178" s="1" t="s">
        <v>3751</v>
      </c>
      <c r="V178" s="1">
        <v>9407786050</v>
      </c>
      <c r="W178" s="1" t="s">
        <v>651</v>
      </c>
      <c r="X178" s="1" t="s">
        <v>3752</v>
      </c>
      <c r="Y178" s="1" t="s">
        <v>3753</v>
      </c>
      <c r="Z178" s="1" t="s">
        <v>1237</v>
      </c>
      <c r="AA178" s="1" t="s">
        <v>3752</v>
      </c>
      <c r="AB178" s="1" t="s">
        <v>3753</v>
      </c>
      <c r="AC178" s="1" t="s">
        <v>1237</v>
      </c>
      <c r="AD178" s="1">
        <v>7.66</v>
      </c>
      <c r="AE178" s="1" t="s">
        <v>93</v>
      </c>
      <c r="AF178" s="1" t="s">
        <v>3754</v>
      </c>
      <c r="AG178" s="1" t="s">
        <v>3755</v>
      </c>
      <c r="AH178" s="1" t="s">
        <v>162</v>
      </c>
      <c r="AI178" s="1" t="s">
        <v>165</v>
      </c>
      <c r="AJ178" s="1">
        <v>83.6</v>
      </c>
      <c r="AK178" s="1">
        <v>8.8</v>
      </c>
      <c r="AL178" s="1" t="s">
        <v>3754</v>
      </c>
      <c r="AM178" s="1" t="s">
        <v>3755</v>
      </c>
      <c r="AN178" s="1" t="s">
        <v>166</v>
      </c>
      <c r="AO178" s="1" t="s">
        <v>308</v>
      </c>
      <c r="AP178" s="1">
        <v>77</v>
      </c>
      <c r="AQ178" s="1"/>
      <c r="AR178" s="1"/>
      <c r="AS178" s="1"/>
      <c r="AT178" s="1"/>
      <c r="AU178" s="1"/>
      <c r="AV178" s="1"/>
      <c r="AW178" s="1"/>
      <c r="AX178" s="1" t="s">
        <v>3756</v>
      </c>
      <c r="AY178" s="1" t="s">
        <v>3757</v>
      </c>
      <c r="AZ178" s="1" t="s">
        <v>201</v>
      </c>
      <c r="BA178" s="1" t="s">
        <v>174</v>
      </c>
      <c r="BB178" s="1">
        <v>77.72</v>
      </c>
      <c r="BC178" s="1"/>
      <c r="BD178" s="1"/>
      <c r="BE178" s="1"/>
      <c r="BF178" s="1"/>
      <c r="BG178" s="1"/>
      <c r="BH178" s="1"/>
      <c r="BI178" s="1"/>
      <c r="BJ178" s="1" t="s">
        <v>3758</v>
      </c>
      <c r="BK178" s="1"/>
      <c r="BL178" s="1"/>
      <c r="BM178" s="1" t="s">
        <v>3759</v>
      </c>
      <c r="BN178" s="1">
        <v>36</v>
      </c>
      <c r="BO178" s="1" t="s">
        <v>3760</v>
      </c>
      <c r="BP178" s="1" t="str">
        <f>HYPERLINK("https://nconnect.nicmar.ac.in/storage/profile/ProfilePhoto_P25700117_189624.jpg","Download")</f>
        <v>0</v>
      </c>
      <c r="BQ178" s="3"/>
      <c r="BR178" s="3"/>
    </row>
    <row r="179" spans="1:70">
      <c r="A179" s="1" t="s">
        <v>70</v>
      </c>
      <c r="B179" s="1" t="s">
        <v>1269</v>
      </c>
      <c r="C179" s="1" t="s">
        <v>3761</v>
      </c>
      <c r="D179" s="1" t="s">
        <v>3762</v>
      </c>
      <c r="E179" s="1"/>
      <c r="F179" s="1" t="s">
        <v>3763</v>
      </c>
      <c r="G179" s="1" t="s">
        <v>3764</v>
      </c>
      <c r="H179" s="1" t="s">
        <v>3765</v>
      </c>
      <c r="I179" s="1" t="s">
        <v>3766</v>
      </c>
      <c r="J179" s="1">
        <v>8210698337</v>
      </c>
      <c r="K179" s="1" t="s">
        <v>79</v>
      </c>
      <c r="L179" s="1" t="s">
        <v>3767</v>
      </c>
      <c r="M179" s="1" t="s">
        <v>81</v>
      </c>
      <c r="N179" s="1" t="s">
        <v>82</v>
      </c>
      <c r="O179" s="1"/>
      <c r="P179" s="1" t="s">
        <v>1278</v>
      </c>
      <c r="Q179" s="1" t="s">
        <v>3768</v>
      </c>
      <c r="R179" s="1" t="s">
        <v>3769</v>
      </c>
      <c r="S179" s="1">
        <v>9431107316</v>
      </c>
      <c r="T179" s="1" t="s">
        <v>520</v>
      </c>
      <c r="U179" s="1" t="s">
        <v>3770</v>
      </c>
      <c r="V179" s="1">
        <v>9631194424</v>
      </c>
      <c r="W179" s="1" t="s">
        <v>651</v>
      </c>
      <c r="X179" s="1" t="s">
        <v>3771</v>
      </c>
      <c r="Y179" s="1" t="s">
        <v>1623</v>
      </c>
      <c r="Z179" s="1" t="s">
        <v>92</v>
      </c>
      <c r="AA179" s="1" t="s">
        <v>3772</v>
      </c>
      <c r="AB179" s="1" t="s">
        <v>3773</v>
      </c>
      <c r="AC179" s="1" t="s">
        <v>3774</v>
      </c>
      <c r="AD179" s="1">
        <v>8.41</v>
      </c>
      <c r="AE179" s="1" t="s">
        <v>93</v>
      </c>
      <c r="AF179" s="1" t="s">
        <v>3775</v>
      </c>
      <c r="AG179" s="1" t="s">
        <v>2533</v>
      </c>
      <c r="AH179" s="1" t="s">
        <v>503</v>
      </c>
      <c r="AI179" s="1" t="s">
        <v>527</v>
      </c>
      <c r="AJ179" s="1">
        <v>79.8</v>
      </c>
      <c r="AK179" s="1">
        <v>8.4</v>
      </c>
      <c r="AL179" s="1" t="s">
        <v>3775</v>
      </c>
      <c r="AM179" s="1" t="s">
        <v>2533</v>
      </c>
      <c r="AN179" s="1" t="s">
        <v>678</v>
      </c>
      <c r="AO179" s="1" t="s">
        <v>166</v>
      </c>
      <c r="AP179" s="1">
        <v>73</v>
      </c>
      <c r="AQ179" s="1"/>
      <c r="AR179" s="1"/>
      <c r="AS179" s="1"/>
      <c r="AT179" s="1"/>
      <c r="AU179" s="1"/>
      <c r="AV179" s="1"/>
      <c r="AW179" s="1"/>
      <c r="AX179" s="1" t="s">
        <v>3776</v>
      </c>
      <c r="AY179" s="1" t="s">
        <v>3777</v>
      </c>
      <c r="AZ179" s="1" t="s">
        <v>636</v>
      </c>
      <c r="BA179" s="1" t="s">
        <v>174</v>
      </c>
      <c r="BB179" s="1">
        <v>64.7</v>
      </c>
      <c r="BC179" s="1">
        <v>6.47</v>
      </c>
      <c r="BD179" s="1"/>
      <c r="BE179" s="1"/>
      <c r="BF179" s="1"/>
      <c r="BG179" s="1"/>
      <c r="BH179" s="1"/>
      <c r="BI179" s="1"/>
      <c r="BJ179" s="1" t="s">
        <v>3778</v>
      </c>
      <c r="BK179" s="1" t="s">
        <v>3779</v>
      </c>
      <c r="BL179" s="1" t="s">
        <v>2019</v>
      </c>
      <c r="BM179" s="1" t="s">
        <v>3780</v>
      </c>
      <c r="BN179" s="1">
        <v>34</v>
      </c>
      <c r="BO179" s="1"/>
      <c r="BP179" s="1" t="str">
        <f>HYPERLINK("https://nconnect.nicmar.ac.in/storage/profile/ProfilePhoto_P25700118_148736.jpg","Download")</f>
        <v>0</v>
      </c>
      <c r="BQ179" s="3"/>
      <c r="BR179" s="3"/>
    </row>
    <row r="180" spans="1:70">
      <c r="A180" s="1" t="s">
        <v>70</v>
      </c>
      <c r="B180" s="1" t="s">
        <v>1269</v>
      </c>
      <c r="C180" s="1" t="s">
        <v>3781</v>
      </c>
      <c r="D180" s="1" t="s">
        <v>2150</v>
      </c>
      <c r="E180" s="1" t="s">
        <v>3782</v>
      </c>
      <c r="F180" s="1" t="s">
        <v>3783</v>
      </c>
      <c r="G180" s="1" t="s">
        <v>3784</v>
      </c>
      <c r="H180" s="1" t="s">
        <v>3785</v>
      </c>
      <c r="I180" s="1" t="s">
        <v>3786</v>
      </c>
      <c r="J180" s="1">
        <v>9587233281</v>
      </c>
      <c r="K180" s="1" t="s">
        <v>79</v>
      </c>
      <c r="L180" s="1" t="s">
        <v>3787</v>
      </c>
      <c r="M180" s="1" t="s">
        <v>81</v>
      </c>
      <c r="N180" s="1" t="s">
        <v>3788</v>
      </c>
      <c r="O180" s="1"/>
      <c r="P180" s="1" t="s">
        <v>1278</v>
      </c>
      <c r="Q180" s="1" t="s">
        <v>3789</v>
      </c>
      <c r="R180" s="1" t="s">
        <v>3790</v>
      </c>
      <c r="S180" s="1">
        <v>9783696344</v>
      </c>
      <c r="T180" s="1" t="s">
        <v>496</v>
      </c>
      <c r="U180" s="1" t="s">
        <v>3791</v>
      </c>
      <c r="V180" s="1">
        <v>6350421506</v>
      </c>
      <c r="W180" s="1" t="s">
        <v>651</v>
      </c>
      <c r="X180" s="1" t="s">
        <v>3792</v>
      </c>
      <c r="Y180" s="1" t="s">
        <v>3793</v>
      </c>
      <c r="Z180" s="1" t="s">
        <v>867</v>
      </c>
      <c r="AA180" s="1" t="s">
        <v>3792</v>
      </c>
      <c r="AB180" s="1" t="s">
        <v>3793</v>
      </c>
      <c r="AC180" s="1" t="s">
        <v>867</v>
      </c>
      <c r="AD180" s="1" t="s">
        <v>93</v>
      </c>
      <c r="AE180" s="1" t="s">
        <v>93</v>
      </c>
      <c r="AF180" s="1" t="s">
        <v>3794</v>
      </c>
      <c r="AG180" s="1" t="s">
        <v>3795</v>
      </c>
      <c r="AH180" s="1" t="s">
        <v>130</v>
      </c>
      <c r="AI180" s="1" t="s">
        <v>503</v>
      </c>
      <c r="AJ180" s="1">
        <v>60.5</v>
      </c>
      <c r="AK180" s="1"/>
      <c r="AL180" s="1"/>
      <c r="AM180" s="1"/>
      <c r="AN180" s="1"/>
      <c r="AO180" s="1"/>
      <c r="AP180" s="1"/>
      <c r="AQ180" s="1"/>
      <c r="AR180" s="1" t="s">
        <v>434</v>
      </c>
      <c r="AS180" s="1" t="s">
        <v>3796</v>
      </c>
      <c r="AT180" s="1" t="s">
        <v>337</v>
      </c>
      <c r="AU180" s="1" t="s">
        <v>101</v>
      </c>
      <c r="AV180" s="1">
        <v>83</v>
      </c>
      <c r="AW180" s="1">
        <v>8.3</v>
      </c>
      <c r="AX180" s="1" t="s">
        <v>3797</v>
      </c>
      <c r="AY180" s="1" t="s">
        <v>3796</v>
      </c>
      <c r="AZ180" s="1" t="s">
        <v>636</v>
      </c>
      <c r="BA180" s="1" t="s">
        <v>506</v>
      </c>
      <c r="BB180" s="1">
        <v>72.1</v>
      </c>
      <c r="BC180" s="1">
        <v>7.21</v>
      </c>
      <c r="BD180" s="1"/>
      <c r="BE180" s="1"/>
      <c r="BF180" s="1"/>
      <c r="BG180" s="1"/>
      <c r="BH180" s="1"/>
      <c r="BI180" s="1"/>
      <c r="BJ180" s="1" t="s">
        <v>1383</v>
      </c>
      <c r="BK180" s="1" t="s">
        <v>3798</v>
      </c>
      <c r="BL180" s="1" t="s">
        <v>1475</v>
      </c>
      <c r="BM180" s="1" t="s">
        <v>3799</v>
      </c>
      <c r="BN180" s="1">
        <v>32</v>
      </c>
      <c r="BO180" s="1" t="s">
        <v>3800</v>
      </c>
      <c r="BP180" s="1" t="str">
        <f>HYPERLINK("https://nconnect.nicmar.ac.in/storage/profile/ProfilePhoto_P25700119_915374.jpg","Download")</f>
        <v>0</v>
      </c>
      <c r="BQ180" s="3"/>
      <c r="BR180" s="3"/>
    </row>
    <row r="181" spans="1:70">
      <c r="A181" s="1" t="s">
        <v>70</v>
      </c>
      <c r="B181" s="1" t="s">
        <v>1269</v>
      </c>
      <c r="C181" s="1" t="s">
        <v>3801</v>
      </c>
      <c r="D181" s="1" t="s">
        <v>3802</v>
      </c>
      <c r="E181" s="1" t="s">
        <v>533</v>
      </c>
      <c r="F181" s="1" t="s">
        <v>1546</v>
      </c>
      <c r="G181" s="1" t="s">
        <v>3803</v>
      </c>
      <c r="H181" s="1" t="s">
        <v>3804</v>
      </c>
      <c r="I181" s="1" t="s">
        <v>3805</v>
      </c>
      <c r="J181" s="1">
        <v>9172128006</v>
      </c>
      <c r="K181" s="1" t="s">
        <v>79</v>
      </c>
      <c r="L181" s="1" t="s">
        <v>2028</v>
      </c>
      <c r="M181" s="1" t="s">
        <v>81</v>
      </c>
      <c r="N181" s="1" t="s">
        <v>3194</v>
      </c>
      <c r="O181" s="1"/>
      <c r="P181" s="1" t="s">
        <v>1298</v>
      </c>
      <c r="Q181" s="1" t="s">
        <v>3806</v>
      </c>
      <c r="R181" s="1" t="s">
        <v>3807</v>
      </c>
      <c r="S181" s="1">
        <v>9423164910</v>
      </c>
      <c r="T181" s="1" t="s">
        <v>377</v>
      </c>
      <c r="U181" s="1" t="s">
        <v>3808</v>
      </c>
      <c r="V181" s="1">
        <v>9604786901</v>
      </c>
      <c r="W181" s="1" t="s">
        <v>89</v>
      </c>
      <c r="X181" s="1" t="s">
        <v>3809</v>
      </c>
      <c r="Y181" s="1" t="s">
        <v>523</v>
      </c>
      <c r="Z181" s="1" t="s">
        <v>92</v>
      </c>
      <c r="AA181" s="1" t="s">
        <v>3809</v>
      </c>
      <c r="AB181" s="1" t="s">
        <v>523</v>
      </c>
      <c r="AC181" s="1" t="s">
        <v>92</v>
      </c>
      <c r="AD181" s="1" t="s">
        <v>93</v>
      </c>
      <c r="AE181" s="1" t="s">
        <v>93</v>
      </c>
      <c r="AF181" s="1" t="s">
        <v>3810</v>
      </c>
      <c r="AG181" s="1" t="s">
        <v>3484</v>
      </c>
      <c r="AH181" s="1" t="s">
        <v>101</v>
      </c>
      <c r="AI181" s="1" t="s">
        <v>409</v>
      </c>
      <c r="AJ181" s="1">
        <v>82.8</v>
      </c>
      <c r="AK181" s="1"/>
      <c r="AL181" s="1" t="s">
        <v>3811</v>
      </c>
      <c r="AM181" s="1" t="s">
        <v>3484</v>
      </c>
      <c r="AN181" s="1" t="s">
        <v>433</v>
      </c>
      <c r="AO181" s="1" t="s">
        <v>1712</v>
      </c>
      <c r="AP181" s="1">
        <v>84.17</v>
      </c>
      <c r="AQ181" s="1"/>
      <c r="AR181" s="1"/>
      <c r="AS181" s="1"/>
      <c r="AT181" s="1"/>
      <c r="AU181" s="1"/>
      <c r="AV181" s="1"/>
      <c r="AW181" s="1"/>
      <c r="AX181" s="1" t="s">
        <v>3812</v>
      </c>
      <c r="AY181" s="1" t="s">
        <v>3813</v>
      </c>
      <c r="AZ181" s="1" t="s">
        <v>897</v>
      </c>
      <c r="BA181" s="1" t="s">
        <v>1714</v>
      </c>
      <c r="BB181" s="1">
        <v>69</v>
      </c>
      <c r="BC181" s="1">
        <v>7.4</v>
      </c>
      <c r="BD181" s="1"/>
      <c r="BE181" s="1"/>
      <c r="BF181" s="1"/>
      <c r="BG181" s="1"/>
      <c r="BH181" s="1"/>
      <c r="BI181" s="1"/>
      <c r="BJ181" s="1" t="s">
        <v>1715</v>
      </c>
      <c r="BK181" s="1"/>
      <c r="BL181" s="1"/>
      <c r="BM181" s="1" t="s">
        <v>3814</v>
      </c>
      <c r="BN181" s="1">
        <v>18</v>
      </c>
      <c r="BO181" s="1"/>
      <c r="BP181" s="1" t="str">
        <f>HYPERLINK("https://nconnect.nicmar.ac.in/storage/profile/ProfilePhoto_P25700121_694527.jpg","Download")</f>
        <v>0</v>
      </c>
      <c r="BQ181" s="3"/>
      <c r="BR181" s="3"/>
    </row>
    <row r="182" spans="1:70">
      <c r="A182" s="1" t="s">
        <v>70</v>
      </c>
      <c r="B182" s="1" t="s">
        <v>1269</v>
      </c>
      <c r="C182" s="1" t="s">
        <v>3815</v>
      </c>
      <c r="D182" s="1" t="s">
        <v>3816</v>
      </c>
      <c r="E182" s="1" t="s">
        <v>1390</v>
      </c>
      <c r="F182" s="1" t="s">
        <v>3817</v>
      </c>
      <c r="G182" s="1" t="s">
        <v>3818</v>
      </c>
      <c r="H182" s="1" t="s">
        <v>3819</v>
      </c>
      <c r="I182" s="1" t="s">
        <v>3820</v>
      </c>
      <c r="J182" s="1">
        <v>7204112797</v>
      </c>
      <c r="K182" s="1" t="s">
        <v>148</v>
      </c>
      <c r="L182" s="1" t="s">
        <v>3821</v>
      </c>
      <c r="M182" s="1" t="s">
        <v>81</v>
      </c>
      <c r="N182" s="1" t="s">
        <v>2435</v>
      </c>
      <c r="O182" s="1"/>
      <c r="P182" s="1" t="s">
        <v>1323</v>
      </c>
      <c r="Q182" s="1" t="s">
        <v>3822</v>
      </c>
      <c r="R182" s="1" t="s">
        <v>3823</v>
      </c>
      <c r="S182" s="1">
        <v>9741530797</v>
      </c>
      <c r="T182" s="1" t="s">
        <v>3824</v>
      </c>
      <c r="U182" s="1" t="s">
        <v>3825</v>
      </c>
      <c r="V182" s="1">
        <v>9663432156</v>
      </c>
      <c r="W182" s="1" t="s">
        <v>273</v>
      </c>
      <c r="X182" s="1" t="s">
        <v>3826</v>
      </c>
      <c r="Y182" s="1" t="s">
        <v>3827</v>
      </c>
      <c r="Z182" s="1" t="s">
        <v>1084</v>
      </c>
      <c r="AA182" s="1" t="s">
        <v>3826</v>
      </c>
      <c r="AB182" s="1" t="s">
        <v>3827</v>
      </c>
      <c r="AC182" s="1" t="s">
        <v>1084</v>
      </c>
      <c r="AD182" s="1">
        <v>8.44</v>
      </c>
      <c r="AE182" s="1" t="s">
        <v>93</v>
      </c>
      <c r="AF182" s="1" t="s">
        <v>3828</v>
      </c>
      <c r="AG182" s="1" t="s">
        <v>307</v>
      </c>
      <c r="AH182" s="1" t="s">
        <v>165</v>
      </c>
      <c r="AI182" s="1" t="s">
        <v>166</v>
      </c>
      <c r="AJ182" s="1">
        <v>74.2</v>
      </c>
      <c r="AK182" s="1"/>
      <c r="AL182" s="1" t="s">
        <v>3829</v>
      </c>
      <c r="AM182" s="1" t="s">
        <v>3830</v>
      </c>
      <c r="AN182" s="1" t="s">
        <v>409</v>
      </c>
      <c r="AO182" s="1" t="s">
        <v>941</v>
      </c>
      <c r="AP182" s="1">
        <v>87.33</v>
      </c>
      <c r="AQ182" s="1"/>
      <c r="AR182" s="1"/>
      <c r="AS182" s="1"/>
      <c r="AT182" s="1"/>
      <c r="AU182" s="1"/>
      <c r="AV182" s="1"/>
      <c r="AW182" s="1"/>
      <c r="AX182" s="1" t="s">
        <v>3831</v>
      </c>
      <c r="AY182" s="1" t="s">
        <v>3832</v>
      </c>
      <c r="AZ182" s="1" t="s">
        <v>363</v>
      </c>
      <c r="BA182" s="1" t="s">
        <v>202</v>
      </c>
      <c r="BB182" s="1">
        <v>66.4</v>
      </c>
      <c r="BC182" s="1">
        <v>7.39</v>
      </c>
      <c r="BD182" s="1"/>
      <c r="BE182" s="1"/>
      <c r="BF182" s="1"/>
      <c r="BG182" s="1"/>
      <c r="BH182" s="1"/>
      <c r="BI182" s="1"/>
      <c r="BJ182" s="1" t="s">
        <v>3833</v>
      </c>
      <c r="BK182" s="1"/>
      <c r="BL182" s="1"/>
      <c r="BM182" s="1" t="s">
        <v>3834</v>
      </c>
      <c r="BN182" s="1">
        <v>17</v>
      </c>
      <c r="BO182" s="1"/>
      <c r="BP182" s="1" t="str">
        <f>HYPERLINK("https://nconnect.nicmar.ac.in/storage/profile/ProfilePhoto_P25700122_231978.jpg","Download")</f>
        <v>0</v>
      </c>
      <c r="BQ182" s="3"/>
      <c r="BR182" s="3"/>
    </row>
    <row r="183" spans="1:70">
      <c r="A183" s="1" t="s">
        <v>70</v>
      </c>
      <c r="B183" s="1" t="s">
        <v>1269</v>
      </c>
      <c r="C183" s="1" t="s">
        <v>3835</v>
      </c>
      <c r="D183" s="1" t="s">
        <v>3836</v>
      </c>
      <c r="E183" s="1"/>
      <c r="F183" s="1" t="s">
        <v>3837</v>
      </c>
      <c r="G183" s="1" t="s">
        <v>3838</v>
      </c>
      <c r="H183" s="1" t="s">
        <v>3839</v>
      </c>
      <c r="I183" s="1" t="s">
        <v>3840</v>
      </c>
      <c r="J183" s="1">
        <v>9502943943</v>
      </c>
      <c r="K183" s="1" t="s">
        <v>148</v>
      </c>
      <c r="L183" s="1" t="s">
        <v>3841</v>
      </c>
      <c r="M183" s="1" t="s">
        <v>81</v>
      </c>
      <c r="N183" s="1" t="s">
        <v>3842</v>
      </c>
      <c r="O183" s="1"/>
      <c r="P183" s="1" t="s">
        <v>1323</v>
      </c>
      <c r="Q183" s="1" t="s">
        <v>3843</v>
      </c>
      <c r="R183" s="1" t="s">
        <v>3844</v>
      </c>
      <c r="S183" s="1">
        <v>9440805093</v>
      </c>
      <c r="T183" s="1" t="s">
        <v>87</v>
      </c>
      <c r="U183" s="1" t="s">
        <v>3845</v>
      </c>
      <c r="V183" s="1">
        <v>9908344785</v>
      </c>
      <c r="W183" s="1" t="s">
        <v>651</v>
      </c>
      <c r="X183" s="1" t="s">
        <v>3846</v>
      </c>
      <c r="Y183" s="1" t="s">
        <v>608</v>
      </c>
      <c r="Z183" s="1" t="s">
        <v>609</v>
      </c>
      <c r="AA183" s="1" t="s">
        <v>3846</v>
      </c>
      <c r="AB183" s="1" t="s">
        <v>608</v>
      </c>
      <c r="AC183" s="1" t="s">
        <v>609</v>
      </c>
      <c r="AD183" s="1">
        <v>8.74</v>
      </c>
      <c r="AE183" s="1" t="s">
        <v>93</v>
      </c>
      <c r="AF183" s="1" t="s">
        <v>3847</v>
      </c>
      <c r="AG183" s="1" t="s">
        <v>1285</v>
      </c>
      <c r="AH183" s="1" t="s">
        <v>337</v>
      </c>
      <c r="AI183" s="1" t="s">
        <v>456</v>
      </c>
      <c r="AJ183" s="1">
        <v>98</v>
      </c>
      <c r="AK183" s="1">
        <v>9.8</v>
      </c>
      <c r="AL183" s="1" t="s">
        <v>612</v>
      </c>
      <c r="AM183" s="1" t="s">
        <v>613</v>
      </c>
      <c r="AN183" s="1" t="s">
        <v>165</v>
      </c>
      <c r="AO183" s="1" t="s">
        <v>1307</v>
      </c>
      <c r="AP183" s="1">
        <v>90</v>
      </c>
      <c r="AQ183" s="1"/>
      <c r="AR183" s="1"/>
      <c r="AS183" s="1"/>
      <c r="AT183" s="1"/>
      <c r="AU183" s="1"/>
      <c r="AV183" s="1"/>
      <c r="AW183" s="1"/>
      <c r="AX183" s="1" t="s">
        <v>811</v>
      </c>
      <c r="AY183" s="1" t="s">
        <v>3848</v>
      </c>
      <c r="AZ183" s="1" t="s">
        <v>636</v>
      </c>
      <c r="BA183" s="1" t="s">
        <v>1003</v>
      </c>
      <c r="BB183" s="1">
        <v>67.04</v>
      </c>
      <c r="BC183" s="1">
        <v>7.04</v>
      </c>
      <c r="BD183" s="1"/>
      <c r="BE183" s="1"/>
      <c r="BF183" s="1"/>
      <c r="BG183" s="1"/>
      <c r="BH183" s="1"/>
      <c r="BI183" s="1"/>
      <c r="BJ183" s="1" t="s">
        <v>3849</v>
      </c>
      <c r="BK183" s="1"/>
      <c r="BL183" s="1"/>
      <c r="BM183" s="1" t="s">
        <v>3850</v>
      </c>
      <c r="BN183" s="1">
        <v>45</v>
      </c>
      <c r="BO183" s="1"/>
      <c r="BP183" s="1" t="str">
        <f>HYPERLINK("https://nconnect.nicmar.ac.in/storage/profile/ProfilePhoto_P25700123_419637.jpg","Download")</f>
        <v>0</v>
      </c>
      <c r="BQ183" s="3"/>
      <c r="BR183" s="3"/>
    </row>
    <row r="184" spans="1:70">
      <c r="A184" s="1" t="s">
        <v>70</v>
      </c>
      <c r="B184" s="1" t="s">
        <v>1269</v>
      </c>
      <c r="C184" s="1" t="s">
        <v>3851</v>
      </c>
      <c r="D184" s="1" t="s">
        <v>3852</v>
      </c>
      <c r="E184" s="1" t="s">
        <v>970</v>
      </c>
      <c r="F184" s="1" t="s">
        <v>513</v>
      </c>
      <c r="G184" s="1" t="s">
        <v>3853</v>
      </c>
      <c r="H184" s="1" t="s">
        <v>3854</v>
      </c>
      <c r="I184" s="1" t="s">
        <v>3855</v>
      </c>
      <c r="J184" s="1">
        <v>9309161835</v>
      </c>
      <c r="K184" s="1" t="s">
        <v>148</v>
      </c>
      <c r="L184" s="1" t="s">
        <v>1971</v>
      </c>
      <c r="M184" s="1" t="s">
        <v>81</v>
      </c>
      <c r="N184" s="1" t="s">
        <v>3856</v>
      </c>
      <c r="O184" s="1"/>
      <c r="P184" s="1" t="s">
        <v>1766</v>
      </c>
      <c r="Q184" s="1" t="s">
        <v>3857</v>
      </c>
      <c r="R184" s="1" t="s">
        <v>3858</v>
      </c>
      <c r="S184" s="1">
        <v>9423550172</v>
      </c>
      <c r="T184" s="1" t="s">
        <v>154</v>
      </c>
      <c r="U184" s="1" t="s">
        <v>3859</v>
      </c>
      <c r="V184" s="1">
        <v>7378732829</v>
      </c>
      <c r="W184" s="1" t="s">
        <v>2494</v>
      </c>
      <c r="X184" s="1" t="s">
        <v>3860</v>
      </c>
      <c r="Y184" s="1" t="s">
        <v>1174</v>
      </c>
      <c r="Z184" s="1" t="s">
        <v>92</v>
      </c>
      <c r="AA184" s="1" t="s">
        <v>3860</v>
      </c>
      <c r="AB184" s="1" t="s">
        <v>1174</v>
      </c>
      <c r="AC184" s="1" t="s">
        <v>92</v>
      </c>
      <c r="AD184" s="1">
        <v>8.64</v>
      </c>
      <c r="AE184" s="1" t="s">
        <v>93</v>
      </c>
      <c r="AF184" s="1" t="s">
        <v>3861</v>
      </c>
      <c r="AG184" s="1" t="s">
        <v>3862</v>
      </c>
      <c r="AH184" s="1" t="s">
        <v>165</v>
      </c>
      <c r="AI184" s="1" t="s">
        <v>281</v>
      </c>
      <c r="AJ184" s="1">
        <v>92</v>
      </c>
      <c r="AK184" s="1"/>
      <c r="AL184" s="1" t="s">
        <v>3863</v>
      </c>
      <c r="AM184" s="1" t="s">
        <v>3862</v>
      </c>
      <c r="AN184" s="1" t="s">
        <v>433</v>
      </c>
      <c r="AO184" s="1" t="s">
        <v>360</v>
      </c>
      <c r="AP184" s="1">
        <v>80</v>
      </c>
      <c r="AQ184" s="1"/>
      <c r="AR184" s="1"/>
      <c r="AS184" s="1"/>
      <c r="AT184" s="1"/>
      <c r="AU184" s="1"/>
      <c r="AV184" s="1"/>
      <c r="AW184" s="1"/>
      <c r="AX184" s="1" t="s">
        <v>361</v>
      </c>
      <c r="AY184" s="1" t="s">
        <v>3864</v>
      </c>
      <c r="AZ184" s="1" t="s">
        <v>360</v>
      </c>
      <c r="BA184" s="1" t="s">
        <v>702</v>
      </c>
      <c r="BB184" s="1">
        <v>76.64</v>
      </c>
      <c r="BC184" s="1">
        <v>8.47</v>
      </c>
      <c r="BD184" s="1"/>
      <c r="BE184" s="1"/>
      <c r="BF184" s="1"/>
      <c r="BG184" s="1"/>
      <c r="BH184" s="1"/>
      <c r="BI184" s="1"/>
      <c r="BJ184" s="1" t="s">
        <v>3865</v>
      </c>
      <c r="BK184" s="1"/>
      <c r="BL184" s="1"/>
      <c r="BM184" s="1" t="s">
        <v>3866</v>
      </c>
      <c r="BN184" s="1">
        <v>12</v>
      </c>
      <c r="BO184" s="1"/>
      <c r="BP184" s="1" t="str">
        <f>HYPERLINK("https://nconnect.nicmar.ac.in/storage/profile/ProfilePhoto_P25700124_567432.jpg","Download")</f>
        <v>0</v>
      </c>
      <c r="BQ184" s="3"/>
      <c r="BR184" s="3"/>
    </row>
    <row r="185" spans="1:70">
      <c r="A185" s="1" t="s">
        <v>70</v>
      </c>
      <c r="B185" s="1" t="s">
        <v>1269</v>
      </c>
      <c r="C185" s="1" t="s">
        <v>3867</v>
      </c>
      <c r="D185" s="1" t="s">
        <v>1809</v>
      </c>
      <c r="E185" s="1" t="s">
        <v>3868</v>
      </c>
      <c r="F185" s="1" t="s">
        <v>3869</v>
      </c>
      <c r="G185" s="1" t="s">
        <v>3870</v>
      </c>
      <c r="H185" s="1" t="s">
        <v>3871</v>
      </c>
      <c r="I185" s="1" t="s">
        <v>3872</v>
      </c>
      <c r="J185" s="1">
        <v>9029189774</v>
      </c>
      <c r="K185" s="1" t="s">
        <v>148</v>
      </c>
      <c r="L185" s="1" t="s">
        <v>3873</v>
      </c>
      <c r="M185" s="1" t="s">
        <v>81</v>
      </c>
      <c r="N185" s="1" t="s">
        <v>3874</v>
      </c>
      <c r="O185" s="1"/>
      <c r="P185" s="1" t="s">
        <v>1298</v>
      </c>
      <c r="Q185" s="1" t="s">
        <v>3875</v>
      </c>
      <c r="R185" s="1" t="s">
        <v>3876</v>
      </c>
      <c r="S185" s="1">
        <v>9221309375</v>
      </c>
      <c r="T185" s="1" t="s">
        <v>3877</v>
      </c>
      <c r="U185" s="1" t="s">
        <v>3878</v>
      </c>
      <c r="V185" s="1">
        <v>9321451544</v>
      </c>
      <c r="W185" s="1" t="s">
        <v>156</v>
      </c>
      <c r="X185" s="1" t="s">
        <v>3879</v>
      </c>
      <c r="Y185" s="1" t="s">
        <v>1623</v>
      </c>
      <c r="Z185" s="1" t="s">
        <v>92</v>
      </c>
      <c r="AA185" s="1" t="s">
        <v>3879</v>
      </c>
      <c r="AB185" s="1" t="s">
        <v>1623</v>
      </c>
      <c r="AC185" s="1" t="s">
        <v>92</v>
      </c>
      <c r="AD185" s="1">
        <v>7.73</v>
      </c>
      <c r="AE185" s="1" t="s">
        <v>93</v>
      </c>
      <c r="AF185" s="1" t="s">
        <v>3880</v>
      </c>
      <c r="AG185" s="1" t="s">
        <v>160</v>
      </c>
      <c r="AH185" s="1" t="s">
        <v>161</v>
      </c>
      <c r="AI185" s="1" t="s">
        <v>456</v>
      </c>
      <c r="AJ185" s="1">
        <v>78.4</v>
      </c>
      <c r="AK185" s="1"/>
      <c r="AL185" s="1"/>
      <c r="AM185" s="1"/>
      <c r="AN185" s="1"/>
      <c r="AO185" s="1"/>
      <c r="AP185" s="1"/>
      <c r="AQ185" s="1"/>
      <c r="AR185" s="1" t="s">
        <v>434</v>
      </c>
      <c r="AS185" s="1" t="s">
        <v>2771</v>
      </c>
      <c r="AT185" s="1" t="s">
        <v>134</v>
      </c>
      <c r="AU185" s="1" t="s">
        <v>433</v>
      </c>
      <c r="AV185" s="1">
        <v>73.93</v>
      </c>
      <c r="AW185" s="1">
        <v>7.78</v>
      </c>
      <c r="AX185" s="1" t="s">
        <v>253</v>
      </c>
      <c r="AY185" s="1" t="s">
        <v>3881</v>
      </c>
      <c r="AZ185" s="1" t="s">
        <v>201</v>
      </c>
      <c r="BA185" s="1" t="s">
        <v>105</v>
      </c>
      <c r="BB185" s="1">
        <v>73.52</v>
      </c>
      <c r="BC185" s="1">
        <v>8.42</v>
      </c>
      <c r="BD185" s="1"/>
      <c r="BE185" s="1"/>
      <c r="BF185" s="1"/>
      <c r="BG185" s="1"/>
      <c r="BH185" s="1"/>
      <c r="BI185" s="1"/>
      <c r="BJ185" s="1" t="s">
        <v>3882</v>
      </c>
      <c r="BK185" s="1" t="s">
        <v>3883</v>
      </c>
      <c r="BL185" s="1" t="s">
        <v>2187</v>
      </c>
      <c r="BM185" s="1" t="s">
        <v>3884</v>
      </c>
      <c r="BN185" s="1">
        <v>60</v>
      </c>
      <c r="BO185" s="1" t="s">
        <v>3885</v>
      </c>
      <c r="BP185" s="1" t="str">
        <f>HYPERLINK("https://nconnect.nicmar.ac.in/storage/profile/ProfilePhoto_P25700125_234987.jpg","Download")</f>
        <v>0</v>
      </c>
      <c r="BQ185" s="3"/>
      <c r="BR185" s="3"/>
    </row>
    <row r="186" spans="1:70">
      <c r="A186" s="1" t="s">
        <v>70</v>
      </c>
      <c r="B186" s="1" t="s">
        <v>1269</v>
      </c>
      <c r="C186" s="1" t="s">
        <v>3886</v>
      </c>
      <c r="D186" s="1" t="s">
        <v>3887</v>
      </c>
      <c r="E186" s="1"/>
      <c r="F186" s="1" t="s">
        <v>3888</v>
      </c>
      <c r="G186" s="1" t="s">
        <v>3889</v>
      </c>
      <c r="H186" s="1" t="s">
        <v>3890</v>
      </c>
      <c r="I186" s="1" t="s">
        <v>3891</v>
      </c>
      <c r="J186" s="1">
        <v>7095626628</v>
      </c>
      <c r="K186" s="1" t="s">
        <v>148</v>
      </c>
      <c r="L186" s="1" t="s">
        <v>3892</v>
      </c>
      <c r="M186" s="1" t="s">
        <v>81</v>
      </c>
      <c r="N186" s="1" t="s">
        <v>3893</v>
      </c>
      <c r="O186" s="1"/>
      <c r="P186" s="1" t="s">
        <v>1278</v>
      </c>
      <c r="Q186" s="1" t="s">
        <v>3894</v>
      </c>
      <c r="R186" s="1" t="s">
        <v>3895</v>
      </c>
      <c r="S186" s="1">
        <v>7569920980</v>
      </c>
      <c r="T186" s="1" t="s">
        <v>3896</v>
      </c>
      <c r="U186" s="1" t="s">
        <v>3897</v>
      </c>
      <c r="V186" s="1">
        <v>9505935783</v>
      </c>
      <c r="W186" s="1" t="s">
        <v>3898</v>
      </c>
      <c r="X186" s="1" t="s">
        <v>3899</v>
      </c>
      <c r="Y186" s="1" t="s">
        <v>3900</v>
      </c>
      <c r="Z186" s="1" t="s">
        <v>276</v>
      </c>
      <c r="AA186" s="1" t="s">
        <v>3901</v>
      </c>
      <c r="AB186" s="1" t="s">
        <v>3900</v>
      </c>
      <c r="AC186" s="1" t="s">
        <v>276</v>
      </c>
      <c r="AD186" s="1">
        <v>9.13</v>
      </c>
      <c r="AE186" s="1" t="s">
        <v>93</v>
      </c>
      <c r="AF186" s="1" t="s">
        <v>3902</v>
      </c>
      <c r="AG186" s="1" t="s">
        <v>3125</v>
      </c>
      <c r="AH186" s="1" t="s">
        <v>165</v>
      </c>
      <c r="AI186" s="1" t="s">
        <v>1307</v>
      </c>
      <c r="AJ186" s="1">
        <v>97</v>
      </c>
      <c r="AK186" s="1">
        <v>9.7</v>
      </c>
      <c r="AL186" s="1"/>
      <c r="AM186" s="1"/>
      <c r="AN186" s="1"/>
      <c r="AO186" s="1"/>
      <c r="AP186" s="1"/>
      <c r="AQ186" s="1"/>
      <c r="AR186" s="1" t="s">
        <v>98</v>
      </c>
      <c r="AS186" s="1" t="s">
        <v>3903</v>
      </c>
      <c r="AT186" s="1" t="s">
        <v>101</v>
      </c>
      <c r="AU186" s="1" t="s">
        <v>3088</v>
      </c>
      <c r="AV186" s="1">
        <v>90.15</v>
      </c>
      <c r="AW186" s="1"/>
      <c r="AX186" s="1" t="s">
        <v>3904</v>
      </c>
      <c r="AY186" s="1" t="s">
        <v>3905</v>
      </c>
      <c r="AZ186" s="1" t="s">
        <v>897</v>
      </c>
      <c r="BA186" s="1" t="s">
        <v>702</v>
      </c>
      <c r="BB186" s="1">
        <v>81.3</v>
      </c>
      <c r="BC186" s="1">
        <v>8.88</v>
      </c>
      <c r="BD186" s="1"/>
      <c r="BE186" s="1"/>
      <c r="BF186" s="1"/>
      <c r="BG186" s="1"/>
      <c r="BH186" s="1"/>
      <c r="BI186" s="1"/>
      <c r="BJ186" s="1" t="s">
        <v>3906</v>
      </c>
      <c r="BK186" s="1"/>
      <c r="BL186" s="1"/>
      <c r="BM186" s="1" t="s">
        <v>3907</v>
      </c>
      <c r="BN186" s="1">
        <v>41</v>
      </c>
      <c r="BO186" s="1"/>
      <c r="BP186" s="1" t="str">
        <f>HYPERLINK("https://nconnect.nicmar.ac.in/storage/profile/ProfilePhoto_P25700126_934175.jpg","Download")</f>
        <v>0</v>
      </c>
      <c r="BQ186" s="3"/>
      <c r="BR186" s="3"/>
    </row>
    <row r="187" spans="1:70">
      <c r="A187" s="1" t="s">
        <v>70</v>
      </c>
      <c r="B187" s="1" t="s">
        <v>1269</v>
      </c>
      <c r="C187" s="1" t="s">
        <v>3908</v>
      </c>
      <c r="D187" s="1" t="s">
        <v>3909</v>
      </c>
      <c r="E187" s="1" t="s">
        <v>3910</v>
      </c>
      <c r="F187" s="1" t="s">
        <v>3911</v>
      </c>
      <c r="G187" s="1" t="s">
        <v>3912</v>
      </c>
      <c r="H187" s="1" t="s">
        <v>3913</v>
      </c>
      <c r="I187" s="1" t="s">
        <v>3914</v>
      </c>
      <c r="J187" s="1">
        <v>7385732663</v>
      </c>
      <c r="K187" s="1" t="s">
        <v>148</v>
      </c>
      <c r="L187" s="1" t="s">
        <v>3915</v>
      </c>
      <c r="M187" s="1" t="s">
        <v>81</v>
      </c>
      <c r="N187" s="1" t="s">
        <v>2008</v>
      </c>
      <c r="O187" s="1"/>
      <c r="P187" s="1" t="s">
        <v>1766</v>
      </c>
      <c r="Q187" s="1" t="s">
        <v>3916</v>
      </c>
      <c r="R187" s="1" t="s">
        <v>3917</v>
      </c>
      <c r="S187" s="1">
        <v>9359165126</v>
      </c>
      <c r="T187" s="1" t="s">
        <v>3918</v>
      </c>
      <c r="U187" s="1" t="s">
        <v>3919</v>
      </c>
      <c r="V187" s="1">
        <v>9021172362</v>
      </c>
      <c r="W187" s="1" t="s">
        <v>2397</v>
      </c>
      <c r="X187" s="1" t="s">
        <v>3920</v>
      </c>
      <c r="Y187" s="1" t="s">
        <v>405</v>
      </c>
      <c r="Z187" s="1" t="s">
        <v>92</v>
      </c>
      <c r="AA187" s="1" t="s">
        <v>3920</v>
      </c>
      <c r="AB187" s="1" t="s">
        <v>405</v>
      </c>
      <c r="AC187" s="1" t="s">
        <v>92</v>
      </c>
      <c r="AD187" s="1">
        <v>8.92</v>
      </c>
      <c r="AE187" s="1" t="s">
        <v>93</v>
      </c>
      <c r="AF187" s="1" t="s">
        <v>3921</v>
      </c>
      <c r="AG187" s="1" t="s">
        <v>939</v>
      </c>
      <c r="AH187" s="1" t="s">
        <v>3922</v>
      </c>
      <c r="AI187" s="1" t="s">
        <v>165</v>
      </c>
      <c r="AJ187" s="1">
        <v>82.2</v>
      </c>
      <c r="AK187" s="1">
        <v>9</v>
      </c>
      <c r="AL187" s="1" t="s">
        <v>3923</v>
      </c>
      <c r="AM187" s="1" t="s">
        <v>3161</v>
      </c>
      <c r="AN187" s="1" t="s">
        <v>433</v>
      </c>
      <c r="AO187" s="1" t="s">
        <v>360</v>
      </c>
      <c r="AP187" s="1">
        <v>66.31</v>
      </c>
      <c r="AQ187" s="1"/>
      <c r="AR187" s="1"/>
      <c r="AS187" s="1"/>
      <c r="AT187" s="1"/>
      <c r="AU187" s="1"/>
      <c r="AV187" s="1"/>
      <c r="AW187" s="1"/>
      <c r="AX187" s="1" t="s">
        <v>410</v>
      </c>
      <c r="AY187" s="1" t="s">
        <v>3924</v>
      </c>
      <c r="AZ187" s="1" t="s">
        <v>699</v>
      </c>
      <c r="BA187" s="1" t="s">
        <v>1408</v>
      </c>
      <c r="BB187" s="1">
        <v>68.1</v>
      </c>
      <c r="BC187" s="1">
        <v>7.56</v>
      </c>
      <c r="BD187" s="1"/>
      <c r="BE187" s="1"/>
      <c r="BF187" s="1"/>
      <c r="BG187" s="1"/>
      <c r="BH187" s="1"/>
      <c r="BI187" s="1"/>
      <c r="BJ187" s="1" t="s">
        <v>3925</v>
      </c>
      <c r="BK187" s="1"/>
      <c r="BL187" s="1"/>
      <c r="BM187" s="1" t="s">
        <v>3926</v>
      </c>
      <c r="BN187" s="1">
        <v>23</v>
      </c>
      <c r="BO187" s="1" t="s">
        <v>3927</v>
      </c>
      <c r="BP187" s="1" t="str">
        <f>HYPERLINK("https://nconnect.nicmar.ac.in/storage/profile/ProfilePhoto_P25700127_184296.jpg","Download")</f>
        <v>0</v>
      </c>
      <c r="BQ187" s="3"/>
      <c r="BR187" s="3"/>
    </row>
    <row r="188" spans="1:70">
      <c r="A188" s="1" t="s">
        <v>70</v>
      </c>
      <c r="B188" s="1" t="s">
        <v>1269</v>
      </c>
      <c r="C188" s="1" t="s">
        <v>3928</v>
      </c>
      <c r="D188" s="1" t="s">
        <v>3929</v>
      </c>
      <c r="E188" s="1"/>
      <c r="F188" s="1" t="s">
        <v>3930</v>
      </c>
      <c r="G188" s="1" t="s">
        <v>3931</v>
      </c>
      <c r="H188" s="1" t="s">
        <v>3932</v>
      </c>
      <c r="I188" s="1" t="s">
        <v>3933</v>
      </c>
      <c r="J188" s="1">
        <v>9606501819</v>
      </c>
      <c r="K188" s="1" t="s">
        <v>148</v>
      </c>
      <c r="L188" s="1" t="s">
        <v>3934</v>
      </c>
      <c r="M188" s="1" t="s">
        <v>81</v>
      </c>
      <c r="N188" s="1" t="s">
        <v>3935</v>
      </c>
      <c r="O188" s="1"/>
      <c r="P188" s="1" t="s">
        <v>1278</v>
      </c>
      <c r="Q188" s="1" t="s">
        <v>3936</v>
      </c>
      <c r="R188" s="1" t="s">
        <v>3937</v>
      </c>
      <c r="S188" s="1">
        <v>9972894585</v>
      </c>
      <c r="T188" s="1" t="s">
        <v>3938</v>
      </c>
      <c r="U188" s="1" t="s">
        <v>3939</v>
      </c>
      <c r="V188" s="1">
        <v>9980537861</v>
      </c>
      <c r="W188" s="1" t="s">
        <v>3940</v>
      </c>
      <c r="X188" s="1" t="s">
        <v>3941</v>
      </c>
      <c r="Y188" s="1" t="s">
        <v>1083</v>
      </c>
      <c r="Z188" s="1" t="s">
        <v>1084</v>
      </c>
      <c r="AA188" s="1" t="s">
        <v>3941</v>
      </c>
      <c r="AB188" s="1" t="s">
        <v>1083</v>
      </c>
      <c r="AC188" s="1" t="s">
        <v>1084</v>
      </c>
      <c r="AD188" s="1">
        <v>9.05</v>
      </c>
      <c r="AE188" s="1" t="s">
        <v>93</v>
      </c>
      <c r="AF188" s="1" t="s">
        <v>3942</v>
      </c>
      <c r="AG188" s="1" t="s">
        <v>2994</v>
      </c>
      <c r="AH188" s="1" t="s">
        <v>161</v>
      </c>
      <c r="AI188" s="1" t="s">
        <v>527</v>
      </c>
      <c r="AJ188" s="1">
        <v>91.5</v>
      </c>
      <c r="AK188" s="1">
        <v>0</v>
      </c>
      <c r="AL188" s="1" t="s">
        <v>3943</v>
      </c>
      <c r="AM188" s="1" t="s">
        <v>2056</v>
      </c>
      <c r="AN188" s="1" t="s">
        <v>165</v>
      </c>
      <c r="AO188" s="1" t="s">
        <v>166</v>
      </c>
      <c r="AP188" s="1">
        <v>93.33</v>
      </c>
      <c r="AQ188" s="1">
        <v>0</v>
      </c>
      <c r="AR188" s="1"/>
      <c r="AS188" s="1"/>
      <c r="AT188" s="1"/>
      <c r="AU188" s="1"/>
      <c r="AV188" s="1"/>
      <c r="AW188" s="1"/>
      <c r="AX188" s="1" t="s">
        <v>1519</v>
      </c>
      <c r="AY188" s="1" t="s">
        <v>3944</v>
      </c>
      <c r="AZ188" s="1" t="s">
        <v>101</v>
      </c>
      <c r="BA188" s="1" t="s">
        <v>229</v>
      </c>
      <c r="BB188" s="1">
        <v>77.9</v>
      </c>
      <c r="BC188" s="1">
        <v>8.54</v>
      </c>
      <c r="BD188" s="1"/>
      <c r="BE188" s="1"/>
      <c r="BF188" s="1"/>
      <c r="BG188" s="1"/>
      <c r="BH188" s="1"/>
      <c r="BI188" s="1"/>
      <c r="BJ188" s="1" t="s">
        <v>3945</v>
      </c>
      <c r="BK188" s="1" t="s">
        <v>3946</v>
      </c>
      <c r="BL188" s="1" t="s">
        <v>1028</v>
      </c>
      <c r="BM188" s="1" t="s">
        <v>3947</v>
      </c>
      <c r="BN188" s="1">
        <v>24</v>
      </c>
      <c r="BO188" s="1"/>
      <c r="BP188" s="1" t="str">
        <f>HYPERLINK("https://nconnect.nicmar.ac.in/storage/profile/ProfilePhoto_P25700128_169427.jpg","Download")</f>
        <v>0</v>
      </c>
      <c r="BQ188" s="3"/>
      <c r="BR188" s="3"/>
    </row>
    <row r="189" spans="1:70">
      <c r="A189" s="1" t="s">
        <v>70</v>
      </c>
      <c r="B189" s="1" t="s">
        <v>1269</v>
      </c>
      <c r="C189" s="1" t="s">
        <v>3948</v>
      </c>
      <c r="D189" s="1" t="s">
        <v>3949</v>
      </c>
      <c r="E189" s="1"/>
      <c r="F189" s="1" t="s">
        <v>3950</v>
      </c>
      <c r="G189" s="1" t="s">
        <v>3951</v>
      </c>
      <c r="H189" s="1" t="s">
        <v>3952</v>
      </c>
      <c r="I189" s="1" t="s">
        <v>3953</v>
      </c>
      <c r="J189" s="1">
        <v>8330872736</v>
      </c>
      <c r="K189" s="1" t="s">
        <v>148</v>
      </c>
      <c r="L189" s="1" t="s">
        <v>3954</v>
      </c>
      <c r="M189" s="1" t="s">
        <v>81</v>
      </c>
      <c r="N189" s="1" t="s">
        <v>3955</v>
      </c>
      <c r="O189" s="1"/>
      <c r="P189" s="1" t="s">
        <v>1278</v>
      </c>
      <c r="Q189" s="1" t="s">
        <v>3956</v>
      </c>
      <c r="R189" s="1" t="s">
        <v>3957</v>
      </c>
      <c r="S189" s="1">
        <v>9447672243</v>
      </c>
      <c r="T189" s="1" t="s">
        <v>3958</v>
      </c>
      <c r="U189" s="1" t="s">
        <v>3959</v>
      </c>
      <c r="V189" s="1">
        <v>8289980736</v>
      </c>
      <c r="W189" s="1" t="s">
        <v>3960</v>
      </c>
      <c r="X189" s="1" t="s">
        <v>3961</v>
      </c>
      <c r="Y189" s="1" t="s">
        <v>2140</v>
      </c>
      <c r="Z189" s="1" t="s">
        <v>125</v>
      </c>
      <c r="AA189" s="1" t="s">
        <v>3961</v>
      </c>
      <c r="AB189" s="1" t="s">
        <v>2140</v>
      </c>
      <c r="AC189" s="1" t="s">
        <v>125</v>
      </c>
      <c r="AD189" s="1">
        <v>8.67</v>
      </c>
      <c r="AE189" s="1" t="s">
        <v>93</v>
      </c>
      <c r="AF189" s="1" t="s">
        <v>3962</v>
      </c>
      <c r="AG189" s="1" t="s">
        <v>3963</v>
      </c>
      <c r="AH189" s="1" t="s">
        <v>101</v>
      </c>
      <c r="AI189" s="1" t="s">
        <v>308</v>
      </c>
      <c r="AJ189" s="1">
        <v>91.6</v>
      </c>
      <c r="AK189" s="1"/>
      <c r="AL189" s="1" t="s">
        <v>3962</v>
      </c>
      <c r="AM189" s="1" t="s">
        <v>3963</v>
      </c>
      <c r="AN189" s="1" t="s">
        <v>699</v>
      </c>
      <c r="AO189" s="1" t="s">
        <v>506</v>
      </c>
      <c r="AP189" s="1">
        <v>85.8</v>
      </c>
      <c r="AQ189" s="1"/>
      <c r="AR189" s="1"/>
      <c r="AS189" s="1"/>
      <c r="AT189" s="1"/>
      <c r="AU189" s="1"/>
      <c r="AV189" s="1"/>
      <c r="AW189" s="1"/>
      <c r="AX189" s="1" t="s">
        <v>132</v>
      </c>
      <c r="AY189" s="1" t="s">
        <v>3964</v>
      </c>
      <c r="AZ189" s="1" t="s">
        <v>1407</v>
      </c>
      <c r="BA189" s="1" t="s">
        <v>1408</v>
      </c>
      <c r="BB189" s="1">
        <v>75</v>
      </c>
      <c r="BC189" s="1">
        <v>7.5</v>
      </c>
      <c r="BD189" s="1"/>
      <c r="BE189" s="1"/>
      <c r="BF189" s="1"/>
      <c r="BG189" s="1"/>
      <c r="BH189" s="1"/>
      <c r="BI189" s="1"/>
      <c r="BJ189" s="1" t="s">
        <v>3965</v>
      </c>
      <c r="BK189" s="1"/>
      <c r="BL189" s="1"/>
      <c r="BM189" s="1" t="s">
        <v>3966</v>
      </c>
      <c r="BN189" s="1">
        <v>10</v>
      </c>
      <c r="BO189" s="1"/>
      <c r="BP189" s="1" t="str">
        <f>HYPERLINK("https://nconnect.nicmar.ac.in/storage/profile/ProfilePhoto_P25700129_792154.jpg","Download")</f>
        <v>0</v>
      </c>
      <c r="BQ189" s="3"/>
      <c r="BR189" s="3"/>
    </row>
    <row r="190" spans="1:70">
      <c r="A190" s="1" t="s">
        <v>70</v>
      </c>
      <c r="B190" s="1" t="s">
        <v>1269</v>
      </c>
      <c r="C190" s="1" t="s">
        <v>3967</v>
      </c>
      <c r="D190" s="1" t="s">
        <v>3968</v>
      </c>
      <c r="E190" s="1" t="s">
        <v>3969</v>
      </c>
      <c r="F190" s="1" t="s">
        <v>3970</v>
      </c>
      <c r="G190" s="1" t="s">
        <v>3971</v>
      </c>
      <c r="H190" s="1" t="s">
        <v>3972</v>
      </c>
      <c r="I190" s="1" t="s">
        <v>3973</v>
      </c>
      <c r="J190" s="1">
        <v>9146478193</v>
      </c>
      <c r="K190" s="1" t="s">
        <v>148</v>
      </c>
      <c r="L190" s="1" t="s">
        <v>3974</v>
      </c>
      <c r="M190" s="1" t="s">
        <v>81</v>
      </c>
      <c r="N190" s="1" t="s">
        <v>1765</v>
      </c>
      <c r="O190" s="1"/>
      <c r="P190" s="1" t="s">
        <v>1323</v>
      </c>
      <c r="Q190" s="1" t="s">
        <v>3975</v>
      </c>
      <c r="R190" s="1" t="s">
        <v>3969</v>
      </c>
      <c r="S190" s="1">
        <v>8999583483</v>
      </c>
      <c r="T190" s="1" t="s">
        <v>122</v>
      </c>
      <c r="U190" s="1" t="s">
        <v>3976</v>
      </c>
      <c r="V190" s="1">
        <v>9561761166</v>
      </c>
      <c r="W190" s="1" t="s">
        <v>156</v>
      </c>
      <c r="X190" s="1" t="s">
        <v>3977</v>
      </c>
      <c r="Y190" s="1" t="s">
        <v>191</v>
      </c>
      <c r="Z190" s="1" t="s">
        <v>92</v>
      </c>
      <c r="AA190" s="1" t="s">
        <v>3978</v>
      </c>
      <c r="AB190" s="1" t="s">
        <v>191</v>
      </c>
      <c r="AC190" s="1" t="s">
        <v>92</v>
      </c>
      <c r="AD190" s="1">
        <v>8.28</v>
      </c>
      <c r="AE190" s="1" t="s">
        <v>93</v>
      </c>
      <c r="AF190" s="1" t="s">
        <v>3979</v>
      </c>
      <c r="AG190" s="1" t="s">
        <v>3980</v>
      </c>
      <c r="AH190" s="1" t="s">
        <v>162</v>
      </c>
      <c r="AI190" s="1" t="s">
        <v>195</v>
      </c>
      <c r="AJ190" s="1">
        <v>83</v>
      </c>
      <c r="AK190" s="1"/>
      <c r="AL190" s="1" t="s">
        <v>3981</v>
      </c>
      <c r="AM190" s="1" t="s">
        <v>3980</v>
      </c>
      <c r="AN190" s="1" t="s">
        <v>101</v>
      </c>
      <c r="AO190" s="1" t="s">
        <v>198</v>
      </c>
      <c r="AP190" s="1">
        <v>61.69</v>
      </c>
      <c r="AQ190" s="1"/>
      <c r="AR190" s="1"/>
      <c r="AS190" s="1"/>
      <c r="AT190" s="1"/>
      <c r="AU190" s="1"/>
      <c r="AV190" s="1"/>
      <c r="AW190" s="1"/>
      <c r="AX190" s="1" t="s">
        <v>3982</v>
      </c>
      <c r="AY190" s="1" t="s">
        <v>3983</v>
      </c>
      <c r="AZ190" s="1" t="s">
        <v>433</v>
      </c>
      <c r="BA190" s="1" t="s">
        <v>202</v>
      </c>
      <c r="BB190" s="1">
        <v>64</v>
      </c>
      <c r="BC190" s="1">
        <v>7.15</v>
      </c>
      <c r="BD190" s="1"/>
      <c r="BE190" s="1"/>
      <c r="BF190" s="1"/>
      <c r="BG190" s="1"/>
      <c r="BH190" s="1"/>
      <c r="BI190" s="1"/>
      <c r="BJ190" s="1" t="s">
        <v>3984</v>
      </c>
      <c r="BK190" s="1"/>
      <c r="BL190" s="1"/>
      <c r="BM190" s="1" t="s">
        <v>3985</v>
      </c>
      <c r="BN190" s="1">
        <v>30</v>
      </c>
      <c r="BO190" s="1"/>
      <c r="BP190" s="1" t="str">
        <f>HYPERLINK("https://nconnect.nicmar.ac.in/storage/profile/ProfilePhoto_P25700130_468259.jpg","Download")</f>
        <v>0</v>
      </c>
      <c r="BQ190" s="3"/>
      <c r="BR190" s="3"/>
    </row>
    <row r="191" spans="1:70">
      <c r="A191" s="1" t="s">
        <v>70</v>
      </c>
      <c r="B191" s="1" t="s">
        <v>1269</v>
      </c>
      <c r="C191" s="1" t="s">
        <v>3986</v>
      </c>
      <c r="D191" s="1" t="s">
        <v>3987</v>
      </c>
      <c r="E191" s="1"/>
      <c r="F191" s="1" t="s">
        <v>3988</v>
      </c>
      <c r="G191" s="1" t="s">
        <v>3989</v>
      </c>
      <c r="H191" s="1" t="s">
        <v>3990</v>
      </c>
      <c r="I191" s="1" t="s">
        <v>3991</v>
      </c>
      <c r="J191" s="1">
        <v>8289866254</v>
      </c>
      <c r="K191" s="1" t="s">
        <v>148</v>
      </c>
      <c r="L191" s="1" t="s">
        <v>3992</v>
      </c>
      <c r="M191" s="1" t="s">
        <v>81</v>
      </c>
      <c r="N191" s="1" t="s">
        <v>3175</v>
      </c>
      <c r="O191" s="1"/>
      <c r="P191" s="1" t="s">
        <v>1298</v>
      </c>
      <c r="Q191" s="1" t="s">
        <v>3993</v>
      </c>
      <c r="R191" s="1" t="s">
        <v>3994</v>
      </c>
      <c r="S191" s="1">
        <v>9446472524</v>
      </c>
      <c r="T191" s="1" t="s">
        <v>120</v>
      </c>
      <c r="U191" s="1" t="s">
        <v>3995</v>
      </c>
      <c r="V191" s="1">
        <v>9446412524</v>
      </c>
      <c r="W191" s="1" t="s">
        <v>3996</v>
      </c>
      <c r="X191" s="1" t="s">
        <v>3997</v>
      </c>
      <c r="Y191" s="1" t="s">
        <v>3998</v>
      </c>
      <c r="Z191" s="1" t="s">
        <v>125</v>
      </c>
      <c r="AA191" s="1" t="s">
        <v>3997</v>
      </c>
      <c r="AB191" s="1" t="s">
        <v>3998</v>
      </c>
      <c r="AC191" s="1" t="s">
        <v>125</v>
      </c>
      <c r="AD191" s="1">
        <v>8.34</v>
      </c>
      <c r="AE191" s="1" t="s">
        <v>93</v>
      </c>
      <c r="AF191" s="1" t="s">
        <v>3999</v>
      </c>
      <c r="AG191" s="1" t="s">
        <v>4000</v>
      </c>
      <c r="AH191" s="1" t="s">
        <v>96</v>
      </c>
      <c r="AI191" s="1" t="s">
        <v>97</v>
      </c>
      <c r="AJ191" s="1">
        <v>90</v>
      </c>
      <c r="AK191" s="1"/>
      <c r="AL191" s="1" t="s">
        <v>4001</v>
      </c>
      <c r="AM191" s="1" t="s">
        <v>4002</v>
      </c>
      <c r="AN191" s="1" t="s">
        <v>162</v>
      </c>
      <c r="AO191" s="1" t="s">
        <v>195</v>
      </c>
      <c r="AP191" s="1">
        <v>94.08</v>
      </c>
      <c r="AQ191" s="1"/>
      <c r="AR191" s="1"/>
      <c r="AS191" s="1"/>
      <c r="AT191" s="1"/>
      <c r="AU191" s="1"/>
      <c r="AV191" s="1"/>
      <c r="AW191" s="1"/>
      <c r="AX191" s="1" t="s">
        <v>132</v>
      </c>
      <c r="AY191" s="1" t="s">
        <v>4003</v>
      </c>
      <c r="AZ191" s="1" t="s">
        <v>636</v>
      </c>
      <c r="BA191" s="1" t="s">
        <v>944</v>
      </c>
      <c r="BB191" s="1">
        <v>67.4</v>
      </c>
      <c r="BC191" s="1">
        <v>6.74</v>
      </c>
      <c r="BD191" s="1"/>
      <c r="BE191" s="1"/>
      <c r="BF191" s="1"/>
      <c r="BG191" s="1"/>
      <c r="BH191" s="1"/>
      <c r="BI191" s="1"/>
      <c r="BJ191" s="1" t="s">
        <v>4004</v>
      </c>
      <c r="BK191" s="1" t="s">
        <v>4005</v>
      </c>
      <c r="BL191" s="1" t="s">
        <v>1920</v>
      </c>
      <c r="BM191" s="1" t="s">
        <v>4006</v>
      </c>
      <c r="BN191" s="1">
        <v>9</v>
      </c>
      <c r="BO191" s="1" t="s">
        <v>4007</v>
      </c>
      <c r="BP191" s="1" t="str">
        <f>HYPERLINK("https://nconnect.nicmar.ac.in/storage/profile/ProfilePhoto_P25700131_136529.jpg","Download")</f>
        <v>0</v>
      </c>
      <c r="BQ191" s="3"/>
      <c r="BR191" s="3"/>
    </row>
    <row r="192" spans="1:70">
      <c r="A192" s="1" t="s">
        <v>70</v>
      </c>
      <c r="B192" s="1" t="s">
        <v>1269</v>
      </c>
      <c r="C192" s="1" t="s">
        <v>4008</v>
      </c>
      <c r="D192" s="1" t="s">
        <v>4009</v>
      </c>
      <c r="E192" s="1" t="s">
        <v>3057</v>
      </c>
      <c r="F192" s="1" t="s">
        <v>4010</v>
      </c>
      <c r="G192" s="1" t="s">
        <v>4011</v>
      </c>
      <c r="H192" s="1" t="s">
        <v>4012</v>
      </c>
      <c r="I192" s="1" t="s">
        <v>4013</v>
      </c>
      <c r="J192" s="1">
        <v>9975532344</v>
      </c>
      <c r="K192" s="1" t="s">
        <v>148</v>
      </c>
      <c r="L192" s="1" t="s">
        <v>4014</v>
      </c>
      <c r="M192" s="1" t="s">
        <v>81</v>
      </c>
      <c r="N192" s="1" t="s">
        <v>2008</v>
      </c>
      <c r="O192" s="1"/>
      <c r="P192" s="1" t="s">
        <v>1278</v>
      </c>
      <c r="Q192" s="1" t="s">
        <v>4015</v>
      </c>
      <c r="R192" s="1" t="s">
        <v>3057</v>
      </c>
      <c r="S192" s="1">
        <v>8421633601</v>
      </c>
      <c r="T192" s="1" t="s">
        <v>496</v>
      </c>
      <c r="U192" s="1" t="s">
        <v>4016</v>
      </c>
      <c r="V192" s="1">
        <v>9011127409</v>
      </c>
      <c r="W192" s="1" t="s">
        <v>156</v>
      </c>
      <c r="X192" s="1" t="s">
        <v>4017</v>
      </c>
      <c r="Y192" s="1" t="s">
        <v>328</v>
      </c>
      <c r="Z192" s="1" t="s">
        <v>92</v>
      </c>
      <c r="AA192" s="1" t="s">
        <v>4017</v>
      </c>
      <c r="AB192" s="1" t="s">
        <v>328</v>
      </c>
      <c r="AC192" s="1" t="s">
        <v>92</v>
      </c>
      <c r="AD192" s="1">
        <v>7.79</v>
      </c>
      <c r="AE192" s="1" t="s">
        <v>93</v>
      </c>
      <c r="AF192" s="1" t="s">
        <v>4018</v>
      </c>
      <c r="AG192" s="1" t="s">
        <v>4019</v>
      </c>
      <c r="AH192" s="1" t="s">
        <v>101</v>
      </c>
      <c r="AI192" s="1" t="s">
        <v>409</v>
      </c>
      <c r="AJ192" s="1">
        <v>71</v>
      </c>
      <c r="AK192" s="1"/>
      <c r="AL192" s="1" t="s">
        <v>4020</v>
      </c>
      <c r="AM192" s="1" t="s">
        <v>4019</v>
      </c>
      <c r="AN192" s="1" t="s">
        <v>681</v>
      </c>
      <c r="AO192" s="1" t="s">
        <v>2016</v>
      </c>
      <c r="AP192" s="1">
        <v>93</v>
      </c>
      <c r="AQ192" s="1"/>
      <c r="AR192" s="1"/>
      <c r="AS192" s="1"/>
      <c r="AT192" s="1"/>
      <c r="AU192" s="1"/>
      <c r="AV192" s="1"/>
      <c r="AW192" s="1"/>
      <c r="AX192" s="1" t="s">
        <v>335</v>
      </c>
      <c r="AY192" s="1" t="s">
        <v>4021</v>
      </c>
      <c r="AZ192" s="1" t="s">
        <v>436</v>
      </c>
      <c r="BA192" s="1" t="s">
        <v>1408</v>
      </c>
      <c r="BB192" s="1">
        <v>67.62</v>
      </c>
      <c r="BC192" s="1">
        <v>7.62</v>
      </c>
      <c r="BD192" s="1"/>
      <c r="BE192" s="1"/>
      <c r="BF192" s="1"/>
      <c r="BG192" s="1"/>
      <c r="BH192" s="1"/>
      <c r="BI192" s="1"/>
      <c r="BJ192" s="1" t="s">
        <v>1383</v>
      </c>
      <c r="BK192" s="1"/>
      <c r="BL192" s="1"/>
      <c r="BM192" s="1" t="s">
        <v>4022</v>
      </c>
      <c r="BN192" s="1">
        <v>14</v>
      </c>
      <c r="BO192" s="1"/>
      <c r="BP192" s="1" t="str">
        <f>HYPERLINK("https://nconnect.nicmar.ac.in/storage/profile/ProfilePhoto_P25700132_591768.jpg","Download")</f>
        <v>0</v>
      </c>
      <c r="BQ192" s="3"/>
      <c r="BR192" s="3"/>
    </row>
    <row r="193" spans="1:70">
      <c r="A193" s="1" t="s">
        <v>70</v>
      </c>
      <c r="B193" s="1" t="s">
        <v>1269</v>
      </c>
      <c r="C193" s="1" t="s">
        <v>4023</v>
      </c>
      <c r="D193" s="1" t="s">
        <v>4024</v>
      </c>
      <c r="E193" s="1" t="s">
        <v>4025</v>
      </c>
      <c r="F193" s="1" t="s">
        <v>4026</v>
      </c>
      <c r="G193" s="1" t="s">
        <v>4027</v>
      </c>
      <c r="H193" s="1" t="s">
        <v>4028</v>
      </c>
      <c r="I193" s="1" t="s">
        <v>4029</v>
      </c>
      <c r="J193" s="1">
        <v>9819507312</v>
      </c>
      <c r="K193" s="1" t="s">
        <v>148</v>
      </c>
      <c r="L193" s="1" t="s">
        <v>4030</v>
      </c>
      <c r="M193" s="1" t="s">
        <v>81</v>
      </c>
      <c r="N193" s="1" t="s">
        <v>2029</v>
      </c>
      <c r="O193" s="1"/>
      <c r="P193" s="1" t="s">
        <v>1298</v>
      </c>
      <c r="Q193" s="1" t="s">
        <v>4031</v>
      </c>
      <c r="R193" s="1" t="s">
        <v>4032</v>
      </c>
      <c r="S193" s="1">
        <v>8104891124</v>
      </c>
      <c r="T193" s="1" t="s">
        <v>4033</v>
      </c>
      <c r="U193" s="1" t="s">
        <v>4034</v>
      </c>
      <c r="V193" s="1">
        <v>9819075437</v>
      </c>
      <c r="W193" s="1" t="s">
        <v>763</v>
      </c>
      <c r="X193" s="1" t="s">
        <v>4035</v>
      </c>
      <c r="Y193" s="1" t="s">
        <v>1623</v>
      </c>
      <c r="Z193" s="1" t="s">
        <v>92</v>
      </c>
      <c r="AA193" s="1" t="s">
        <v>4035</v>
      </c>
      <c r="AB193" s="1" t="s">
        <v>1623</v>
      </c>
      <c r="AC193" s="1" t="s">
        <v>92</v>
      </c>
      <c r="AD193" s="1">
        <v>8.44</v>
      </c>
      <c r="AE193" s="1" t="s">
        <v>93</v>
      </c>
      <c r="AF193" s="1" t="s">
        <v>4036</v>
      </c>
      <c r="AG193" s="1" t="s">
        <v>4037</v>
      </c>
      <c r="AH193" s="1" t="s">
        <v>162</v>
      </c>
      <c r="AI193" s="1" t="s">
        <v>195</v>
      </c>
      <c r="AJ193" s="1">
        <v>78.8</v>
      </c>
      <c r="AK193" s="1"/>
      <c r="AL193" s="1" t="s">
        <v>4038</v>
      </c>
      <c r="AM193" s="1" t="s">
        <v>4039</v>
      </c>
      <c r="AN193" s="1" t="s">
        <v>636</v>
      </c>
      <c r="AO193" s="1" t="s">
        <v>198</v>
      </c>
      <c r="AP193" s="1">
        <v>64.62</v>
      </c>
      <c r="AQ193" s="1"/>
      <c r="AR193" s="1"/>
      <c r="AS193" s="1"/>
      <c r="AT193" s="1"/>
      <c r="AU193" s="1"/>
      <c r="AV193" s="1"/>
      <c r="AW193" s="1"/>
      <c r="AX193" s="1" t="s">
        <v>253</v>
      </c>
      <c r="AY193" s="1" t="s">
        <v>4040</v>
      </c>
      <c r="AZ193" s="1" t="s">
        <v>201</v>
      </c>
      <c r="BA193" s="1" t="s">
        <v>174</v>
      </c>
      <c r="BB193" s="1">
        <v>77.01</v>
      </c>
      <c r="BC193" s="1"/>
      <c r="BD193" s="1"/>
      <c r="BE193" s="1"/>
      <c r="BF193" s="1"/>
      <c r="BG193" s="1"/>
      <c r="BH193" s="1"/>
      <c r="BI193" s="1"/>
      <c r="BJ193" s="1" t="s">
        <v>1521</v>
      </c>
      <c r="BK193" s="1"/>
      <c r="BL193" s="1"/>
      <c r="BM193" s="1" t="s">
        <v>4041</v>
      </c>
      <c r="BN193" s="1">
        <v>97</v>
      </c>
      <c r="BO193" s="1" t="s">
        <v>4042</v>
      </c>
      <c r="BP193" s="1" t="str">
        <f>HYPERLINK("https://nconnect.nicmar.ac.in/storage/profile/ProfilePhoto_P25700133_325479.jpg","Download")</f>
        <v>0</v>
      </c>
      <c r="BQ193" s="3"/>
      <c r="BR193" s="3"/>
    </row>
    <row r="194" spans="1:70">
      <c r="A194" s="1" t="s">
        <v>70</v>
      </c>
      <c r="B194" s="1" t="s">
        <v>1269</v>
      </c>
      <c r="C194" s="1" t="s">
        <v>4043</v>
      </c>
      <c r="D194" s="1" t="s">
        <v>4044</v>
      </c>
      <c r="E194" s="1"/>
      <c r="F194" s="1" t="s">
        <v>4045</v>
      </c>
      <c r="G194" s="1" t="s">
        <v>4046</v>
      </c>
      <c r="H194" s="1" t="s">
        <v>4047</v>
      </c>
      <c r="I194" s="1" t="s">
        <v>4048</v>
      </c>
      <c r="J194" s="1">
        <v>9995361307</v>
      </c>
      <c r="K194" s="1" t="s">
        <v>148</v>
      </c>
      <c r="L194" s="1" t="s">
        <v>4049</v>
      </c>
      <c r="M194" s="1" t="s">
        <v>150</v>
      </c>
      <c r="N194" s="1" t="s">
        <v>3955</v>
      </c>
      <c r="O194" s="1"/>
      <c r="P194" s="1" t="s">
        <v>1323</v>
      </c>
      <c r="Q194" s="1" t="s">
        <v>4050</v>
      </c>
      <c r="R194" s="1" t="s">
        <v>4051</v>
      </c>
      <c r="S194" s="1">
        <v>7510861307</v>
      </c>
      <c r="T194" s="1" t="s">
        <v>4052</v>
      </c>
      <c r="U194" s="1" t="s">
        <v>4053</v>
      </c>
      <c r="V194" s="1">
        <v>9895820148</v>
      </c>
      <c r="W194" s="1" t="s">
        <v>156</v>
      </c>
      <c r="X194" s="1" t="s">
        <v>4054</v>
      </c>
      <c r="Y194" s="1" t="s">
        <v>3998</v>
      </c>
      <c r="Z194" s="1" t="s">
        <v>125</v>
      </c>
      <c r="AA194" s="1" t="s">
        <v>4054</v>
      </c>
      <c r="AB194" s="1" t="s">
        <v>3998</v>
      </c>
      <c r="AC194" s="1" t="s">
        <v>125</v>
      </c>
      <c r="AD194" s="1">
        <v>8.74</v>
      </c>
      <c r="AE194" s="1" t="s">
        <v>93</v>
      </c>
      <c r="AF194" s="1" t="s">
        <v>4055</v>
      </c>
      <c r="AG194" s="1" t="s">
        <v>4056</v>
      </c>
      <c r="AH194" s="1" t="s">
        <v>998</v>
      </c>
      <c r="AI194" s="1" t="s">
        <v>999</v>
      </c>
      <c r="AJ194" s="1">
        <v>92.95</v>
      </c>
      <c r="AK194" s="1"/>
      <c r="AL194" s="1" t="s">
        <v>4055</v>
      </c>
      <c r="AM194" s="1" t="s">
        <v>4056</v>
      </c>
      <c r="AN194" s="1" t="s">
        <v>161</v>
      </c>
      <c r="AO194" s="1" t="s">
        <v>456</v>
      </c>
      <c r="AP194" s="1">
        <v>84.92</v>
      </c>
      <c r="AQ194" s="1"/>
      <c r="AR194" s="1"/>
      <c r="AS194" s="1"/>
      <c r="AT194" s="1"/>
      <c r="AU194" s="1"/>
      <c r="AV194" s="1"/>
      <c r="AW194" s="1"/>
      <c r="AX194" s="1" t="s">
        <v>132</v>
      </c>
      <c r="AY194" s="1" t="s">
        <v>4057</v>
      </c>
      <c r="AZ194" s="1" t="s">
        <v>162</v>
      </c>
      <c r="BA194" s="1" t="s">
        <v>920</v>
      </c>
      <c r="BB194" s="1">
        <v>70.15</v>
      </c>
      <c r="BC194" s="1">
        <v>7.39</v>
      </c>
      <c r="BD194" s="1"/>
      <c r="BE194" s="1"/>
      <c r="BF194" s="1"/>
      <c r="BG194" s="1"/>
      <c r="BH194" s="1"/>
      <c r="BI194" s="1"/>
      <c r="BJ194" s="1" t="s">
        <v>4058</v>
      </c>
      <c r="BK194" s="1"/>
      <c r="BL194" s="1"/>
      <c r="BM194" s="1" t="s">
        <v>4059</v>
      </c>
      <c r="BN194" s="1">
        <v>50</v>
      </c>
      <c r="BO194" s="1" t="s">
        <v>4060</v>
      </c>
      <c r="BP194" s="1" t="str">
        <f>HYPERLINK("https://nconnect.nicmar.ac.in/storage/profile/ProfilePhoto_P25700134_358914.jpg","Download")</f>
        <v>0</v>
      </c>
      <c r="BQ194" s="3"/>
      <c r="BR194" s="3"/>
    </row>
    <row r="195" spans="1:70">
      <c r="A195" s="1" t="s">
        <v>70</v>
      </c>
      <c r="B195" s="1" t="s">
        <v>1269</v>
      </c>
      <c r="C195" s="1" t="s">
        <v>4061</v>
      </c>
      <c r="D195" s="1" t="s">
        <v>4062</v>
      </c>
      <c r="E195" s="1"/>
      <c r="F195" s="1" t="s">
        <v>4063</v>
      </c>
      <c r="G195" s="1" t="s">
        <v>4064</v>
      </c>
      <c r="H195" s="1" t="s">
        <v>4065</v>
      </c>
      <c r="I195" s="1" t="s">
        <v>4066</v>
      </c>
      <c r="J195" s="1">
        <v>9526572346</v>
      </c>
      <c r="K195" s="1" t="s">
        <v>148</v>
      </c>
      <c r="L195" s="1" t="s">
        <v>1076</v>
      </c>
      <c r="M195" s="1" t="s">
        <v>81</v>
      </c>
      <c r="N195" s="1" t="s">
        <v>4067</v>
      </c>
      <c r="O195" s="1"/>
      <c r="P195" s="1" t="s">
        <v>1278</v>
      </c>
      <c r="Q195" s="1" t="s">
        <v>4068</v>
      </c>
      <c r="R195" s="1" t="s">
        <v>4069</v>
      </c>
      <c r="S195" s="1">
        <v>6238791056</v>
      </c>
      <c r="T195" s="1" t="s">
        <v>910</v>
      </c>
      <c r="U195" s="1" t="s">
        <v>4070</v>
      </c>
      <c r="V195" s="1">
        <v>9846809792</v>
      </c>
      <c r="W195" s="1" t="s">
        <v>156</v>
      </c>
      <c r="X195" s="1" t="s">
        <v>4071</v>
      </c>
      <c r="Y195" s="1" t="s">
        <v>2140</v>
      </c>
      <c r="Z195" s="1" t="s">
        <v>125</v>
      </c>
      <c r="AA195" s="1" t="s">
        <v>4071</v>
      </c>
      <c r="AB195" s="1" t="s">
        <v>2140</v>
      </c>
      <c r="AC195" s="1" t="s">
        <v>125</v>
      </c>
      <c r="AD195" s="1">
        <v>8.23</v>
      </c>
      <c r="AE195" s="1" t="s">
        <v>93</v>
      </c>
      <c r="AF195" s="1" t="s">
        <v>4072</v>
      </c>
      <c r="AG195" s="1" t="s">
        <v>894</v>
      </c>
      <c r="AH195" s="1" t="s">
        <v>161</v>
      </c>
      <c r="AI195" s="1" t="s">
        <v>527</v>
      </c>
      <c r="AJ195" s="1">
        <v>93.1</v>
      </c>
      <c r="AK195" s="1">
        <v>9.8</v>
      </c>
      <c r="AL195" s="1" t="s">
        <v>4072</v>
      </c>
      <c r="AM195" s="1" t="s">
        <v>894</v>
      </c>
      <c r="AN195" s="1" t="s">
        <v>165</v>
      </c>
      <c r="AO195" s="1" t="s">
        <v>166</v>
      </c>
      <c r="AP195" s="1">
        <v>73.2</v>
      </c>
      <c r="AQ195" s="1">
        <v>7.32</v>
      </c>
      <c r="AR195" s="1"/>
      <c r="AS195" s="1"/>
      <c r="AT195" s="1"/>
      <c r="AU195" s="1"/>
      <c r="AV195" s="1"/>
      <c r="AW195" s="1"/>
      <c r="AX195" s="1" t="s">
        <v>132</v>
      </c>
      <c r="AY195" s="1" t="s">
        <v>4073</v>
      </c>
      <c r="AZ195" s="1" t="s">
        <v>169</v>
      </c>
      <c r="BA195" s="1" t="s">
        <v>284</v>
      </c>
      <c r="BB195" s="1">
        <v>75.1</v>
      </c>
      <c r="BC195" s="1"/>
      <c r="BD195" s="1"/>
      <c r="BE195" s="1"/>
      <c r="BF195" s="1"/>
      <c r="BG195" s="1"/>
      <c r="BH195" s="1"/>
      <c r="BI195" s="1"/>
      <c r="BJ195" s="1" t="s">
        <v>1383</v>
      </c>
      <c r="BK195" s="1"/>
      <c r="BL195" s="1"/>
      <c r="BM195" s="1" t="s">
        <v>4074</v>
      </c>
      <c r="BN195" s="1">
        <v>60</v>
      </c>
      <c r="BO195" s="1"/>
      <c r="BP195" s="1" t="str">
        <f>HYPERLINK("https://nconnect.nicmar.ac.in/storage/profile/ProfilePhoto_P25700135_792418.jpg","Download")</f>
        <v>0</v>
      </c>
      <c r="BQ195" s="3"/>
      <c r="BR195" s="3"/>
    </row>
    <row r="196" spans="1:70">
      <c r="A196" s="1" t="s">
        <v>70</v>
      </c>
      <c r="B196" s="1" t="s">
        <v>1269</v>
      </c>
      <c r="C196" s="1" t="s">
        <v>4075</v>
      </c>
      <c r="D196" s="1" t="s">
        <v>4076</v>
      </c>
      <c r="E196" s="1"/>
      <c r="F196" s="1" t="s">
        <v>4077</v>
      </c>
      <c r="G196" s="1" t="s">
        <v>4078</v>
      </c>
      <c r="H196" s="1" t="s">
        <v>4079</v>
      </c>
      <c r="I196" s="1" t="s">
        <v>4080</v>
      </c>
      <c r="J196" s="1">
        <v>9563939574</v>
      </c>
      <c r="K196" s="1" t="s">
        <v>148</v>
      </c>
      <c r="L196" s="1" t="s">
        <v>4081</v>
      </c>
      <c r="M196" s="1" t="s">
        <v>150</v>
      </c>
      <c r="N196" s="1" t="s">
        <v>4082</v>
      </c>
      <c r="O196" s="1"/>
      <c r="P196" s="1" t="s">
        <v>1323</v>
      </c>
      <c r="Q196" s="1" t="s">
        <v>4083</v>
      </c>
      <c r="R196" s="1" t="s">
        <v>4084</v>
      </c>
      <c r="S196" s="1">
        <v>9434171075</v>
      </c>
      <c r="T196" s="1" t="s">
        <v>4085</v>
      </c>
      <c r="U196" s="1" t="s">
        <v>4086</v>
      </c>
      <c r="V196" s="1">
        <v>6290276437</v>
      </c>
      <c r="W196" s="1" t="s">
        <v>156</v>
      </c>
      <c r="X196" s="1" t="s">
        <v>4087</v>
      </c>
      <c r="Y196" s="1" t="s">
        <v>4088</v>
      </c>
      <c r="Z196" s="1" t="s">
        <v>783</v>
      </c>
      <c r="AA196" s="1" t="s">
        <v>4087</v>
      </c>
      <c r="AB196" s="1" t="s">
        <v>4088</v>
      </c>
      <c r="AC196" s="1" t="s">
        <v>783</v>
      </c>
      <c r="AD196" s="1">
        <v>8.07</v>
      </c>
      <c r="AE196" s="1" t="s">
        <v>93</v>
      </c>
      <c r="AF196" s="1" t="s">
        <v>4089</v>
      </c>
      <c r="AG196" s="1" t="s">
        <v>785</v>
      </c>
      <c r="AH196" s="1" t="s">
        <v>657</v>
      </c>
      <c r="AI196" s="1" t="s">
        <v>249</v>
      </c>
      <c r="AJ196" s="1">
        <v>77.28</v>
      </c>
      <c r="AK196" s="1"/>
      <c r="AL196" s="1" t="s">
        <v>4090</v>
      </c>
      <c r="AM196" s="1" t="s">
        <v>4091</v>
      </c>
      <c r="AN196" s="1" t="s">
        <v>249</v>
      </c>
      <c r="AO196" s="1" t="s">
        <v>130</v>
      </c>
      <c r="AP196" s="1">
        <v>65.2</v>
      </c>
      <c r="AQ196" s="1"/>
      <c r="AR196" s="1"/>
      <c r="AS196" s="1"/>
      <c r="AT196" s="1"/>
      <c r="AU196" s="1"/>
      <c r="AV196" s="1"/>
      <c r="AW196" s="1"/>
      <c r="AX196" s="1" t="s">
        <v>2078</v>
      </c>
      <c r="AY196" s="1" t="s">
        <v>4092</v>
      </c>
      <c r="AZ196" s="1" t="s">
        <v>252</v>
      </c>
      <c r="BA196" s="1" t="s">
        <v>169</v>
      </c>
      <c r="BB196" s="1">
        <v>67.6</v>
      </c>
      <c r="BC196" s="1">
        <v>7.54</v>
      </c>
      <c r="BD196" s="1"/>
      <c r="BE196" s="1"/>
      <c r="BF196" s="1"/>
      <c r="BG196" s="1"/>
      <c r="BH196" s="1"/>
      <c r="BI196" s="1"/>
      <c r="BJ196" s="1" t="s">
        <v>4093</v>
      </c>
      <c r="BK196" s="1" t="s">
        <v>4094</v>
      </c>
      <c r="BL196" s="1" t="s">
        <v>4095</v>
      </c>
      <c r="BM196" s="1" t="s">
        <v>4096</v>
      </c>
      <c r="BN196" s="1">
        <v>113</v>
      </c>
      <c r="BO196" s="1" t="s">
        <v>1715</v>
      </c>
      <c r="BP196" s="1" t="str">
        <f>HYPERLINK("https://nconnect.nicmar.ac.in/storage/profile/ProfilePhoto_P25700136_196742.jpg","Download")</f>
        <v>0</v>
      </c>
      <c r="BQ196" s="3"/>
      <c r="BR196" s="3"/>
    </row>
    <row r="197" spans="1:70">
      <c r="A197" s="1" t="s">
        <v>70</v>
      </c>
      <c r="B197" s="1" t="s">
        <v>1269</v>
      </c>
      <c r="C197" s="1" t="s">
        <v>4097</v>
      </c>
      <c r="D197" s="1" t="s">
        <v>4098</v>
      </c>
      <c r="E197" s="1"/>
      <c r="F197" s="1" t="s">
        <v>2310</v>
      </c>
      <c r="G197" s="1" t="s">
        <v>4099</v>
      </c>
      <c r="H197" s="1" t="s">
        <v>4100</v>
      </c>
      <c r="I197" s="1" t="s">
        <v>4101</v>
      </c>
      <c r="J197" s="1">
        <v>6238245494</v>
      </c>
      <c r="K197" s="1" t="s">
        <v>79</v>
      </c>
      <c r="L197" s="1" t="s">
        <v>4102</v>
      </c>
      <c r="M197" s="1" t="s">
        <v>81</v>
      </c>
      <c r="N197" s="1" t="s">
        <v>3955</v>
      </c>
      <c r="O197" s="1"/>
      <c r="P197" s="1" t="s">
        <v>1323</v>
      </c>
      <c r="Q197" s="1" t="s">
        <v>4103</v>
      </c>
      <c r="R197" s="1" t="s">
        <v>4104</v>
      </c>
      <c r="S197" s="1">
        <v>9847297977</v>
      </c>
      <c r="T197" s="1" t="s">
        <v>4105</v>
      </c>
      <c r="U197" s="1" t="s">
        <v>4106</v>
      </c>
      <c r="V197" s="1">
        <v>9847493320</v>
      </c>
      <c r="W197" s="1" t="s">
        <v>4107</v>
      </c>
      <c r="X197" s="1" t="s">
        <v>4108</v>
      </c>
      <c r="Y197" s="1" t="s">
        <v>3998</v>
      </c>
      <c r="Z197" s="1" t="s">
        <v>125</v>
      </c>
      <c r="AA197" s="1" t="s">
        <v>4108</v>
      </c>
      <c r="AB197" s="1" t="s">
        <v>3998</v>
      </c>
      <c r="AC197" s="1" t="s">
        <v>125</v>
      </c>
      <c r="AD197" s="1">
        <v>8.2</v>
      </c>
      <c r="AE197" s="1" t="s">
        <v>93</v>
      </c>
      <c r="AF197" s="1" t="s">
        <v>4109</v>
      </c>
      <c r="AG197" s="1" t="s">
        <v>4110</v>
      </c>
      <c r="AH197" s="1" t="s">
        <v>165</v>
      </c>
      <c r="AI197" s="1" t="s">
        <v>166</v>
      </c>
      <c r="AJ197" s="1">
        <v>82.83</v>
      </c>
      <c r="AK197" s="1"/>
      <c r="AL197" s="1" t="s">
        <v>4109</v>
      </c>
      <c r="AM197" s="1" t="s">
        <v>4110</v>
      </c>
      <c r="AN197" s="1" t="s">
        <v>433</v>
      </c>
      <c r="AO197" s="1" t="s">
        <v>173</v>
      </c>
      <c r="AP197" s="1">
        <v>75.2</v>
      </c>
      <c r="AQ197" s="1"/>
      <c r="AR197" s="1"/>
      <c r="AS197" s="1"/>
      <c r="AT197" s="1"/>
      <c r="AU197" s="1"/>
      <c r="AV197" s="1"/>
      <c r="AW197" s="1"/>
      <c r="AX197" s="1" t="s">
        <v>132</v>
      </c>
      <c r="AY197" s="1" t="s">
        <v>4111</v>
      </c>
      <c r="AZ197" s="1" t="s">
        <v>228</v>
      </c>
      <c r="BA197" s="1" t="s">
        <v>202</v>
      </c>
      <c r="BB197" s="1">
        <v>68.8</v>
      </c>
      <c r="BC197" s="1"/>
      <c r="BD197" s="1"/>
      <c r="BE197" s="1"/>
      <c r="BF197" s="1"/>
      <c r="BG197" s="1"/>
      <c r="BH197" s="1"/>
      <c r="BI197" s="1"/>
      <c r="BJ197" s="1" t="s">
        <v>4112</v>
      </c>
      <c r="BK197" s="1" t="s">
        <v>4113</v>
      </c>
      <c r="BL197" s="1" t="s">
        <v>1896</v>
      </c>
      <c r="BM197" s="1" t="s">
        <v>4114</v>
      </c>
      <c r="BN197" s="1">
        <v>8</v>
      </c>
      <c r="BO197" s="1"/>
      <c r="BP197" s="1" t="str">
        <f>HYPERLINK("https://nconnect.nicmar.ac.in/storage/profile/ProfilePhoto_P25700137_823974.jpg","Download")</f>
        <v>0</v>
      </c>
      <c r="BQ197" s="3"/>
      <c r="BR197" s="3"/>
    </row>
    <row r="198" spans="1:70">
      <c r="A198" s="1" t="s">
        <v>70</v>
      </c>
      <c r="B198" s="1" t="s">
        <v>1269</v>
      </c>
      <c r="C198" s="1" t="s">
        <v>4115</v>
      </c>
      <c r="D198" s="1" t="s">
        <v>4116</v>
      </c>
      <c r="E198" s="1"/>
      <c r="F198" s="1" t="s">
        <v>4117</v>
      </c>
      <c r="G198" s="1" t="s">
        <v>4118</v>
      </c>
      <c r="H198" s="1" t="s">
        <v>4119</v>
      </c>
      <c r="I198" s="1" t="s">
        <v>4120</v>
      </c>
      <c r="J198" s="1">
        <v>7068336907</v>
      </c>
      <c r="K198" s="1" t="s">
        <v>79</v>
      </c>
      <c r="L198" s="1" t="s">
        <v>4121</v>
      </c>
      <c r="M198" s="1" t="s">
        <v>81</v>
      </c>
      <c r="N198" s="1" t="s">
        <v>241</v>
      </c>
      <c r="O198" s="1"/>
      <c r="P198" s="1" t="s">
        <v>1323</v>
      </c>
      <c r="Q198" s="1" t="s">
        <v>4122</v>
      </c>
      <c r="R198" s="1" t="s">
        <v>4123</v>
      </c>
      <c r="S198" s="1">
        <v>9044024038</v>
      </c>
      <c r="T198" s="1" t="s">
        <v>216</v>
      </c>
      <c r="U198" s="1" t="s">
        <v>4124</v>
      </c>
      <c r="V198" s="1">
        <v>8090008254</v>
      </c>
      <c r="W198" s="1" t="s">
        <v>156</v>
      </c>
      <c r="X198" s="1" t="s">
        <v>4125</v>
      </c>
      <c r="Y198" s="1" t="s">
        <v>4126</v>
      </c>
      <c r="Z198" s="1" t="s">
        <v>1355</v>
      </c>
      <c r="AA198" s="1" t="s">
        <v>4125</v>
      </c>
      <c r="AB198" s="1" t="s">
        <v>4126</v>
      </c>
      <c r="AC198" s="1" t="s">
        <v>1355</v>
      </c>
      <c r="AD198" s="1">
        <v>8.36</v>
      </c>
      <c r="AE198" s="1" t="s">
        <v>93</v>
      </c>
      <c r="AF198" s="1" t="s">
        <v>4127</v>
      </c>
      <c r="AG198" s="1" t="s">
        <v>939</v>
      </c>
      <c r="AH198" s="1" t="s">
        <v>161</v>
      </c>
      <c r="AI198" s="1" t="s">
        <v>527</v>
      </c>
      <c r="AJ198" s="1">
        <v>95</v>
      </c>
      <c r="AK198" s="1">
        <v>10</v>
      </c>
      <c r="AL198" s="1" t="s">
        <v>4128</v>
      </c>
      <c r="AM198" s="1" t="s">
        <v>939</v>
      </c>
      <c r="AN198" s="1" t="s">
        <v>165</v>
      </c>
      <c r="AO198" s="1" t="s">
        <v>166</v>
      </c>
      <c r="AP198" s="1">
        <v>72.6</v>
      </c>
      <c r="AQ198" s="1"/>
      <c r="AR198" s="1"/>
      <c r="AS198" s="1"/>
      <c r="AT198" s="1"/>
      <c r="AU198" s="1"/>
      <c r="AV198" s="1"/>
      <c r="AW198" s="1"/>
      <c r="AX198" s="1" t="s">
        <v>4129</v>
      </c>
      <c r="AY198" s="1" t="s">
        <v>4129</v>
      </c>
      <c r="AZ198" s="1" t="s">
        <v>433</v>
      </c>
      <c r="BA198" s="1" t="s">
        <v>229</v>
      </c>
      <c r="BB198" s="1">
        <v>72.2</v>
      </c>
      <c r="BC198" s="1"/>
      <c r="BD198" s="1"/>
      <c r="BE198" s="1"/>
      <c r="BF198" s="1"/>
      <c r="BG198" s="1"/>
      <c r="BH198" s="1"/>
      <c r="BI198" s="1"/>
      <c r="BJ198" s="1" t="s">
        <v>4130</v>
      </c>
      <c r="BK198" s="1" t="s">
        <v>4131</v>
      </c>
      <c r="BL198" s="1" t="s">
        <v>287</v>
      </c>
      <c r="BM198" s="1"/>
      <c r="BN198" s="1"/>
      <c r="BO198" s="1" t="s">
        <v>4132</v>
      </c>
      <c r="BP198" s="1" t="str">
        <f>HYPERLINK("https://nconnect.nicmar.ac.in/storage/profile/ProfilePhoto_P25700138_159438.jpg","Download")</f>
        <v>0</v>
      </c>
      <c r="BQ198" s="3"/>
      <c r="BR198" s="3"/>
    </row>
    <row r="199" spans="1:70">
      <c r="A199" s="1" t="s">
        <v>70</v>
      </c>
      <c r="B199" s="1" t="s">
        <v>1269</v>
      </c>
      <c r="C199" s="1" t="s">
        <v>4133</v>
      </c>
      <c r="D199" s="1" t="s">
        <v>443</v>
      </c>
      <c r="E199" s="1" t="s">
        <v>4134</v>
      </c>
      <c r="F199" s="1" t="s">
        <v>4135</v>
      </c>
      <c r="G199" s="1" t="s">
        <v>4136</v>
      </c>
      <c r="H199" s="1" t="s">
        <v>4137</v>
      </c>
      <c r="I199" s="1" t="s">
        <v>4138</v>
      </c>
      <c r="J199" s="1">
        <v>8329386839</v>
      </c>
      <c r="K199" s="1" t="s">
        <v>79</v>
      </c>
      <c r="L199" s="1" t="s">
        <v>4139</v>
      </c>
      <c r="M199" s="1" t="s">
        <v>81</v>
      </c>
      <c r="N199" s="1" t="s">
        <v>4140</v>
      </c>
      <c r="O199" s="1"/>
      <c r="P199" s="1" t="s">
        <v>1278</v>
      </c>
      <c r="Q199" s="1" t="s">
        <v>4141</v>
      </c>
      <c r="R199" s="1" t="s">
        <v>4134</v>
      </c>
      <c r="S199" s="1">
        <v>9423358067</v>
      </c>
      <c r="T199" s="1" t="s">
        <v>4033</v>
      </c>
      <c r="U199" s="1" t="s">
        <v>4142</v>
      </c>
      <c r="V199" s="1">
        <v>8793338575</v>
      </c>
      <c r="W199" s="1" t="s">
        <v>156</v>
      </c>
      <c r="X199" s="1" t="s">
        <v>4143</v>
      </c>
      <c r="Y199" s="1" t="s">
        <v>191</v>
      </c>
      <c r="Z199" s="1" t="s">
        <v>92</v>
      </c>
      <c r="AA199" s="1" t="s">
        <v>4144</v>
      </c>
      <c r="AB199" s="1" t="s">
        <v>304</v>
      </c>
      <c r="AC199" s="1" t="s">
        <v>92</v>
      </c>
      <c r="AD199" s="1">
        <v>9.0</v>
      </c>
      <c r="AE199" s="1" t="s">
        <v>93</v>
      </c>
      <c r="AF199" s="1" t="s">
        <v>4145</v>
      </c>
      <c r="AG199" s="1" t="s">
        <v>4146</v>
      </c>
      <c r="AH199" s="1" t="s">
        <v>165</v>
      </c>
      <c r="AI199" s="1" t="s">
        <v>101</v>
      </c>
      <c r="AJ199" s="1">
        <v>77.8</v>
      </c>
      <c r="AK199" s="1">
        <v>0</v>
      </c>
      <c r="AL199" s="1"/>
      <c r="AM199" s="1"/>
      <c r="AN199" s="1"/>
      <c r="AO199" s="1"/>
      <c r="AP199" s="1"/>
      <c r="AQ199" s="1"/>
      <c r="AR199" s="1" t="s">
        <v>98</v>
      </c>
      <c r="AS199" s="1" t="s">
        <v>4147</v>
      </c>
      <c r="AT199" s="1" t="s">
        <v>636</v>
      </c>
      <c r="AU199" s="1" t="s">
        <v>436</v>
      </c>
      <c r="AV199" s="1">
        <v>89.95</v>
      </c>
      <c r="AW199" s="1">
        <v>0</v>
      </c>
      <c r="AX199" s="1" t="s">
        <v>1024</v>
      </c>
      <c r="AY199" s="1" t="s">
        <v>4148</v>
      </c>
      <c r="AZ199" s="1" t="s">
        <v>897</v>
      </c>
      <c r="BA199" s="1" t="s">
        <v>1939</v>
      </c>
      <c r="BB199" s="1">
        <v>70.85</v>
      </c>
      <c r="BC199" s="1">
        <v>7.78</v>
      </c>
      <c r="BD199" s="1"/>
      <c r="BE199" s="1"/>
      <c r="BF199" s="1"/>
      <c r="BG199" s="1"/>
      <c r="BH199" s="1"/>
      <c r="BI199" s="1"/>
      <c r="BJ199" s="1" t="s">
        <v>4149</v>
      </c>
      <c r="BK199" s="1"/>
      <c r="BL199" s="1"/>
      <c r="BM199" s="1" t="s">
        <v>4150</v>
      </c>
      <c r="BN199" s="1">
        <v>40</v>
      </c>
      <c r="BO199" s="1" t="s">
        <v>4151</v>
      </c>
      <c r="BP199" s="1" t="str">
        <f>HYPERLINK("https://nconnect.nicmar.ac.in/storage/profile/ProfilePhoto_P25700139_421357.jpg","Download")</f>
        <v>0</v>
      </c>
      <c r="BQ199" s="3"/>
      <c r="BR199" s="3"/>
    </row>
    <row r="200" spans="1:70">
      <c r="A200" s="1" t="s">
        <v>70</v>
      </c>
      <c r="B200" s="1" t="s">
        <v>1269</v>
      </c>
      <c r="C200" s="1" t="s">
        <v>4152</v>
      </c>
      <c r="D200" s="1" t="s">
        <v>4153</v>
      </c>
      <c r="E200" s="1" t="s">
        <v>4154</v>
      </c>
      <c r="F200" s="1" t="s">
        <v>2024</v>
      </c>
      <c r="G200" s="1" t="s">
        <v>4155</v>
      </c>
      <c r="H200" s="1" t="s">
        <v>4156</v>
      </c>
      <c r="I200" s="1" t="s">
        <v>4157</v>
      </c>
      <c r="J200" s="1">
        <v>9067925520</v>
      </c>
      <c r="K200" s="1" t="s">
        <v>79</v>
      </c>
      <c r="L200" s="1" t="s">
        <v>4158</v>
      </c>
      <c r="M200" s="1" t="s">
        <v>81</v>
      </c>
      <c r="N200" s="1" t="s">
        <v>4159</v>
      </c>
      <c r="O200" s="1" t="s">
        <v>4160</v>
      </c>
      <c r="P200" s="1" t="s">
        <v>84</v>
      </c>
      <c r="Q200" s="1" t="s">
        <v>4161</v>
      </c>
      <c r="R200" s="1" t="s">
        <v>4162</v>
      </c>
      <c r="S200" s="1">
        <v>9860129290</v>
      </c>
      <c r="T200" s="1" t="s">
        <v>4163</v>
      </c>
      <c r="U200" s="1" t="s">
        <v>4164</v>
      </c>
      <c r="V200" s="1">
        <v>9970087332</v>
      </c>
      <c r="W200" s="1" t="s">
        <v>4165</v>
      </c>
      <c r="X200" s="1" t="s">
        <v>4166</v>
      </c>
      <c r="Y200" s="1" t="s">
        <v>1174</v>
      </c>
      <c r="Z200" s="1" t="s">
        <v>92</v>
      </c>
      <c r="AA200" s="1" t="s">
        <v>4167</v>
      </c>
      <c r="AB200" s="1" t="s">
        <v>191</v>
      </c>
      <c r="AC200" s="1" t="s">
        <v>92</v>
      </c>
      <c r="AD200" s="1">
        <v>8.18</v>
      </c>
      <c r="AE200" s="1" t="s">
        <v>93</v>
      </c>
      <c r="AF200" s="1" t="s">
        <v>4168</v>
      </c>
      <c r="AG200" s="1" t="s">
        <v>4169</v>
      </c>
      <c r="AH200" s="1" t="s">
        <v>101</v>
      </c>
      <c r="AI200" s="1" t="s">
        <v>308</v>
      </c>
      <c r="AJ200" s="1">
        <v>85.6</v>
      </c>
      <c r="AK200" s="1"/>
      <c r="AL200" s="1" t="s">
        <v>4170</v>
      </c>
      <c r="AM200" s="1" t="s">
        <v>4171</v>
      </c>
      <c r="AN200" s="1" t="s">
        <v>699</v>
      </c>
      <c r="AO200" s="1" t="s">
        <v>436</v>
      </c>
      <c r="AP200" s="1">
        <v>90.83</v>
      </c>
      <c r="AQ200" s="1"/>
      <c r="AR200" s="1"/>
      <c r="AS200" s="1"/>
      <c r="AT200" s="1"/>
      <c r="AU200" s="1"/>
      <c r="AV200" s="1"/>
      <c r="AW200" s="1"/>
      <c r="AX200" s="1" t="s">
        <v>361</v>
      </c>
      <c r="AY200" s="1" t="s">
        <v>4172</v>
      </c>
      <c r="AZ200" s="1" t="s">
        <v>897</v>
      </c>
      <c r="BA200" s="1" t="s">
        <v>1714</v>
      </c>
      <c r="BB200" s="1">
        <v>69.2</v>
      </c>
      <c r="BC200" s="1">
        <v>7.67</v>
      </c>
      <c r="BD200" s="1"/>
      <c r="BE200" s="1"/>
      <c r="BF200" s="1"/>
      <c r="BG200" s="1"/>
      <c r="BH200" s="1"/>
      <c r="BI200" s="1"/>
      <c r="BJ200" s="1" t="s">
        <v>4173</v>
      </c>
      <c r="BK200" s="1"/>
      <c r="BL200" s="1"/>
      <c r="BM200" s="1" t="s">
        <v>4174</v>
      </c>
      <c r="BN200" s="1">
        <v>13</v>
      </c>
      <c r="BO200" s="1" t="s">
        <v>4175</v>
      </c>
      <c r="BP200" s="1" t="str">
        <f>HYPERLINK("https://nconnect.nicmar.ac.in/storage/profile/ProfilePhoto_P25700140_347569.jpg","Download")</f>
        <v>0</v>
      </c>
      <c r="BQ200" s="3"/>
      <c r="BR200" s="3"/>
    </row>
    <row r="201" spans="1:70">
      <c r="A201" s="1" t="s">
        <v>70</v>
      </c>
      <c r="B201" s="1" t="s">
        <v>1269</v>
      </c>
      <c r="C201" s="1" t="s">
        <v>4176</v>
      </c>
      <c r="D201" s="1" t="s">
        <v>4177</v>
      </c>
      <c r="E201" s="1" t="s">
        <v>1875</v>
      </c>
      <c r="F201" s="1" t="s">
        <v>2191</v>
      </c>
      <c r="G201" s="1" t="s">
        <v>4178</v>
      </c>
      <c r="H201" s="1" t="s">
        <v>4179</v>
      </c>
      <c r="I201" s="1" t="s">
        <v>4180</v>
      </c>
      <c r="J201" s="1">
        <v>9544952840</v>
      </c>
      <c r="K201" s="1" t="s">
        <v>148</v>
      </c>
      <c r="L201" s="1" t="s">
        <v>4181</v>
      </c>
      <c r="M201" s="1" t="s">
        <v>81</v>
      </c>
      <c r="N201" s="1" t="s">
        <v>1485</v>
      </c>
      <c r="O201" s="1"/>
      <c r="P201" s="1" t="s">
        <v>1278</v>
      </c>
      <c r="Q201" s="1" t="s">
        <v>4182</v>
      </c>
      <c r="R201" s="1" t="s">
        <v>4183</v>
      </c>
      <c r="S201" s="1">
        <v>9961232601</v>
      </c>
      <c r="T201" s="1" t="s">
        <v>496</v>
      </c>
      <c r="U201" s="1" t="s">
        <v>4184</v>
      </c>
      <c r="V201" s="1">
        <v>9995843595</v>
      </c>
      <c r="W201" s="1" t="s">
        <v>2094</v>
      </c>
      <c r="X201" s="1" t="s">
        <v>4185</v>
      </c>
      <c r="Y201" s="1" t="s">
        <v>1260</v>
      </c>
      <c r="Z201" s="1" t="s">
        <v>125</v>
      </c>
      <c r="AA201" s="1" t="s">
        <v>4185</v>
      </c>
      <c r="AB201" s="1" t="s">
        <v>1260</v>
      </c>
      <c r="AC201" s="1" t="s">
        <v>125</v>
      </c>
      <c r="AD201" s="1">
        <v>7.56</v>
      </c>
      <c r="AE201" s="1" t="s">
        <v>93</v>
      </c>
      <c r="AF201" s="1" t="s">
        <v>4186</v>
      </c>
      <c r="AG201" s="1" t="s">
        <v>307</v>
      </c>
      <c r="AH201" s="1" t="s">
        <v>162</v>
      </c>
      <c r="AI201" s="1" t="s">
        <v>165</v>
      </c>
      <c r="AJ201" s="1">
        <v>83.6</v>
      </c>
      <c r="AK201" s="1">
        <v>8.8</v>
      </c>
      <c r="AL201" s="1" t="s">
        <v>4186</v>
      </c>
      <c r="AM201" s="1" t="s">
        <v>307</v>
      </c>
      <c r="AN201" s="1" t="s">
        <v>101</v>
      </c>
      <c r="AO201" s="1" t="s">
        <v>1065</v>
      </c>
      <c r="AP201" s="1">
        <v>60.6</v>
      </c>
      <c r="AQ201" s="1">
        <v>6</v>
      </c>
      <c r="AR201" s="1"/>
      <c r="AS201" s="1"/>
      <c r="AT201" s="1"/>
      <c r="AU201" s="1"/>
      <c r="AV201" s="1"/>
      <c r="AW201" s="1"/>
      <c r="AX201" s="1" t="s">
        <v>132</v>
      </c>
      <c r="AY201" s="1" t="s">
        <v>4187</v>
      </c>
      <c r="AZ201" s="1" t="s">
        <v>310</v>
      </c>
      <c r="BA201" s="1" t="s">
        <v>202</v>
      </c>
      <c r="BB201" s="1">
        <v>65.5</v>
      </c>
      <c r="BC201" s="1">
        <v>6.55</v>
      </c>
      <c r="BD201" s="1"/>
      <c r="BE201" s="1"/>
      <c r="BF201" s="1"/>
      <c r="BG201" s="1"/>
      <c r="BH201" s="1"/>
      <c r="BI201" s="1"/>
      <c r="BJ201" s="1" t="s">
        <v>4188</v>
      </c>
      <c r="BK201" s="1"/>
      <c r="BL201" s="1"/>
      <c r="BM201" s="1" t="s">
        <v>4189</v>
      </c>
      <c r="BN201" s="1">
        <v>9</v>
      </c>
      <c r="BO201" s="1"/>
      <c r="BP201" s="1" t="str">
        <f>HYPERLINK("https://nconnect.nicmar.ac.in/storage/profile/ProfilePhoto_P25700141_362759.jpg","Download")</f>
        <v>0</v>
      </c>
      <c r="BQ201" s="3"/>
      <c r="BR201" s="3"/>
    </row>
    <row r="202" spans="1:70">
      <c r="A202" s="1" t="s">
        <v>70</v>
      </c>
      <c r="B202" s="1" t="s">
        <v>1269</v>
      </c>
      <c r="C202" s="1" t="s">
        <v>4190</v>
      </c>
      <c r="D202" s="1" t="s">
        <v>4191</v>
      </c>
      <c r="E202" s="1"/>
      <c r="F202" s="1" t="s">
        <v>2210</v>
      </c>
      <c r="G202" s="1" t="s">
        <v>4192</v>
      </c>
      <c r="H202" s="1" t="s">
        <v>4193</v>
      </c>
      <c r="I202" s="1" t="s">
        <v>4194</v>
      </c>
      <c r="J202" s="1">
        <v>8576913349</v>
      </c>
      <c r="K202" s="1" t="s">
        <v>79</v>
      </c>
      <c r="L202" s="1" t="s">
        <v>4195</v>
      </c>
      <c r="M202" s="1" t="s">
        <v>81</v>
      </c>
      <c r="N202" s="1" t="s">
        <v>4196</v>
      </c>
      <c r="O202" s="1"/>
      <c r="P202" s="1" t="s">
        <v>1323</v>
      </c>
      <c r="Q202" s="1" t="s">
        <v>4197</v>
      </c>
      <c r="R202" s="1" t="s">
        <v>4198</v>
      </c>
      <c r="S202" s="1">
        <v>9415767684</v>
      </c>
      <c r="T202" s="1" t="s">
        <v>4199</v>
      </c>
      <c r="U202" s="1" t="s">
        <v>4200</v>
      </c>
      <c r="V202" s="1">
        <v>7880669985</v>
      </c>
      <c r="W202" s="1" t="s">
        <v>2094</v>
      </c>
      <c r="X202" s="1" t="s">
        <v>4201</v>
      </c>
      <c r="Y202" s="1" t="s">
        <v>1912</v>
      </c>
      <c r="Z202" s="1" t="s">
        <v>1355</v>
      </c>
      <c r="AA202" s="1" t="s">
        <v>4201</v>
      </c>
      <c r="AB202" s="1" t="s">
        <v>1912</v>
      </c>
      <c r="AC202" s="1" t="s">
        <v>1355</v>
      </c>
      <c r="AD202" s="1">
        <v>7.66</v>
      </c>
      <c r="AE202" s="1" t="s">
        <v>93</v>
      </c>
      <c r="AF202" s="1" t="s">
        <v>4202</v>
      </c>
      <c r="AG202" s="1" t="s">
        <v>4203</v>
      </c>
      <c r="AH202" s="1" t="s">
        <v>477</v>
      </c>
      <c r="AI202" s="1" t="s">
        <v>131</v>
      </c>
      <c r="AJ202" s="1">
        <v>78.6</v>
      </c>
      <c r="AK202" s="1">
        <v>0</v>
      </c>
      <c r="AL202" s="1" t="s">
        <v>4204</v>
      </c>
      <c r="AM202" s="1" t="s">
        <v>307</v>
      </c>
      <c r="AN202" s="1" t="s">
        <v>279</v>
      </c>
      <c r="AO202" s="1" t="s">
        <v>165</v>
      </c>
      <c r="AP202" s="1">
        <v>67.8</v>
      </c>
      <c r="AQ202" s="1">
        <v>0</v>
      </c>
      <c r="AR202" s="1"/>
      <c r="AS202" s="1"/>
      <c r="AT202" s="1"/>
      <c r="AU202" s="1"/>
      <c r="AV202" s="1"/>
      <c r="AW202" s="1"/>
      <c r="AX202" s="1" t="s">
        <v>3432</v>
      </c>
      <c r="AY202" s="1" t="s">
        <v>4205</v>
      </c>
      <c r="AZ202" s="1" t="s">
        <v>383</v>
      </c>
      <c r="BA202" s="1" t="s">
        <v>135</v>
      </c>
      <c r="BB202" s="1">
        <v>71.33</v>
      </c>
      <c r="BC202" s="1">
        <v>6.28</v>
      </c>
      <c r="BD202" s="1"/>
      <c r="BE202" s="1"/>
      <c r="BF202" s="1"/>
      <c r="BG202" s="1"/>
      <c r="BH202" s="1"/>
      <c r="BI202" s="1"/>
      <c r="BJ202" s="1" t="s">
        <v>255</v>
      </c>
      <c r="BK202" s="1" t="s">
        <v>4206</v>
      </c>
      <c r="BL202" s="1" t="s">
        <v>4207</v>
      </c>
      <c r="BM202" s="1" t="s">
        <v>4208</v>
      </c>
      <c r="BN202" s="1">
        <v>12</v>
      </c>
      <c r="BO202" s="1"/>
      <c r="BP202" s="1" t="str">
        <f>HYPERLINK("https://nconnect.nicmar.ac.in/storage/profile/ProfilePhoto_P25700142_683421.jpg","Download")</f>
        <v>0</v>
      </c>
      <c r="BQ202" s="3"/>
      <c r="BR202" s="3"/>
    </row>
    <row r="203" spans="1:70">
      <c r="A203" s="1" t="s">
        <v>70</v>
      </c>
      <c r="B203" s="1" t="s">
        <v>1269</v>
      </c>
      <c r="C203" s="1" t="s">
        <v>4209</v>
      </c>
      <c r="D203" s="1" t="s">
        <v>4210</v>
      </c>
      <c r="E203" s="1"/>
      <c r="F203" s="1" t="s">
        <v>4211</v>
      </c>
      <c r="G203" s="1" t="s">
        <v>4212</v>
      </c>
      <c r="H203" s="1" t="s">
        <v>4213</v>
      </c>
      <c r="I203" s="1" t="s">
        <v>4214</v>
      </c>
      <c r="J203" s="1">
        <v>9672384492</v>
      </c>
      <c r="K203" s="1" t="s">
        <v>148</v>
      </c>
      <c r="L203" s="1" t="s">
        <v>4215</v>
      </c>
      <c r="M203" s="1" t="s">
        <v>81</v>
      </c>
      <c r="N203" s="1" t="s">
        <v>241</v>
      </c>
      <c r="O203" s="1"/>
      <c r="P203" s="1" t="s">
        <v>1298</v>
      </c>
      <c r="Q203" s="1" t="s">
        <v>4216</v>
      </c>
      <c r="R203" s="1" t="s">
        <v>4217</v>
      </c>
      <c r="S203" s="1">
        <v>9302820540</v>
      </c>
      <c r="T203" s="1" t="s">
        <v>4218</v>
      </c>
      <c r="U203" s="1" t="s">
        <v>4219</v>
      </c>
      <c r="V203" s="1">
        <v>8269395849</v>
      </c>
      <c r="W203" s="1" t="s">
        <v>89</v>
      </c>
      <c r="X203" s="1" t="s">
        <v>4220</v>
      </c>
      <c r="Y203" s="1" t="s">
        <v>4221</v>
      </c>
      <c r="Z203" s="1" t="s">
        <v>936</v>
      </c>
      <c r="AA203" s="1" t="s">
        <v>4220</v>
      </c>
      <c r="AB203" s="1" t="s">
        <v>4221</v>
      </c>
      <c r="AC203" s="1" t="s">
        <v>936</v>
      </c>
      <c r="AD203" s="1">
        <v>8.31</v>
      </c>
      <c r="AE203" s="1" t="s">
        <v>93</v>
      </c>
      <c r="AF203" s="1" t="s">
        <v>4222</v>
      </c>
      <c r="AG203" s="1" t="s">
        <v>307</v>
      </c>
      <c r="AH203" s="1" t="s">
        <v>4223</v>
      </c>
      <c r="AI203" s="1" t="s">
        <v>1197</v>
      </c>
      <c r="AJ203" s="1">
        <v>85.5</v>
      </c>
      <c r="AK203" s="1">
        <v>9</v>
      </c>
      <c r="AL203" s="1" t="s">
        <v>4222</v>
      </c>
      <c r="AM203" s="1" t="s">
        <v>4224</v>
      </c>
      <c r="AN203" s="1" t="s">
        <v>503</v>
      </c>
      <c r="AO203" s="1" t="s">
        <v>527</v>
      </c>
      <c r="AP203" s="1">
        <v>65.4</v>
      </c>
      <c r="AQ203" s="1"/>
      <c r="AR203" s="1"/>
      <c r="AS203" s="1"/>
      <c r="AT203" s="1"/>
      <c r="AU203" s="1"/>
      <c r="AV203" s="1"/>
      <c r="AW203" s="1"/>
      <c r="AX203" s="1" t="s">
        <v>4225</v>
      </c>
      <c r="AY203" s="1" t="s">
        <v>4225</v>
      </c>
      <c r="AZ203" s="1" t="s">
        <v>134</v>
      </c>
      <c r="BA203" s="1" t="s">
        <v>1131</v>
      </c>
      <c r="BB203" s="1">
        <v>63.45</v>
      </c>
      <c r="BC203" s="1">
        <v>6.98</v>
      </c>
      <c r="BD203" s="1"/>
      <c r="BE203" s="1"/>
      <c r="BF203" s="1"/>
      <c r="BG203" s="1"/>
      <c r="BH203" s="1"/>
      <c r="BI203" s="1"/>
      <c r="BJ203" s="1" t="s">
        <v>4226</v>
      </c>
      <c r="BK203" s="1" t="s">
        <v>4227</v>
      </c>
      <c r="BL203" s="1" t="s">
        <v>1202</v>
      </c>
      <c r="BM203" s="1" t="s">
        <v>4228</v>
      </c>
      <c r="BN203" s="1">
        <v>19</v>
      </c>
      <c r="BO203" s="1"/>
      <c r="BP203" s="1" t="str">
        <f>HYPERLINK("https://nconnect.nicmar.ac.in/storage/profile/ProfilePhoto_P25700143_172536.jpg","Download")</f>
        <v>0</v>
      </c>
      <c r="BQ203" s="3"/>
      <c r="BR203" s="3"/>
    </row>
    <row r="204" spans="1:70">
      <c r="A204" s="1" t="s">
        <v>70</v>
      </c>
      <c r="B204" s="1" t="s">
        <v>1269</v>
      </c>
      <c r="C204" s="1" t="s">
        <v>4229</v>
      </c>
      <c r="D204" s="1" t="s">
        <v>4230</v>
      </c>
      <c r="E204" s="1" t="s">
        <v>4231</v>
      </c>
      <c r="F204" s="1" t="s">
        <v>4232</v>
      </c>
      <c r="G204" s="1" t="s">
        <v>4233</v>
      </c>
      <c r="H204" s="1" t="s">
        <v>4234</v>
      </c>
      <c r="I204" s="1" t="s">
        <v>4235</v>
      </c>
      <c r="J204" s="1">
        <v>7083023252</v>
      </c>
      <c r="K204" s="1" t="s">
        <v>148</v>
      </c>
      <c r="L204" s="1" t="s">
        <v>4236</v>
      </c>
      <c r="M204" s="1" t="s">
        <v>81</v>
      </c>
      <c r="N204" s="1" t="s">
        <v>860</v>
      </c>
      <c r="O204" s="1" t="s">
        <v>4237</v>
      </c>
      <c r="P204" s="1" t="s">
        <v>84</v>
      </c>
      <c r="Q204" s="1" t="s">
        <v>4238</v>
      </c>
      <c r="R204" s="1" t="s">
        <v>4239</v>
      </c>
      <c r="S204" s="1">
        <v>9326969111</v>
      </c>
      <c r="T204" s="1" t="s">
        <v>4240</v>
      </c>
      <c r="U204" s="1" t="s">
        <v>4241</v>
      </c>
      <c r="V204" s="1">
        <v>9325354255</v>
      </c>
      <c r="W204" s="1" t="s">
        <v>4242</v>
      </c>
      <c r="X204" s="1" t="s">
        <v>4243</v>
      </c>
      <c r="Y204" s="1" t="s">
        <v>405</v>
      </c>
      <c r="Z204" s="1" t="s">
        <v>92</v>
      </c>
      <c r="AA204" s="1" t="s">
        <v>4244</v>
      </c>
      <c r="AB204" s="1" t="s">
        <v>405</v>
      </c>
      <c r="AC204" s="1" t="s">
        <v>92</v>
      </c>
      <c r="AD204" s="1">
        <v>9.0</v>
      </c>
      <c r="AE204" s="1" t="s">
        <v>93</v>
      </c>
      <c r="AF204" s="1" t="s">
        <v>4245</v>
      </c>
      <c r="AG204" s="1" t="s">
        <v>4246</v>
      </c>
      <c r="AH204" s="1" t="s">
        <v>3105</v>
      </c>
      <c r="AI204" s="1" t="s">
        <v>456</v>
      </c>
      <c r="AJ204" s="1">
        <v>89.8</v>
      </c>
      <c r="AK204" s="1"/>
      <c r="AL204" s="1" t="s">
        <v>4247</v>
      </c>
      <c r="AM204" s="1" t="s">
        <v>4246</v>
      </c>
      <c r="AN204" s="1" t="s">
        <v>162</v>
      </c>
      <c r="AO204" s="1" t="s">
        <v>457</v>
      </c>
      <c r="AP204" s="1">
        <v>69.08</v>
      </c>
      <c r="AQ204" s="1"/>
      <c r="AR204" s="1"/>
      <c r="AS204" s="1"/>
      <c r="AT204" s="1"/>
      <c r="AU204" s="1"/>
      <c r="AV204" s="1"/>
      <c r="AW204" s="1"/>
      <c r="AX204" s="1" t="s">
        <v>4248</v>
      </c>
      <c r="AY204" s="1" t="s">
        <v>3924</v>
      </c>
      <c r="AZ204" s="1" t="s">
        <v>101</v>
      </c>
      <c r="BA204" s="1" t="s">
        <v>174</v>
      </c>
      <c r="BB204" s="1">
        <v>73.3</v>
      </c>
      <c r="BC204" s="1"/>
      <c r="BD204" s="1"/>
      <c r="BE204" s="1"/>
      <c r="BF204" s="1"/>
      <c r="BG204" s="1"/>
      <c r="BH204" s="1"/>
      <c r="BI204" s="1"/>
      <c r="BJ204" s="1" t="s">
        <v>4249</v>
      </c>
      <c r="BK204" s="1" t="s">
        <v>4250</v>
      </c>
      <c r="BL204" s="1" t="s">
        <v>3246</v>
      </c>
      <c r="BM204" s="1" t="s">
        <v>4251</v>
      </c>
      <c r="BN204" s="1">
        <v>43</v>
      </c>
      <c r="BO204" s="1" t="s">
        <v>4252</v>
      </c>
      <c r="BP204" s="1" t="str">
        <f>HYPERLINK("https://nconnect.nicmar.ac.in/storage/profile/ProfilePhoto_P25700144_267184.jpg","Download")</f>
        <v>0</v>
      </c>
      <c r="BQ204" s="3"/>
      <c r="BR204" s="3"/>
    </row>
    <row r="205" spans="1:70">
      <c r="A205" s="1" t="s">
        <v>70</v>
      </c>
      <c r="B205" s="1" t="s">
        <v>1269</v>
      </c>
      <c r="C205" s="1" t="s">
        <v>4253</v>
      </c>
      <c r="D205" s="1" t="s">
        <v>2717</v>
      </c>
      <c r="E205" s="1"/>
      <c r="F205" s="1" t="s">
        <v>4254</v>
      </c>
      <c r="G205" s="1" t="s">
        <v>4255</v>
      </c>
      <c r="H205" s="1" t="s">
        <v>4256</v>
      </c>
      <c r="I205" s="1" t="s">
        <v>4257</v>
      </c>
      <c r="J205" s="1">
        <v>7095686464</v>
      </c>
      <c r="K205" s="1" t="s">
        <v>79</v>
      </c>
      <c r="L205" s="1" t="s">
        <v>4258</v>
      </c>
      <c r="M205" s="1" t="s">
        <v>81</v>
      </c>
      <c r="N205" s="1" t="s">
        <v>4259</v>
      </c>
      <c r="O205" s="1"/>
      <c r="P205" s="1" t="s">
        <v>1278</v>
      </c>
      <c r="Q205" s="1" t="s">
        <v>4260</v>
      </c>
      <c r="R205" s="1" t="s">
        <v>4261</v>
      </c>
      <c r="S205" s="1">
        <v>9440917196</v>
      </c>
      <c r="T205" s="1" t="s">
        <v>4262</v>
      </c>
      <c r="U205" s="1" t="s">
        <v>4263</v>
      </c>
      <c r="V205" s="1">
        <v>9492335142</v>
      </c>
      <c r="W205" s="1" t="s">
        <v>273</v>
      </c>
      <c r="X205" s="1" t="s">
        <v>4264</v>
      </c>
      <c r="Y205" s="1" t="s">
        <v>4265</v>
      </c>
      <c r="Z205" s="1" t="s">
        <v>276</v>
      </c>
      <c r="AA205" s="1" t="s">
        <v>4264</v>
      </c>
      <c r="AB205" s="1" t="s">
        <v>4265</v>
      </c>
      <c r="AC205" s="1" t="s">
        <v>276</v>
      </c>
      <c r="AD205" s="1">
        <v>9.6</v>
      </c>
      <c r="AE205" s="1" t="s">
        <v>93</v>
      </c>
      <c r="AF205" s="1" t="s">
        <v>4266</v>
      </c>
      <c r="AG205" s="1" t="s">
        <v>4267</v>
      </c>
      <c r="AH205" s="1" t="s">
        <v>97</v>
      </c>
      <c r="AI205" s="1" t="s">
        <v>678</v>
      </c>
      <c r="AJ205" s="1">
        <v>95</v>
      </c>
      <c r="AK205" s="1">
        <v>10</v>
      </c>
      <c r="AL205" s="1" t="s">
        <v>4268</v>
      </c>
      <c r="AM205" s="1" t="s">
        <v>3298</v>
      </c>
      <c r="AN205" s="1" t="s">
        <v>165</v>
      </c>
      <c r="AO205" s="1" t="s">
        <v>308</v>
      </c>
      <c r="AP205" s="1">
        <v>93.2</v>
      </c>
      <c r="AQ205" s="1">
        <v>9.32</v>
      </c>
      <c r="AR205" s="1"/>
      <c r="AS205" s="1"/>
      <c r="AT205" s="1"/>
      <c r="AU205" s="1"/>
      <c r="AV205" s="1"/>
      <c r="AW205" s="1"/>
      <c r="AX205" s="1" t="s">
        <v>4268</v>
      </c>
      <c r="AY205" s="1" t="s">
        <v>4269</v>
      </c>
      <c r="AZ205" s="1" t="s">
        <v>433</v>
      </c>
      <c r="BA205" s="1" t="s">
        <v>682</v>
      </c>
      <c r="BB205" s="1">
        <v>98</v>
      </c>
      <c r="BC205" s="1">
        <v>9.8</v>
      </c>
      <c r="BD205" s="1"/>
      <c r="BE205" s="1"/>
      <c r="BF205" s="1"/>
      <c r="BG205" s="1"/>
      <c r="BH205" s="1"/>
      <c r="BI205" s="1"/>
      <c r="BJ205" s="1" t="s">
        <v>4270</v>
      </c>
      <c r="BK205" s="1"/>
      <c r="BL205" s="1"/>
      <c r="BM205" s="1" t="s">
        <v>4271</v>
      </c>
      <c r="BN205" s="1">
        <v>7</v>
      </c>
      <c r="BO205" s="1" t="s">
        <v>4272</v>
      </c>
      <c r="BP205" s="1" t="str">
        <f>HYPERLINK("https://nconnect.nicmar.ac.in/storage/profile/ProfilePhoto_P25700145_843721.jpg","Download")</f>
        <v>0</v>
      </c>
      <c r="BQ205" s="3"/>
      <c r="BR205" s="3"/>
    </row>
    <row r="206" spans="1:70">
      <c r="A206" s="1" t="s">
        <v>70</v>
      </c>
      <c r="B206" s="1" t="s">
        <v>1269</v>
      </c>
      <c r="C206" s="1" t="s">
        <v>4273</v>
      </c>
      <c r="D206" s="1" t="s">
        <v>4274</v>
      </c>
      <c r="E206" s="1" t="s">
        <v>111</v>
      </c>
      <c r="F206" s="1" t="s">
        <v>112</v>
      </c>
      <c r="G206" s="1" t="s">
        <v>4275</v>
      </c>
      <c r="H206" s="1" t="s">
        <v>4276</v>
      </c>
      <c r="I206" s="1" t="s">
        <v>4277</v>
      </c>
      <c r="J206" s="1">
        <v>8075638788</v>
      </c>
      <c r="K206" s="1" t="s">
        <v>148</v>
      </c>
      <c r="L206" s="1" t="s">
        <v>4278</v>
      </c>
      <c r="M206" s="1" t="s">
        <v>81</v>
      </c>
      <c r="N206" s="1" t="s">
        <v>4279</v>
      </c>
      <c r="O206" s="1"/>
      <c r="P206" s="1" t="s">
        <v>1323</v>
      </c>
      <c r="Q206" s="1" t="s">
        <v>4280</v>
      </c>
      <c r="R206" s="1" t="s">
        <v>4281</v>
      </c>
      <c r="S206" s="1">
        <v>9495224246</v>
      </c>
      <c r="T206" s="1" t="s">
        <v>4282</v>
      </c>
      <c r="U206" s="1" t="s">
        <v>4283</v>
      </c>
      <c r="V206" s="1">
        <v>9496226561</v>
      </c>
      <c r="W206" s="1" t="s">
        <v>4284</v>
      </c>
      <c r="X206" s="1" t="s">
        <v>4285</v>
      </c>
      <c r="Y206" s="1" t="s">
        <v>1491</v>
      </c>
      <c r="Z206" s="1" t="s">
        <v>125</v>
      </c>
      <c r="AA206" s="1" t="s">
        <v>4285</v>
      </c>
      <c r="AB206" s="1" t="s">
        <v>1491</v>
      </c>
      <c r="AC206" s="1" t="s">
        <v>125</v>
      </c>
      <c r="AD206" s="1">
        <v>7.99</v>
      </c>
      <c r="AE206" s="1" t="s">
        <v>93</v>
      </c>
      <c r="AF206" s="1" t="s">
        <v>4286</v>
      </c>
      <c r="AG206" s="1" t="s">
        <v>4287</v>
      </c>
      <c r="AH206" s="1" t="s">
        <v>527</v>
      </c>
      <c r="AI206" s="1" t="s">
        <v>195</v>
      </c>
      <c r="AJ206" s="1">
        <v>86.66</v>
      </c>
      <c r="AK206" s="1"/>
      <c r="AL206" s="1" t="s">
        <v>4286</v>
      </c>
      <c r="AM206" s="1" t="s">
        <v>4288</v>
      </c>
      <c r="AN206" s="1" t="s">
        <v>165</v>
      </c>
      <c r="AO206" s="1" t="s">
        <v>409</v>
      </c>
      <c r="AP206" s="1">
        <v>78.1</v>
      </c>
      <c r="AQ206" s="1"/>
      <c r="AR206" s="1"/>
      <c r="AS206" s="1"/>
      <c r="AT206" s="1"/>
      <c r="AU206" s="1"/>
      <c r="AV206" s="1"/>
      <c r="AW206" s="1"/>
      <c r="AX206" s="1" t="s">
        <v>132</v>
      </c>
      <c r="AY206" s="1" t="s">
        <v>4289</v>
      </c>
      <c r="AZ206" s="1" t="s">
        <v>310</v>
      </c>
      <c r="BA206" s="1" t="s">
        <v>174</v>
      </c>
      <c r="BB206" s="1">
        <v>70.8</v>
      </c>
      <c r="BC206" s="1">
        <v>7.08</v>
      </c>
      <c r="BD206" s="1"/>
      <c r="BE206" s="1"/>
      <c r="BF206" s="1"/>
      <c r="BG206" s="1"/>
      <c r="BH206" s="1"/>
      <c r="BI206" s="1"/>
      <c r="BJ206" s="1" t="s">
        <v>4290</v>
      </c>
      <c r="BK206" s="1" t="s">
        <v>4291</v>
      </c>
      <c r="BL206" s="1" t="s">
        <v>1920</v>
      </c>
      <c r="BM206" s="1" t="s">
        <v>4292</v>
      </c>
      <c r="BN206" s="1">
        <v>9</v>
      </c>
      <c r="BO206" s="1"/>
      <c r="BP206" s="1" t="str">
        <f>HYPERLINK("https://nconnect.nicmar.ac.in/storage/profile/ProfilePhoto_P25700146_681345.jpg","Download")</f>
        <v>0</v>
      </c>
      <c r="BQ206" s="3"/>
      <c r="BR206" s="3"/>
    </row>
    <row r="207" spans="1:70">
      <c r="A207" s="1" t="s">
        <v>70</v>
      </c>
      <c r="B207" s="1" t="s">
        <v>1269</v>
      </c>
      <c r="C207" s="1" t="s">
        <v>4293</v>
      </c>
      <c r="D207" s="1" t="s">
        <v>643</v>
      </c>
      <c r="E207" s="1" t="s">
        <v>4294</v>
      </c>
      <c r="F207" s="1" t="s">
        <v>4295</v>
      </c>
      <c r="G207" s="1" t="s">
        <v>4296</v>
      </c>
      <c r="H207" s="1" t="s">
        <v>4297</v>
      </c>
      <c r="I207" s="1" t="s">
        <v>4298</v>
      </c>
      <c r="J207" s="1">
        <v>7057998763</v>
      </c>
      <c r="K207" s="1" t="s">
        <v>79</v>
      </c>
      <c r="L207" s="1" t="s">
        <v>4299</v>
      </c>
      <c r="M207" s="1" t="s">
        <v>81</v>
      </c>
      <c r="N207" s="1" t="s">
        <v>4300</v>
      </c>
      <c r="O207" s="1"/>
      <c r="P207" s="1" t="s">
        <v>1298</v>
      </c>
      <c r="Q207" s="1" t="s">
        <v>4301</v>
      </c>
      <c r="R207" s="1" t="s">
        <v>4294</v>
      </c>
      <c r="S207" s="1">
        <v>7020753253</v>
      </c>
      <c r="T207" s="1" t="s">
        <v>377</v>
      </c>
      <c r="U207" s="1" t="s">
        <v>4302</v>
      </c>
      <c r="V207" s="1">
        <v>7020753052</v>
      </c>
      <c r="W207" s="1" t="s">
        <v>122</v>
      </c>
      <c r="X207" s="1" t="s">
        <v>4303</v>
      </c>
      <c r="Y207" s="1" t="s">
        <v>328</v>
      </c>
      <c r="Z207" s="1" t="s">
        <v>92</v>
      </c>
      <c r="AA207" s="1" t="s">
        <v>4303</v>
      </c>
      <c r="AB207" s="1" t="s">
        <v>328</v>
      </c>
      <c r="AC207" s="1" t="s">
        <v>92</v>
      </c>
      <c r="AD207" s="1">
        <v>8.36</v>
      </c>
      <c r="AE207" s="1" t="s">
        <v>93</v>
      </c>
      <c r="AF207" s="1" t="s">
        <v>4304</v>
      </c>
      <c r="AG207" s="1" t="s">
        <v>4305</v>
      </c>
      <c r="AH207" s="1" t="s">
        <v>279</v>
      </c>
      <c r="AI207" s="1" t="s">
        <v>195</v>
      </c>
      <c r="AJ207" s="1">
        <v>72.8</v>
      </c>
      <c r="AK207" s="1"/>
      <c r="AL207" s="1" t="s">
        <v>4306</v>
      </c>
      <c r="AM207" s="1" t="s">
        <v>4305</v>
      </c>
      <c r="AN207" s="1" t="s">
        <v>457</v>
      </c>
      <c r="AO207" s="1" t="s">
        <v>198</v>
      </c>
      <c r="AP207" s="1">
        <v>64.92</v>
      </c>
      <c r="AQ207" s="1"/>
      <c r="AR207" s="1"/>
      <c r="AS207" s="1"/>
      <c r="AT207" s="1"/>
      <c r="AU207" s="1"/>
      <c r="AV207" s="1"/>
      <c r="AW207" s="1"/>
      <c r="AX207" s="1" t="s">
        <v>335</v>
      </c>
      <c r="AY207" s="1" t="s">
        <v>4307</v>
      </c>
      <c r="AZ207" s="1" t="s">
        <v>201</v>
      </c>
      <c r="BA207" s="1" t="s">
        <v>174</v>
      </c>
      <c r="BB207" s="1">
        <v>73.7</v>
      </c>
      <c r="BC207" s="1">
        <v>8.48</v>
      </c>
      <c r="BD207" s="1"/>
      <c r="BE207" s="1"/>
      <c r="BF207" s="1"/>
      <c r="BG207" s="1"/>
      <c r="BH207" s="1"/>
      <c r="BI207" s="1"/>
      <c r="BJ207" s="1" t="s">
        <v>4173</v>
      </c>
      <c r="BK207" s="1"/>
      <c r="BL207" s="1"/>
      <c r="BM207" s="1" t="s">
        <v>4308</v>
      </c>
      <c r="BN207" s="1">
        <v>75</v>
      </c>
      <c r="BO207" s="1"/>
      <c r="BP207" s="1" t="str">
        <f>HYPERLINK("https://nconnect.nicmar.ac.in/storage/profile/ProfilePhoto_P25700147_396871.jpg","Download")</f>
        <v>0</v>
      </c>
      <c r="BQ207" s="3"/>
      <c r="BR207" s="3"/>
    </row>
    <row r="208" spans="1:70">
      <c r="A208" s="1" t="s">
        <v>70</v>
      </c>
      <c r="B208" s="1" t="s">
        <v>1269</v>
      </c>
      <c r="C208" s="1" t="s">
        <v>4309</v>
      </c>
      <c r="D208" s="1" t="s">
        <v>4310</v>
      </c>
      <c r="E208" s="1" t="s">
        <v>4311</v>
      </c>
      <c r="F208" s="1" t="s">
        <v>4312</v>
      </c>
      <c r="G208" s="1" t="s">
        <v>4313</v>
      </c>
      <c r="H208" s="1" t="s">
        <v>4314</v>
      </c>
      <c r="I208" s="1" t="s">
        <v>4315</v>
      </c>
      <c r="J208" s="1">
        <v>9912223421</v>
      </c>
      <c r="K208" s="1" t="s">
        <v>79</v>
      </c>
      <c r="L208" s="1" t="s">
        <v>4316</v>
      </c>
      <c r="M208" s="1" t="s">
        <v>81</v>
      </c>
      <c r="N208" s="1" t="s">
        <v>2621</v>
      </c>
      <c r="O208" s="1"/>
      <c r="P208" s="1" t="s">
        <v>1323</v>
      </c>
      <c r="Q208" s="1" t="s">
        <v>4317</v>
      </c>
      <c r="R208" s="1" t="s">
        <v>4318</v>
      </c>
      <c r="S208" s="1">
        <v>9666580285</v>
      </c>
      <c r="T208" s="1" t="s">
        <v>154</v>
      </c>
      <c r="U208" s="1" t="s">
        <v>4319</v>
      </c>
      <c r="V208" s="1">
        <v>7093580285</v>
      </c>
      <c r="W208" s="1" t="s">
        <v>156</v>
      </c>
      <c r="X208" s="1" t="s">
        <v>4320</v>
      </c>
      <c r="Y208" s="1" t="s">
        <v>4321</v>
      </c>
      <c r="Z208" s="1" t="s">
        <v>276</v>
      </c>
      <c r="AA208" s="1" t="s">
        <v>4320</v>
      </c>
      <c r="AB208" s="1" t="s">
        <v>4321</v>
      </c>
      <c r="AC208" s="1" t="s">
        <v>276</v>
      </c>
      <c r="AD208" s="1">
        <v>9.11</v>
      </c>
      <c r="AE208" s="1" t="s">
        <v>93</v>
      </c>
      <c r="AF208" s="1" t="s">
        <v>4322</v>
      </c>
      <c r="AG208" s="1" t="s">
        <v>3125</v>
      </c>
      <c r="AH208" s="1" t="s">
        <v>101</v>
      </c>
      <c r="AI208" s="1" t="s">
        <v>1065</v>
      </c>
      <c r="AJ208" s="1">
        <v>95</v>
      </c>
      <c r="AK208" s="1"/>
      <c r="AL208" s="1" t="s">
        <v>4323</v>
      </c>
      <c r="AM208" s="1" t="s">
        <v>1154</v>
      </c>
      <c r="AN208" s="1" t="s">
        <v>433</v>
      </c>
      <c r="AO208" s="1" t="s">
        <v>504</v>
      </c>
      <c r="AP208" s="1">
        <v>95.8</v>
      </c>
      <c r="AQ208" s="1"/>
      <c r="AR208" s="1"/>
      <c r="AS208" s="1"/>
      <c r="AT208" s="1"/>
      <c r="AU208" s="1"/>
      <c r="AV208" s="1"/>
      <c r="AW208" s="1"/>
      <c r="AX208" s="1" t="s">
        <v>3904</v>
      </c>
      <c r="AY208" s="1" t="s">
        <v>4324</v>
      </c>
      <c r="AZ208" s="1" t="s">
        <v>135</v>
      </c>
      <c r="BA208" s="1" t="s">
        <v>1408</v>
      </c>
      <c r="BB208" s="1">
        <v>73.8</v>
      </c>
      <c r="BC208" s="1">
        <v>8.13</v>
      </c>
      <c r="BD208" s="1"/>
      <c r="BE208" s="1"/>
      <c r="BF208" s="1"/>
      <c r="BG208" s="1"/>
      <c r="BH208" s="1"/>
      <c r="BI208" s="1"/>
      <c r="BJ208" s="1" t="s">
        <v>4325</v>
      </c>
      <c r="BK208" s="1"/>
      <c r="BL208" s="1"/>
      <c r="BM208" s="1" t="s">
        <v>4326</v>
      </c>
      <c r="BN208" s="1">
        <v>29</v>
      </c>
      <c r="BO208" s="1"/>
      <c r="BP208" s="1" t="str">
        <f>HYPERLINK("https://nconnect.nicmar.ac.in/storage/profile/ProfilePhoto_P25700148_324976.jpg","Download")</f>
        <v>0</v>
      </c>
      <c r="BQ208" s="3"/>
      <c r="BR208" s="3"/>
    </row>
    <row r="209" spans="1:70">
      <c r="A209" s="1" t="s">
        <v>70</v>
      </c>
      <c r="B209" s="1" t="s">
        <v>1269</v>
      </c>
      <c r="C209" s="1" t="s">
        <v>4327</v>
      </c>
      <c r="D209" s="1" t="s">
        <v>4328</v>
      </c>
      <c r="E209" s="1" t="s">
        <v>3231</v>
      </c>
      <c r="F209" s="1" t="s">
        <v>4329</v>
      </c>
      <c r="G209" s="1" t="s">
        <v>4330</v>
      </c>
      <c r="H209" s="1" t="s">
        <v>4331</v>
      </c>
      <c r="I209" s="1" t="s">
        <v>4332</v>
      </c>
      <c r="J209" s="1">
        <v>9356983364</v>
      </c>
      <c r="K209" s="1" t="s">
        <v>79</v>
      </c>
      <c r="L209" s="1" t="s">
        <v>4333</v>
      </c>
      <c r="M209" s="1" t="s">
        <v>81</v>
      </c>
      <c r="N209" s="1" t="s">
        <v>151</v>
      </c>
      <c r="O209" s="1"/>
      <c r="P209" s="1" t="s">
        <v>1278</v>
      </c>
      <c r="Q209" s="1" t="s">
        <v>4334</v>
      </c>
      <c r="R209" s="1" t="s">
        <v>3231</v>
      </c>
      <c r="S209" s="1">
        <v>9637679179</v>
      </c>
      <c r="T209" s="1" t="s">
        <v>976</v>
      </c>
      <c r="U209" s="1" t="s">
        <v>4335</v>
      </c>
      <c r="V209" s="1">
        <v>8010478216</v>
      </c>
      <c r="W209" s="1" t="s">
        <v>976</v>
      </c>
      <c r="X209" s="1" t="s">
        <v>4336</v>
      </c>
      <c r="Y209" s="1" t="s">
        <v>4337</v>
      </c>
      <c r="Z209" s="1" t="s">
        <v>92</v>
      </c>
      <c r="AA209" s="1" t="s">
        <v>4336</v>
      </c>
      <c r="AB209" s="1" t="s">
        <v>4337</v>
      </c>
      <c r="AC209" s="1" t="s">
        <v>92</v>
      </c>
      <c r="AD209" s="1">
        <v>7.59</v>
      </c>
      <c r="AE209" s="1" t="s">
        <v>93</v>
      </c>
      <c r="AF209" s="1" t="s">
        <v>4338</v>
      </c>
      <c r="AG209" s="1" t="s">
        <v>4339</v>
      </c>
      <c r="AH209" s="1" t="s">
        <v>165</v>
      </c>
      <c r="AI209" s="1" t="s">
        <v>281</v>
      </c>
      <c r="AJ209" s="1">
        <v>84</v>
      </c>
      <c r="AK209" s="1"/>
      <c r="AL209" s="1"/>
      <c r="AM209" s="1"/>
      <c r="AN209" s="1"/>
      <c r="AO209" s="1"/>
      <c r="AP209" s="1"/>
      <c r="AQ209" s="1"/>
      <c r="AR209" s="1" t="s">
        <v>434</v>
      </c>
      <c r="AS209" s="1" t="s">
        <v>4340</v>
      </c>
      <c r="AT209" s="1" t="s">
        <v>636</v>
      </c>
      <c r="AU209" s="1" t="s">
        <v>436</v>
      </c>
      <c r="AV209" s="1">
        <v>84.26</v>
      </c>
      <c r="AW209" s="1"/>
      <c r="AX209" s="1" t="s">
        <v>361</v>
      </c>
      <c r="AY209" s="1" t="s">
        <v>4341</v>
      </c>
      <c r="AZ209" s="1" t="s">
        <v>897</v>
      </c>
      <c r="BA209" s="1" t="s">
        <v>202</v>
      </c>
      <c r="BB209" s="1">
        <v>65.1</v>
      </c>
      <c r="BC209" s="1">
        <v>7.26</v>
      </c>
      <c r="BD209" s="1"/>
      <c r="BE209" s="1"/>
      <c r="BF209" s="1"/>
      <c r="BG209" s="1"/>
      <c r="BH209" s="1"/>
      <c r="BI209" s="1"/>
      <c r="BJ209" s="1" t="s">
        <v>1715</v>
      </c>
      <c r="BK209" s="1"/>
      <c r="BL209" s="1"/>
      <c r="BM209" s="1"/>
      <c r="BN209" s="1"/>
      <c r="BO209" s="1"/>
      <c r="BP209" s="1" t="str">
        <f>HYPERLINK("https://nconnect.nicmar.ac.in/storage/profile/ProfilePhoto_P25700150_725196.jpg","Download")</f>
        <v>0</v>
      </c>
      <c r="BQ209" s="3"/>
      <c r="BR209" s="3"/>
    </row>
    <row r="210" spans="1:70">
      <c r="A210" s="1" t="s">
        <v>70</v>
      </c>
      <c r="B210" s="1" t="s">
        <v>1269</v>
      </c>
      <c r="C210" s="1" t="s">
        <v>4342</v>
      </c>
      <c r="D210" s="1" t="s">
        <v>4343</v>
      </c>
      <c r="E210" s="1" t="s">
        <v>4344</v>
      </c>
      <c r="F210" s="1" t="s">
        <v>2191</v>
      </c>
      <c r="G210" s="1" t="s">
        <v>4345</v>
      </c>
      <c r="H210" s="1" t="s">
        <v>4346</v>
      </c>
      <c r="I210" s="1" t="s">
        <v>4347</v>
      </c>
      <c r="J210" s="1">
        <v>9544771062</v>
      </c>
      <c r="K210" s="1" t="s">
        <v>79</v>
      </c>
      <c r="L210" s="1" t="s">
        <v>4348</v>
      </c>
      <c r="M210" s="1" t="s">
        <v>81</v>
      </c>
      <c r="N210" s="1" t="s">
        <v>3955</v>
      </c>
      <c r="O210" s="1"/>
      <c r="P210" s="1" t="s">
        <v>1278</v>
      </c>
      <c r="Q210" s="1" t="s">
        <v>4349</v>
      </c>
      <c r="R210" s="1" t="s">
        <v>4350</v>
      </c>
      <c r="S210" s="1">
        <v>9447478542</v>
      </c>
      <c r="T210" s="1" t="s">
        <v>87</v>
      </c>
      <c r="U210" s="1" t="s">
        <v>4351</v>
      </c>
      <c r="V210" s="1">
        <v>9037255594</v>
      </c>
      <c r="W210" s="1" t="s">
        <v>122</v>
      </c>
      <c r="X210" s="1" t="s">
        <v>4352</v>
      </c>
      <c r="Y210" s="1" t="s">
        <v>4353</v>
      </c>
      <c r="Z210" s="1" t="s">
        <v>125</v>
      </c>
      <c r="AA210" s="1" t="s">
        <v>4352</v>
      </c>
      <c r="AB210" s="1" t="s">
        <v>4353</v>
      </c>
      <c r="AC210" s="1" t="s">
        <v>125</v>
      </c>
      <c r="AD210" s="1">
        <v>8.47</v>
      </c>
      <c r="AE210" s="1" t="s">
        <v>93</v>
      </c>
      <c r="AF210" s="1" t="s">
        <v>4354</v>
      </c>
      <c r="AG210" s="1" t="s">
        <v>4355</v>
      </c>
      <c r="AH210" s="1" t="s">
        <v>165</v>
      </c>
      <c r="AI210" s="1" t="s">
        <v>166</v>
      </c>
      <c r="AJ210" s="1">
        <v>82.1</v>
      </c>
      <c r="AK210" s="1"/>
      <c r="AL210" s="1" t="s">
        <v>4354</v>
      </c>
      <c r="AM210" s="1" t="s">
        <v>4355</v>
      </c>
      <c r="AN210" s="1" t="s">
        <v>433</v>
      </c>
      <c r="AO210" s="1" t="s">
        <v>173</v>
      </c>
      <c r="AP210" s="1">
        <v>90.6</v>
      </c>
      <c r="AQ210" s="1"/>
      <c r="AR210" s="1"/>
      <c r="AS210" s="1"/>
      <c r="AT210" s="1"/>
      <c r="AU210" s="1"/>
      <c r="AV210" s="1"/>
      <c r="AW210" s="1"/>
      <c r="AX210" s="1" t="s">
        <v>132</v>
      </c>
      <c r="AY210" s="1" t="s">
        <v>4356</v>
      </c>
      <c r="AZ210" s="1" t="s">
        <v>920</v>
      </c>
      <c r="BA210" s="1" t="s">
        <v>202</v>
      </c>
      <c r="BB210" s="1">
        <v>72.8</v>
      </c>
      <c r="BC210" s="1">
        <v>7.28</v>
      </c>
      <c r="BD210" s="1"/>
      <c r="BE210" s="1"/>
      <c r="BF210" s="1"/>
      <c r="BG210" s="1"/>
      <c r="BH210" s="1"/>
      <c r="BI210" s="1"/>
      <c r="BJ210" s="1" t="s">
        <v>255</v>
      </c>
      <c r="BK210" s="1"/>
      <c r="BL210" s="1"/>
      <c r="BM210" s="1" t="s">
        <v>4357</v>
      </c>
      <c r="BN210" s="1">
        <v>32</v>
      </c>
      <c r="BO210" s="1"/>
      <c r="BP210" s="1" t="str">
        <f>HYPERLINK("https://nconnect.nicmar.ac.in/storage/profile/ProfilePhoto_P25700151_798532.jpg","Download")</f>
        <v>0</v>
      </c>
      <c r="BQ210" s="3"/>
      <c r="BR210" s="3"/>
    </row>
    <row r="211" spans="1:70">
      <c r="A211" s="1" t="s">
        <v>70</v>
      </c>
      <c r="B211" s="1" t="s">
        <v>1269</v>
      </c>
      <c r="C211" s="1" t="s">
        <v>4358</v>
      </c>
      <c r="D211" s="1" t="s">
        <v>4359</v>
      </c>
      <c r="E211" s="1" t="s">
        <v>4360</v>
      </c>
      <c r="F211" s="1" t="s">
        <v>4361</v>
      </c>
      <c r="G211" s="1" t="s">
        <v>4362</v>
      </c>
      <c r="H211" s="1" t="s">
        <v>4363</v>
      </c>
      <c r="I211" s="1" t="s">
        <v>4364</v>
      </c>
      <c r="J211" s="1">
        <v>9370223063</v>
      </c>
      <c r="K211" s="1" t="s">
        <v>79</v>
      </c>
      <c r="L211" s="1" t="s">
        <v>4365</v>
      </c>
      <c r="M211" s="1" t="s">
        <v>81</v>
      </c>
      <c r="N211" s="1" t="s">
        <v>1618</v>
      </c>
      <c r="O211" s="1"/>
      <c r="P211" s="1" t="s">
        <v>1298</v>
      </c>
      <c r="Q211" s="1" t="s">
        <v>4366</v>
      </c>
      <c r="R211" s="1" t="s">
        <v>4360</v>
      </c>
      <c r="S211" s="1">
        <v>9561241685</v>
      </c>
      <c r="T211" s="1" t="s">
        <v>87</v>
      </c>
      <c r="U211" s="1" t="s">
        <v>4367</v>
      </c>
      <c r="V211" s="1">
        <v>8788521371</v>
      </c>
      <c r="W211" s="1" t="s">
        <v>4368</v>
      </c>
      <c r="X211" s="1" t="s">
        <v>4369</v>
      </c>
      <c r="Y211" s="1" t="s">
        <v>191</v>
      </c>
      <c r="Z211" s="1" t="s">
        <v>92</v>
      </c>
      <c r="AA211" s="1" t="s">
        <v>4369</v>
      </c>
      <c r="AB211" s="1" t="s">
        <v>191</v>
      </c>
      <c r="AC211" s="1" t="s">
        <v>92</v>
      </c>
      <c r="AD211" s="1">
        <v>7.15</v>
      </c>
      <c r="AE211" s="1" t="s">
        <v>93</v>
      </c>
      <c r="AF211" s="1" t="s">
        <v>4370</v>
      </c>
      <c r="AG211" s="1" t="s">
        <v>160</v>
      </c>
      <c r="AH211" s="1" t="s">
        <v>998</v>
      </c>
      <c r="AI211" s="1" t="s">
        <v>101</v>
      </c>
      <c r="AJ211" s="1">
        <v>78.8</v>
      </c>
      <c r="AK211" s="1"/>
      <c r="AL211" s="1"/>
      <c r="AM211" s="1"/>
      <c r="AN211" s="1"/>
      <c r="AO211" s="1"/>
      <c r="AP211" s="1"/>
      <c r="AQ211" s="1"/>
      <c r="AR211" s="1" t="s">
        <v>434</v>
      </c>
      <c r="AS211" s="1" t="s">
        <v>4371</v>
      </c>
      <c r="AT211" s="1" t="s">
        <v>101</v>
      </c>
      <c r="AU211" s="1" t="s">
        <v>481</v>
      </c>
      <c r="AV211" s="1">
        <v>68.89</v>
      </c>
      <c r="AW211" s="1"/>
      <c r="AX211" s="1" t="s">
        <v>361</v>
      </c>
      <c r="AY211" s="1" t="s">
        <v>4372</v>
      </c>
      <c r="AZ211" s="1" t="s">
        <v>616</v>
      </c>
      <c r="BA211" s="1" t="s">
        <v>1714</v>
      </c>
      <c r="BB211" s="1">
        <v>69</v>
      </c>
      <c r="BC211" s="1"/>
      <c r="BD211" s="1"/>
      <c r="BE211" s="1"/>
      <c r="BF211" s="1"/>
      <c r="BG211" s="1"/>
      <c r="BH211" s="1"/>
      <c r="BI211" s="1"/>
      <c r="BJ211" s="1" t="s">
        <v>1383</v>
      </c>
      <c r="BK211" s="1"/>
      <c r="BL211" s="1"/>
      <c r="BM211" s="1" t="s">
        <v>4373</v>
      </c>
      <c r="BN211" s="1">
        <v>26</v>
      </c>
      <c r="BO211" s="1"/>
      <c r="BP211" s="1" t="str">
        <f>HYPERLINK("https://nconnect.nicmar.ac.in/storage/profile/ProfilePhoto_P25700152_346972.jpg","Download")</f>
        <v>0</v>
      </c>
      <c r="BQ211" s="3"/>
      <c r="BR211" s="3"/>
    </row>
    <row r="212" spans="1:70">
      <c r="A212" s="1" t="s">
        <v>70</v>
      </c>
      <c r="B212" s="1" t="s">
        <v>1269</v>
      </c>
      <c r="C212" s="1" t="s">
        <v>4374</v>
      </c>
      <c r="D212" s="1" t="s">
        <v>4375</v>
      </c>
      <c r="E212" s="1"/>
      <c r="F212" s="1" t="s">
        <v>4376</v>
      </c>
      <c r="G212" s="1" t="s">
        <v>4377</v>
      </c>
      <c r="H212" s="1" t="s">
        <v>4378</v>
      </c>
      <c r="I212" s="1" t="s">
        <v>4379</v>
      </c>
      <c r="J212" s="1">
        <v>8790556579</v>
      </c>
      <c r="K212" s="1" t="s">
        <v>79</v>
      </c>
      <c r="L212" s="1" t="s">
        <v>4380</v>
      </c>
      <c r="M212" s="1" t="s">
        <v>81</v>
      </c>
      <c r="N212" s="1" t="s">
        <v>2276</v>
      </c>
      <c r="O212" s="1"/>
      <c r="P212" s="1" t="s">
        <v>1278</v>
      </c>
      <c r="Q212" s="1" t="s">
        <v>4381</v>
      </c>
      <c r="R212" s="1" t="s">
        <v>4382</v>
      </c>
      <c r="S212" s="1">
        <v>9177433255</v>
      </c>
      <c r="T212" s="1" t="s">
        <v>4383</v>
      </c>
      <c r="U212" s="1" t="s">
        <v>4384</v>
      </c>
      <c r="V212" s="1">
        <v>9177433255</v>
      </c>
      <c r="W212" s="1" t="s">
        <v>4385</v>
      </c>
      <c r="X212" s="1" t="s">
        <v>4386</v>
      </c>
      <c r="Y212" s="1" t="s">
        <v>4387</v>
      </c>
      <c r="Z212" s="1" t="s">
        <v>276</v>
      </c>
      <c r="AA212" s="1" t="s">
        <v>4386</v>
      </c>
      <c r="AB212" s="1" t="s">
        <v>4387</v>
      </c>
      <c r="AC212" s="1" t="s">
        <v>276</v>
      </c>
      <c r="AD212" s="1">
        <v>9.06</v>
      </c>
      <c r="AE212" s="1" t="s">
        <v>93</v>
      </c>
      <c r="AF212" s="1" t="s">
        <v>4388</v>
      </c>
      <c r="AG212" s="1" t="s">
        <v>1064</v>
      </c>
      <c r="AH212" s="1" t="s">
        <v>161</v>
      </c>
      <c r="AI212" s="1" t="s">
        <v>456</v>
      </c>
      <c r="AJ212" s="1">
        <v>83.6</v>
      </c>
      <c r="AK212" s="1">
        <v>8.8</v>
      </c>
      <c r="AL212" s="1" t="s">
        <v>612</v>
      </c>
      <c r="AM212" s="1" t="s">
        <v>1154</v>
      </c>
      <c r="AN212" s="1" t="s">
        <v>165</v>
      </c>
      <c r="AO212" s="1" t="s">
        <v>281</v>
      </c>
      <c r="AP212" s="1">
        <v>94</v>
      </c>
      <c r="AQ212" s="1">
        <v>0</v>
      </c>
      <c r="AR212" s="1"/>
      <c r="AS212" s="1"/>
      <c r="AT212" s="1"/>
      <c r="AU212" s="1"/>
      <c r="AV212" s="1"/>
      <c r="AW212" s="1"/>
      <c r="AX212" s="1" t="s">
        <v>3127</v>
      </c>
      <c r="AY212" s="1" t="s">
        <v>4389</v>
      </c>
      <c r="AZ212" s="1" t="s">
        <v>201</v>
      </c>
      <c r="BA212" s="1" t="s">
        <v>174</v>
      </c>
      <c r="BB212" s="1">
        <v>65.48</v>
      </c>
      <c r="BC212" s="1">
        <v>6.78</v>
      </c>
      <c r="BD212" s="1"/>
      <c r="BE212" s="1"/>
      <c r="BF212" s="1"/>
      <c r="BG212" s="1"/>
      <c r="BH212" s="1"/>
      <c r="BI212" s="1"/>
      <c r="BJ212" s="1" t="s">
        <v>4390</v>
      </c>
      <c r="BK212" s="1"/>
      <c r="BL212" s="1"/>
      <c r="BM212" s="1" t="s">
        <v>4391</v>
      </c>
      <c r="BN212" s="1">
        <v>35</v>
      </c>
      <c r="BO212" s="1" t="s">
        <v>1499</v>
      </c>
      <c r="BP212" s="1" t="str">
        <f>HYPERLINK("https://nconnect.nicmar.ac.in/storage/profile/ProfilePhoto_P25700153_315628.jpg","Download")</f>
        <v>0</v>
      </c>
      <c r="BQ212" s="3"/>
      <c r="BR212" s="3"/>
    </row>
    <row r="213" spans="1:70">
      <c r="A213" s="1" t="s">
        <v>70</v>
      </c>
      <c r="B213" s="1" t="s">
        <v>1269</v>
      </c>
      <c r="C213" s="1" t="s">
        <v>4392</v>
      </c>
      <c r="D213" s="1" t="s">
        <v>1740</v>
      </c>
      <c r="E213" s="1"/>
      <c r="F213" s="1" t="s">
        <v>596</v>
      </c>
      <c r="G213" s="1" t="s">
        <v>4393</v>
      </c>
      <c r="H213" s="1" t="s">
        <v>4394</v>
      </c>
      <c r="I213" s="1" t="s">
        <v>4395</v>
      </c>
      <c r="J213" s="1">
        <v>9011297067</v>
      </c>
      <c r="K213" s="1" t="s">
        <v>79</v>
      </c>
      <c r="L213" s="1" t="s">
        <v>3138</v>
      </c>
      <c r="M213" s="1" t="s">
        <v>81</v>
      </c>
      <c r="N213" s="1" t="s">
        <v>241</v>
      </c>
      <c r="O213" s="1"/>
      <c r="P213" s="1" t="s">
        <v>1766</v>
      </c>
      <c r="Q213" s="1" t="s">
        <v>4396</v>
      </c>
      <c r="R213" s="1" t="s">
        <v>4397</v>
      </c>
      <c r="S213" s="1">
        <v>9822116580</v>
      </c>
      <c r="T213" s="1" t="s">
        <v>496</v>
      </c>
      <c r="U213" s="1" t="s">
        <v>4398</v>
      </c>
      <c r="V213" s="1">
        <v>9960039776</v>
      </c>
      <c r="W213" s="1" t="s">
        <v>496</v>
      </c>
      <c r="X213" s="1" t="s">
        <v>4399</v>
      </c>
      <c r="Y213" s="1" t="s">
        <v>191</v>
      </c>
      <c r="Z213" s="1" t="s">
        <v>92</v>
      </c>
      <c r="AA213" s="1" t="s">
        <v>4399</v>
      </c>
      <c r="AB213" s="1" t="s">
        <v>191</v>
      </c>
      <c r="AC213" s="1" t="s">
        <v>92</v>
      </c>
      <c r="AD213" s="1">
        <v>8.31</v>
      </c>
      <c r="AE213" s="1" t="s">
        <v>93</v>
      </c>
      <c r="AF213" s="1" t="s">
        <v>4400</v>
      </c>
      <c r="AG213" s="1" t="s">
        <v>1152</v>
      </c>
      <c r="AH213" s="1" t="s">
        <v>166</v>
      </c>
      <c r="AI213" s="1" t="s">
        <v>308</v>
      </c>
      <c r="AJ213" s="1">
        <v>84</v>
      </c>
      <c r="AK213" s="1"/>
      <c r="AL213" s="1" t="s">
        <v>4401</v>
      </c>
      <c r="AM213" s="1" t="s">
        <v>160</v>
      </c>
      <c r="AN213" s="1" t="s">
        <v>201</v>
      </c>
      <c r="AO213" s="1" t="s">
        <v>1131</v>
      </c>
      <c r="AP213" s="1">
        <v>91</v>
      </c>
      <c r="AQ213" s="1"/>
      <c r="AR213" s="1"/>
      <c r="AS213" s="1"/>
      <c r="AT213" s="1"/>
      <c r="AU213" s="1"/>
      <c r="AV213" s="1"/>
      <c r="AW213" s="1"/>
      <c r="AX213" s="1" t="s">
        <v>361</v>
      </c>
      <c r="AY213" s="1" t="s">
        <v>1977</v>
      </c>
      <c r="AZ213" s="1" t="s">
        <v>897</v>
      </c>
      <c r="BA213" s="1" t="s">
        <v>1714</v>
      </c>
      <c r="BB213" s="1">
        <v>66.3</v>
      </c>
      <c r="BC213" s="1">
        <v>7.45</v>
      </c>
      <c r="BD213" s="1"/>
      <c r="BE213" s="1"/>
      <c r="BF213" s="1"/>
      <c r="BG213" s="1"/>
      <c r="BH213" s="1"/>
      <c r="BI213" s="1"/>
      <c r="BJ213" s="1" t="s">
        <v>2146</v>
      </c>
      <c r="BK213" s="1"/>
      <c r="BL213" s="1"/>
      <c r="BM213" s="1" t="s">
        <v>4402</v>
      </c>
      <c r="BN213" s="1">
        <v>13</v>
      </c>
      <c r="BO213" s="1" t="s">
        <v>4403</v>
      </c>
      <c r="BP213" s="1" t="str">
        <f>HYPERLINK("https://nconnect.nicmar.ac.in/storage/profile/ProfilePhoto_P25700154_792485.jpg","Download")</f>
        <v>0</v>
      </c>
      <c r="BQ213" s="3"/>
      <c r="BR213" s="3"/>
    </row>
    <row r="214" spans="1:70">
      <c r="A214" s="1" t="s">
        <v>70</v>
      </c>
      <c r="B214" s="1" t="s">
        <v>1269</v>
      </c>
      <c r="C214" s="1" t="s">
        <v>4404</v>
      </c>
      <c r="D214" s="1" t="s">
        <v>4405</v>
      </c>
      <c r="E214" s="1"/>
      <c r="F214" s="1" t="s">
        <v>345</v>
      </c>
      <c r="G214" s="1" t="s">
        <v>4406</v>
      </c>
      <c r="H214" s="1" t="s">
        <v>4407</v>
      </c>
      <c r="I214" s="1" t="s">
        <v>4408</v>
      </c>
      <c r="J214" s="1">
        <v>8910562186</v>
      </c>
      <c r="K214" s="1" t="s">
        <v>79</v>
      </c>
      <c r="L214" s="1" t="s">
        <v>4409</v>
      </c>
      <c r="M214" s="1" t="s">
        <v>81</v>
      </c>
      <c r="N214" s="1" t="s">
        <v>4410</v>
      </c>
      <c r="O214" s="1"/>
      <c r="P214" s="1" t="s">
        <v>1323</v>
      </c>
      <c r="Q214" s="1" t="s">
        <v>4411</v>
      </c>
      <c r="R214" s="1" t="s">
        <v>4412</v>
      </c>
      <c r="S214" s="1">
        <v>7278584228</v>
      </c>
      <c r="T214" s="1" t="s">
        <v>120</v>
      </c>
      <c r="U214" s="1" t="s">
        <v>4413</v>
      </c>
      <c r="V214" s="1">
        <v>9525075402</v>
      </c>
      <c r="W214" s="1" t="s">
        <v>2094</v>
      </c>
      <c r="X214" s="1" t="s">
        <v>4414</v>
      </c>
      <c r="Y214" s="1" t="s">
        <v>4415</v>
      </c>
      <c r="Z214" s="1" t="s">
        <v>783</v>
      </c>
      <c r="AA214" s="1" t="s">
        <v>4414</v>
      </c>
      <c r="AB214" s="1" t="s">
        <v>4415</v>
      </c>
      <c r="AC214" s="1" t="s">
        <v>783</v>
      </c>
      <c r="AD214" s="1">
        <v>8.24</v>
      </c>
      <c r="AE214" s="1" t="s">
        <v>93</v>
      </c>
      <c r="AF214" s="1" t="s">
        <v>4416</v>
      </c>
      <c r="AG214" s="1" t="s">
        <v>4417</v>
      </c>
      <c r="AH214" s="1" t="s">
        <v>477</v>
      </c>
      <c r="AI214" s="1" t="s">
        <v>527</v>
      </c>
      <c r="AJ214" s="1">
        <v>72.2</v>
      </c>
      <c r="AK214" s="1">
        <v>7.6</v>
      </c>
      <c r="AL214" s="1" t="s">
        <v>4418</v>
      </c>
      <c r="AM214" s="1" t="s">
        <v>4419</v>
      </c>
      <c r="AN214" s="1" t="s">
        <v>165</v>
      </c>
      <c r="AO214" s="1" t="s">
        <v>101</v>
      </c>
      <c r="AP214" s="1">
        <v>65</v>
      </c>
      <c r="AQ214" s="1"/>
      <c r="AR214" s="1"/>
      <c r="AS214" s="1"/>
      <c r="AT214" s="1"/>
      <c r="AU214" s="1"/>
      <c r="AV214" s="1"/>
      <c r="AW214" s="1"/>
      <c r="AX214" s="1" t="s">
        <v>4420</v>
      </c>
      <c r="AY214" s="1" t="s">
        <v>4421</v>
      </c>
      <c r="AZ214" s="1" t="s">
        <v>636</v>
      </c>
      <c r="BA214" s="1" t="s">
        <v>284</v>
      </c>
      <c r="BB214" s="1">
        <v>79.2</v>
      </c>
      <c r="BC214" s="1">
        <v>8.67</v>
      </c>
      <c r="BD214" s="1"/>
      <c r="BE214" s="1"/>
      <c r="BF214" s="1"/>
      <c r="BG214" s="1"/>
      <c r="BH214" s="1"/>
      <c r="BI214" s="1"/>
      <c r="BJ214" s="1" t="s">
        <v>4422</v>
      </c>
      <c r="BK214" s="1" t="s">
        <v>4423</v>
      </c>
      <c r="BL214" s="1" t="s">
        <v>2654</v>
      </c>
      <c r="BM214" s="1" t="s">
        <v>4424</v>
      </c>
      <c r="BN214" s="1">
        <v>23</v>
      </c>
      <c r="BO214" s="1"/>
      <c r="BP214" s="1" t="str">
        <f>HYPERLINK("https://nconnect.nicmar.ac.in/storage/profile/ProfilePhoto_P25700155_624518.jpg","Download")</f>
        <v>0</v>
      </c>
      <c r="BQ214" s="3"/>
      <c r="BR214" s="3"/>
    </row>
    <row r="215" spans="1:70">
      <c r="A215" s="1" t="s">
        <v>70</v>
      </c>
      <c r="B215" s="1" t="s">
        <v>1269</v>
      </c>
      <c r="C215" s="1" t="s">
        <v>4425</v>
      </c>
      <c r="D215" s="1" t="s">
        <v>4426</v>
      </c>
      <c r="E215" s="1" t="s">
        <v>4427</v>
      </c>
      <c r="F215" s="1" t="s">
        <v>4428</v>
      </c>
      <c r="G215" s="1" t="s">
        <v>4429</v>
      </c>
      <c r="H215" s="1" t="s">
        <v>4430</v>
      </c>
      <c r="I215" s="1" t="s">
        <v>4431</v>
      </c>
      <c r="J215" s="1">
        <v>7219270032</v>
      </c>
      <c r="K215" s="1" t="s">
        <v>79</v>
      </c>
      <c r="L215" s="1" t="s">
        <v>4432</v>
      </c>
      <c r="M215" s="1" t="s">
        <v>81</v>
      </c>
      <c r="N215" s="1" t="s">
        <v>1418</v>
      </c>
      <c r="O215" s="1"/>
      <c r="P215" s="1" t="s">
        <v>1278</v>
      </c>
      <c r="Q215" s="1" t="s">
        <v>4433</v>
      </c>
      <c r="R215" s="1" t="s">
        <v>4434</v>
      </c>
      <c r="S215" s="1">
        <v>9561086754</v>
      </c>
      <c r="T215" s="1" t="s">
        <v>4435</v>
      </c>
      <c r="U215" s="1" t="s">
        <v>650</v>
      </c>
      <c r="V215" s="1">
        <v>7350590996</v>
      </c>
      <c r="W215" s="1" t="s">
        <v>4436</v>
      </c>
      <c r="X215" s="1" t="s">
        <v>4437</v>
      </c>
      <c r="Y215" s="1" t="s">
        <v>191</v>
      </c>
      <c r="Z215" s="1" t="s">
        <v>92</v>
      </c>
      <c r="AA215" s="1" t="s">
        <v>4437</v>
      </c>
      <c r="AB215" s="1" t="s">
        <v>191</v>
      </c>
      <c r="AC215" s="1" t="s">
        <v>92</v>
      </c>
      <c r="AD215" s="1">
        <v>8.67</v>
      </c>
      <c r="AE215" s="1" t="s">
        <v>93</v>
      </c>
      <c r="AF215" s="1" t="s">
        <v>4438</v>
      </c>
      <c r="AG215" s="1" t="s">
        <v>3558</v>
      </c>
      <c r="AH215" s="1" t="s">
        <v>96</v>
      </c>
      <c r="AI215" s="1" t="s">
        <v>161</v>
      </c>
      <c r="AJ215" s="1">
        <v>86.2</v>
      </c>
      <c r="AK215" s="1"/>
      <c r="AL215" s="1"/>
      <c r="AM215" s="1"/>
      <c r="AN215" s="1"/>
      <c r="AO215" s="1"/>
      <c r="AP215" s="1"/>
      <c r="AQ215" s="1"/>
      <c r="AR215" s="1" t="s">
        <v>98</v>
      </c>
      <c r="AS215" s="1" t="s">
        <v>4439</v>
      </c>
      <c r="AT215" s="1" t="s">
        <v>100</v>
      </c>
      <c r="AU215" s="1" t="s">
        <v>166</v>
      </c>
      <c r="AV215" s="1">
        <v>76.94</v>
      </c>
      <c r="AW215" s="1"/>
      <c r="AX215" s="1" t="s">
        <v>361</v>
      </c>
      <c r="AY215" s="1" t="s">
        <v>4440</v>
      </c>
      <c r="AZ215" s="1" t="s">
        <v>169</v>
      </c>
      <c r="BA215" s="1" t="s">
        <v>506</v>
      </c>
      <c r="BB215" s="1">
        <v>67.64</v>
      </c>
      <c r="BC215" s="1">
        <v>7.72</v>
      </c>
      <c r="BD215" s="1"/>
      <c r="BE215" s="1"/>
      <c r="BF215" s="1"/>
      <c r="BG215" s="1"/>
      <c r="BH215" s="1"/>
      <c r="BI215" s="1"/>
      <c r="BJ215" s="1" t="s">
        <v>1383</v>
      </c>
      <c r="BK215" s="1" t="s">
        <v>4441</v>
      </c>
      <c r="BL215" s="1" t="s">
        <v>4095</v>
      </c>
      <c r="BM215" s="1" t="s">
        <v>4442</v>
      </c>
      <c r="BN215" s="1">
        <v>12</v>
      </c>
      <c r="BO215" s="1"/>
      <c r="BP215" s="1" t="str">
        <f>HYPERLINK("https://nconnect.nicmar.ac.in/storage/profile/ProfilePhoto_P25700156_149783.jpg","Download")</f>
        <v>0</v>
      </c>
      <c r="BQ215" s="3"/>
      <c r="BR215" s="3"/>
    </row>
    <row r="216" spans="1:70">
      <c r="A216" s="1" t="s">
        <v>70</v>
      </c>
      <c r="B216" s="1" t="s">
        <v>1269</v>
      </c>
      <c r="C216" s="1" t="s">
        <v>4443</v>
      </c>
      <c r="D216" s="1" t="s">
        <v>4444</v>
      </c>
      <c r="E216" s="1" t="s">
        <v>1925</v>
      </c>
      <c r="F216" s="1" t="s">
        <v>2677</v>
      </c>
      <c r="G216" s="1" t="s">
        <v>4445</v>
      </c>
      <c r="H216" s="1" t="s">
        <v>4446</v>
      </c>
      <c r="I216" s="1" t="s">
        <v>4447</v>
      </c>
      <c r="J216" s="1">
        <v>8369126082</v>
      </c>
      <c r="K216" s="1" t="s">
        <v>79</v>
      </c>
      <c r="L216" s="1" t="s">
        <v>2565</v>
      </c>
      <c r="M216" s="1" t="s">
        <v>81</v>
      </c>
      <c r="N216" s="1" t="s">
        <v>3236</v>
      </c>
      <c r="O216" s="1"/>
      <c r="P216" s="1" t="s">
        <v>1766</v>
      </c>
      <c r="Q216" s="1" t="s">
        <v>4448</v>
      </c>
      <c r="R216" s="1" t="s">
        <v>4449</v>
      </c>
      <c r="S216" s="1">
        <v>9820791864</v>
      </c>
      <c r="T216" s="1" t="s">
        <v>763</v>
      </c>
      <c r="U216" s="1" t="s">
        <v>4450</v>
      </c>
      <c r="V216" s="1">
        <v>9867552462</v>
      </c>
      <c r="W216" s="1" t="s">
        <v>156</v>
      </c>
      <c r="X216" s="1" t="s">
        <v>4451</v>
      </c>
      <c r="Y216" s="1" t="s">
        <v>995</v>
      </c>
      <c r="Z216" s="1" t="s">
        <v>92</v>
      </c>
      <c r="AA216" s="1" t="s">
        <v>4451</v>
      </c>
      <c r="AB216" s="1" t="s">
        <v>995</v>
      </c>
      <c r="AC216" s="1" t="s">
        <v>92</v>
      </c>
      <c r="AD216" s="1">
        <v>9.02</v>
      </c>
      <c r="AE216" s="1" t="s">
        <v>93</v>
      </c>
      <c r="AF216" s="1" t="s">
        <v>4452</v>
      </c>
      <c r="AG216" s="1" t="s">
        <v>4453</v>
      </c>
      <c r="AH216" s="1" t="s">
        <v>165</v>
      </c>
      <c r="AI216" s="1" t="s">
        <v>281</v>
      </c>
      <c r="AJ216" s="1">
        <v>75.4</v>
      </c>
      <c r="AK216" s="1"/>
      <c r="AL216" s="1"/>
      <c r="AM216" s="1"/>
      <c r="AN216" s="1"/>
      <c r="AO216" s="1"/>
      <c r="AP216" s="1"/>
      <c r="AQ216" s="1"/>
      <c r="AR216" s="1" t="s">
        <v>98</v>
      </c>
      <c r="AS216" s="1" t="s">
        <v>4454</v>
      </c>
      <c r="AT216" s="1" t="s">
        <v>636</v>
      </c>
      <c r="AU216" s="1" t="s">
        <v>481</v>
      </c>
      <c r="AV216" s="1">
        <v>76.26</v>
      </c>
      <c r="AW216" s="1"/>
      <c r="AX216" s="1" t="s">
        <v>1024</v>
      </c>
      <c r="AY216" s="1" t="s">
        <v>4455</v>
      </c>
      <c r="AZ216" s="1" t="s">
        <v>616</v>
      </c>
      <c r="BA216" s="1" t="s">
        <v>1714</v>
      </c>
      <c r="BB216" s="1">
        <v>70.01</v>
      </c>
      <c r="BC216" s="1"/>
      <c r="BD216" s="1"/>
      <c r="BE216" s="1"/>
      <c r="BF216" s="1"/>
      <c r="BG216" s="1"/>
      <c r="BH216" s="1"/>
      <c r="BI216" s="1"/>
      <c r="BJ216" s="1" t="s">
        <v>4456</v>
      </c>
      <c r="BK216" s="1"/>
      <c r="BL216" s="1"/>
      <c r="BM216" s="1" t="s">
        <v>4457</v>
      </c>
      <c r="BN216" s="1">
        <v>13</v>
      </c>
      <c r="BO216" s="1" t="s">
        <v>4458</v>
      </c>
      <c r="BP216" s="1" t="str">
        <f>HYPERLINK("https://nconnect.nicmar.ac.in/storage/profile/ProfilePhoto_P25700157_196428.jpg","Download")</f>
        <v>0</v>
      </c>
      <c r="BQ216" s="3"/>
      <c r="BR216" s="3"/>
    </row>
    <row r="217" spans="1:70">
      <c r="A217" s="1" t="s">
        <v>70</v>
      </c>
      <c r="B217" s="1" t="s">
        <v>1269</v>
      </c>
      <c r="C217" s="1" t="s">
        <v>4459</v>
      </c>
      <c r="D217" s="1" t="s">
        <v>707</v>
      </c>
      <c r="E217" s="1" t="s">
        <v>392</v>
      </c>
      <c r="F217" s="1" t="s">
        <v>4460</v>
      </c>
      <c r="G217" s="1" t="s">
        <v>4461</v>
      </c>
      <c r="H217" s="1" t="s">
        <v>4462</v>
      </c>
      <c r="I217" s="1" t="s">
        <v>4463</v>
      </c>
      <c r="J217" s="1">
        <v>7057924898</v>
      </c>
      <c r="K217" s="1" t="s">
        <v>79</v>
      </c>
      <c r="L217" s="1" t="s">
        <v>4464</v>
      </c>
      <c r="M217" s="1" t="s">
        <v>81</v>
      </c>
      <c r="N217" s="1" t="s">
        <v>2008</v>
      </c>
      <c r="O217" s="1"/>
      <c r="P217" s="1" t="s">
        <v>1298</v>
      </c>
      <c r="Q217" s="1" t="s">
        <v>4465</v>
      </c>
      <c r="R217" s="1" t="s">
        <v>4466</v>
      </c>
      <c r="S217" s="1">
        <v>9226246190</v>
      </c>
      <c r="T217" s="1" t="s">
        <v>976</v>
      </c>
      <c r="U217" s="1" t="s">
        <v>4467</v>
      </c>
      <c r="V217" s="1">
        <v>9421704498</v>
      </c>
      <c r="W217" s="1" t="s">
        <v>976</v>
      </c>
      <c r="X217" s="1" t="s">
        <v>4468</v>
      </c>
      <c r="Y217" s="1" t="s">
        <v>405</v>
      </c>
      <c r="Z217" s="1" t="s">
        <v>92</v>
      </c>
      <c r="AA217" s="1" t="s">
        <v>4468</v>
      </c>
      <c r="AB217" s="1" t="s">
        <v>405</v>
      </c>
      <c r="AC217" s="1" t="s">
        <v>92</v>
      </c>
      <c r="AD217" s="1">
        <v>8.64</v>
      </c>
      <c r="AE217" s="1" t="s">
        <v>93</v>
      </c>
      <c r="AF217" s="1" t="s">
        <v>4469</v>
      </c>
      <c r="AG217" s="1" t="s">
        <v>160</v>
      </c>
      <c r="AH217" s="1" t="s">
        <v>1242</v>
      </c>
      <c r="AI217" s="1" t="s">
        <v>999</v>
      </c>
      <c r="AJ217" s="1">
        <v>90.4</v>
      </c>
      <c r="AK217" s="1"/>
      <c r="AL217" s="1" t="s">
        <v>4470</v>
      </c>
      <c r="AM217" s="1" t="s">
        <v>160</v>
      </c>
      <c r="AN217" s="1" t="s">
        <v>2075</v>
      </c>
      <c r="AO217" s="1" t="s">
        <v>1001</v>
      </c>
      <c r="AP217" s="1">
        <v>76.15</v>
      </c>
      <c r="AQ217" s="1"/>
      <c r="AR217" s="1"/>
      <c r="AS217" s="1"/>
      <c r="AT217" s="1"/>
      <c r="AU217" s="1"/>
      <c r="AV217" s="1"/>
      <c r="AW217" s="1"/>
      <c r="AX217" s="1" t="s">
        <v>410</v>
      </c>
      <c r="AY217" s="1" t="s">
        <v>4471</v>
      </c>
      <c r="AZ217" s="1" t="s">
        <v>279</v>
      </c>
      <c r="BA217" s="1" t="s">
        <v>920</v>
      </c>
      <c r="BB217" s="1">
        <v>65.6</v>
      </c>
      <c r="BC217" s="1"/>
      <c r="BD217" s="1" t="s">
        <v>410</v>
      </c>
      <c r="BE217" s="1" t="s">
        <v>2405</v>
      </c>
      <c r="BF217" s="1" t="s">
        <v>2463</v>
      </c>
      <c r="BG217" s="1" t="s">
        <v>105</v>
      </c>
      <c r="BH217" s="1">
        <v>86.2</v>
      </c>
      <c r="BI217" s="1"/>
      <c r="BJ217" s="1" t="s">
        <v>4472</v>
      </c>
      <c r="BK217" s="1" t="s">
        <v>4473</v>
      </c>
      <c r="BL217" s="1" t="s">
        <v>2019</v>
      </c>
      <c r="BM217" s="1" t="s">
        <v>4474</v>
      </c>
      <c r="BN217" s="1">
        <v>88</v>
      </c>
      <c r="BO217" s="1" t="s">
        <v>4475</v>
      </c>
      <c r="BP217" s="1" t="str">
        <f>HYPERLINK("https://nconnect.nicmar.ac.in/storage/profile/ProfilePhoto_P25700158_196843.jpg","Download")</f>
        <v>0</v>
      </c>
      <c r="BQ217" s="3"/>
      <c r="BR217" s="3"/>
    </row>
    <row r="218" spans="1:70">
      <c r="A218" s="1" t="s">
        <v>70</v>
      </c>
      <c r="B218" s="1" t="s">
        <v>1269</v>
      </c>
      <c r="C218" s="1" t="s">
        <v>4476</v>
      </c>
      <c r="D218" s="1" t="s">
        <v>4477</v>
      </c>
      <c r="E218" s="1" t="s">
        <v>4478</v>
      </c>
      <c r="F218" s="1" t="s">
        <v>4479</v>
      </c>
      <c r="G218" s="1" t="s">
        <v>4480</v>
      </c>
      <c r="H218" s="1" t="s">
        <v>4481</v>
      </c>
      <c r="I218" s="1" t="s">
        <v>4482</v>
      </c>
      <c r="J218" s="1">
        <v>9653190231</v>
      </c>
      <c r="K218" s="1" t="s">
        <v>79</v>
      </c>
      <c r="L218" s="1" t="s">
        <v>4483</v>
      </c>
      <c r="M218" s="1" t="s">
        <v>81</v>
      </c>
      <c r="N218" s="1" t="s">
        <v>4484</v>
      </c>
      <c r="O218" s="1"/>
      <c r="P218" s="1" t="s">
        <v>1298</v>
      </c>
      <c r="Q218" s="1" t="s">
        <v>4485</v>
      </c>
      <c r="R218" s="1" t="s">
        <v>4478</v>
      </c>
      <c r="S218" s="1">
        <v>8007779051</v>
      </c>
      <c r="T218" s="1" t="s">
        <v>4486</v>
      </c>
      <c r="U218" s="1" t="s">
        <v>4487</v>
      </c>
      <c r="V218" s="1">
        <v>9820339741</v>
      </c>
      <c r="W218" s="1" t="s">
        <v>156</v>
      </c>
      <c r="X218" s="1" t="s">
        <v>4488</v>
      </c>
      <c r="Y218" s="1" t="s">
        <v>995</v>
      </c>
      <c r="Z218" s="1" t="s">
        <v>92</v>
      </c>
      <c r="AA218" s="1" t="s">
        <v>4489</v>
      </c>
      <c r="AB218" s="1" t="s">
        <v>191</v>
      </c>
      <c r="AC218" s="1" t="s">
        <v>92</v>
      </c>
      <c r="AD218" s="1">
        <v>8.36</v>
      </c>
      <c r="AE218" s="1" t="s">
        <v>93</v>
      </c>
      <c r="AF218" s="1" t="s">
        <v>4490</v>
      </c>
      <c r="AG218" s="1" t="s">
        <v>4491</v>
      </c>
      <c r="AH218" s="1" t="s">
        <v>165</v>
      </c>
      <c r="AI218" s="1" t="s">
        <v>281</v>
      </c>
      <c r="AJ218" s="1">
        <v>61.6</v>
      </c>
      <c r="AK218" s="1"/>
      <c r="AL218" s="1"/>
      <c r="AM218" s="1"/>
      <c r="AN218" s="1"/>
      <c r="AO218" s="1"/>
      <c r="AP218" s="1"/>
      <c r="AQ218" s="1"/>
      <c r="AR218" s="1" t="s">
        <v>98</v>
      </c>
      <c r="AS218" s="1" t="s">
        <v>4492</v>
      </c>
      <c r="AT218" s="1" t="s">
        <v>636</v>
      </c>
      <c r="AU218" s="1" t="s">
        <v>436</v>
      </c>
      <c r="AV218" s="1">
        <v>87.37</v>
      </c>
      <c r="AW218" s="1"/>
      <c r="AX218" s="1" t="s">
        <v>253</v>
      </c>
      <c r="AY218" s="1" t="s">
        <v>4493</v>
      </c>
      <c r="AZ218" s="1" t="s">
        <v>436</v>
      </c>
      <c r="BA218" s="1" t="s">
        <v>413</v>
      </c>
      <c r="BB218" s="1">
        <v>61.08</v>
      </c>
      <c r="BC218" s="1">
        <v>6.73</v>
      </c>
      <c r="BD218" s="1"/>
      <c r="BE218" s="1"/>
      <c r="BF218" s="1"/>
      <c r="BG218" s="1"/>
      <c r="BH218" s="1"/>
      <c r="BI218" s="1"/>
      <c r="BJ218" s="1" t="s">
        <v>1383</v>
      </c>
      <c r="BK218" s="1" t="s">
        <v>4494</v>
      </c>
      <c r="BL218" s="1" t="s">
        <v>639</v>
      </c>
      <c r="BM218" s="1" t="s">
        <v>4495</v>
      </c>
      <c r="BN218" s="1">
        <v>11</v>
      </c>
      <c r="BO218" s="1"/>
      <c r="BP218" s="1" t="str">
        <f>HYPERLINK("https://nconnect.nicmar.ac.in/storage/profile/ProfilePhoto_P25700159_791628.jpg","Download")</f>
        <v>0</v>
      </c>
      <c r="BQ218" s="3"/>
      <c r="BR218" s="3"/>
    </row>
    <row r="219" spans="1:70">
      <c r="A219" s="1" t="s">
        <v>70</v>
      </c>
      <c r="B219" s="1" t="s">
        <v>1269</v>
      </c>
      <c r="C219" s="1" t="s">
        <v>4496</v>
      </c>
      <c r="D219" s="1" t="s">
        <v>4343</v>
      </c>
      <c r="E219" s="1" t="s">
        <v>4497</v>
      </c>
      <c r="F219" s="1" t="s">
        <v>2024</v>
      </c>
      <c r="G219" s="1" t="s">
        <v>4498</v>
      </c>
      <c r="H219" s="1" t="s">
        <v>4499</v>
      </c>
      <c r="I219" s="1" t="s">
        <v>4500</v>
      </c>
      <c r="J219" s="1">
        <v>8530039495</v>
      </c>
      <c r="K219" s="1" t="s">
        <v>79</v>
      </c>
      <c r="L219" s="1" t="s">
        <v>4501</v>
      </c>
      <c r="M219" s="1" t="s">
        <v>81</v>
      </c>
      <c r="N219" s="1" t="s">
        <v>1765</v>
      </c>
      <c r="O219" s="1"/>
      <c r="P219" s="1" t="s">
        <v>1278</v>
      </c>
      <c r="Q219" s="1" t="s">
        <v>4502</v>
      </c>
      <c r="R219" s="1" t="s">
        <v>4497</v>
      </c>
      <c r="S219" s="1">
        <v>9822263222</v>
      </c>
      <c r="T219" s="1" t="s">
        <v>496</v>
      </c>
      <c r="U219" s="1" t="s">
        <v>693</v>
      </c>
      <c r="V219" s="1">
        <v>8805791153</v>
      </c>
      <c r="W219" s="1" t="s">
        <v>273</v>
      </c>
      <c r="X219" s="1" t="s">
        <v>4503</v>
      </c>
      <c r="Y219" s="1" t="s">
        <v>2790</v>
      </c>
      <c r="Z219" s="1" t="s">
        <v>92</v>
      </c>
      <c r="AA219" s="1" t="s">
        <v>4503</v>
      </c>
      <c r="AB219" s="1" t="s">
        <v>2790</v>
      </c>
      <c r="AC219" s="1" t="s">
        <v>92</v>
      </c>
      <c r="AD219" s="1">
        <v>8.95</v>
      </c>
      <c r="AE219" s="1" t="s">
        <v>93</v>
      </c>
      <c r="AF219" s="1" t="s">
        <v>4504</v>
      </c>
      <c r="AG219" s="1" t="s">
        <v>4505</v>
      </c>
      <c r="AH219" s="1" t="s">
        <v>281</v>
      </c>
      <c r="AI219" s="1" t="s">
        <v>409</v>
      </c>
      <c r="AJ219" s="1">
        <v>88</v>
      </c>
      <c r="AK219" s="1"/>
      <c r="AL219" s="1"/>
      <c r="AM219" s="1"/>
      <c r="AN219" s="1"/>
      <c r="AO219" s="1"/>
      <c r="AP219" s="1"/>
      <c r="AQ219" s="1"/>
      <c r="AR219" s="1" t="s">
        <v>98</v>
      </c>
      <c r="AS219" s="1" t="s">
        <v>2792</v>
      </c>
      <c r="AT219" s="1" t="s">
        <v>201</v>
      </c>
      <c r="AU219" s="1" t="s">
        <v>284</v>
      </c>
      <c r="AV219" s="1">
        <v>80.5</v>
      </c>
      <c r="AW219" s="1"/>
      <c r="AX219" s="1" t="s">
        <v>4506</v>
      </c>
      <c r="AY219" s="1" t="s">
        <v>4507</v>
      </c>
      <c r="AZ219" s="1" t="s">
        <v>874</v>
      </c>
      <c r="BA219" s="1" t="s">
        <v>1361</v>
      </c>
      <c r="BB219" s="1">
        <v>66.8</v>
      </c>
      <c r="BC219" s="1">
        <v>7.43</v>
      </c>
      <c r="BD219" s="1"/>
      <c r="BE219" s="1"/>
      <c r="BF219" s="1"/>
      <c r="BG219" s="1"/>
      <c r="BH219" s="1"/>
      <c r="BI219" s="1"/>
      <c r="BJ219" s="1" t="s">
        <v>4508</v>
      </c>
      <c r="BK219" s="1"/>
      <c r="BL219" s="1"/>
      <c r="BM219" s="1" t="s">
        <v>4509</v>
      </c>
      <c r="BN219" s="1">
        <v>9</v>
      </c>
      <c r="BO219" s="1" t="s">
        <v>4510</v>
      </c>
      <c r="BP219" s="1" t="str">
        <f>HYPERLINK("https://nconnect.nicmar.ac.in/storage/profile/ProfilePhoto_P25700160_274951.jpg","Download")</f>
        <v>0</v>
      </c>
      <c r="BQ219" s="3"/>
      <c r="BR219" s="3"/>
    </row>
    <row r="220" spans="1:70">
      <c r="A220" s="1" t="s">
        <v>70</v>
      </c>
      <c r="B220" s="1" t="s">
        <v>1269</v>
      </c>
      <c r="C220" s="1" t="s">
        <v>4511</v>
      </c>
      <c r="D220" s="1" t="s">
        <v>4512</v>
      </c>
      <c r="E220" s="1"/>
      <c r="F220" s="1" t="s">
        <v>4513</v>
      </c>
      <c r="G220" s="1" t="s">
        <v>4514</v>
      </c>
      <c r="H220" s="1" t="s">
        <v>4515</v>
      </c>
      <c r="I220" s="1" t="s">
        <v>4516</v>
      </c>
      <c r="J220" s="1">
        <v>6364236471</v>
      </c>
      <c r="K220" s="1" t="s">
        <v>79</v>
      </c>
      <c r="L220" s="1" t="s">
        <v>4517</v>
      </c>
      <c r="M220" s="1" t="s">
        <v>81</v>
      </c>
      <c r="N220" s="1" t="s">
        <v>4518</v>
      </c>
      <c r="O220" s="1"/>
      <c r="P220" s="1" t="s">
        <v>1766</v>
      </c>
      <c r="Q220" s="1" t="s">
        <v>4519</v>
      </c>
      <c r="R220" s="1" t="s">
        <v>4520</v>
      </c>
      <c r="S220" s="1">
        <v>9731650754</v>
      </c>
      <c r="T220" s="1" t="s">
        <v>154</v>
      </c>
      <c r="U220" s="1" t="s">
        <v>4521</v>
      </c>
      <c r="V220" s="1">
        <v>7411122048</v>
      </c>
      <c r="W220" s="1" t="s">
        <v>273</v>
      </c>
      <c r="X220" s="1" t="s">
        <v>4522</v>
      </c>
      <c r="Y220" s="1" t="s">
        <v>4523</v>
      </c>
      <c r="Z220" s="1" t="s">
        <v>1084</v>
      </c>
      <c r="AA220" s="1" t="s">
        <v>4522</v>
      </c>
      <c r="AB220" s="1" t="s">
        <v>4523</v>
      </c>
      <c r="AC220" s="1" t="s">
        <v>1084</v>
      </c>
      <c r="AD220" s="1">
        <v>8.39</v>
      </c>
      <c r="AE220" s="1" t="s">
        <v>93</v>
      </c>
      <c r="AF220" s="1" t="s">
        <v>4524</v>
      </c>
      <c r="AG220" s="1" t="s">
        <v>2749</v>
      </c>
      <c r="AH220" s="1" t="s">
        <v>162</v>
      </c>
      <c r="AI220" s="1" t="s">
        <v>678</v>
      </c>
      <c r="AJ220" s="1">
        <v>86.4</v>
      </c>
      <c r="AK220" s="1"/>
      <c r="AL220" s="1" t="s">
        <v>4525</v>
      </c>
      <c r="AM220" s="1" t="s">
        <v>4526</v>
      </c>
      <c r="AN220" s="1" t="s">
        <v>165</v>
      </c>
      <c r="AO220" s="1" t="s">
        <v>409</v>
      </c>
      <c r="AP220" s="1">
        <v>88.16</v>
      </c>
      <c r="AQ220" s="1"/>
      <c r="AR220" s="1"/>
      <c r="AS220" s="1"/>
      <c r="AT220" s="1"/>
      <c r="AU220" s="1"/>
      <c r="AV220" s="1"/>
      <c r="AW220" s="1"/>
      <c r="AX220" s="1" t="s">
        <v>4527</v>
      </c>
      <c r="AY220" s="1" t="s">
        <v>4528</v>
      </c>
      <c r="AZ220" s="1" t="s">
        <v>201</v>
      </c>
      <c r="BA220" s="1" t="s">
        <v>229</v>
      </c>
      <c r="BB220" s="1">
        <v>81.4</v>
      </c>
      <c r="BC220" s="1">
        <v>8.14</v>
      </c>
      <c r="BD220" s="1"/>
      <c r="BE220" s="1"/>
      <c r="BF220" s="1"/>
      <c r="BG220" s="1"/>
      <c r="BH220" s="1"/>
      <c r="BI220" s="1"/>
      <c r="BJ220" s="1" t="s">
        <v>4529</v>
      </c>
      <c r="BK220" s="1" t="s">
        <v>4530</v>
      </c>
      <c r="BL220" s="1" t="s">
        <v>1629</v>
      </c>
      <c r="BM220" s="1" t="s">
        <v>4531</v>
      </c>
      <c r="BN220" s="1">
        <v>16</v>
      </c>
      <c r="BO220" s="1" t="s">
        <v>4532</v>
      </c>
      <c r="BP220" s="1" t="str">
        <f>HYPERLINK("https://nconnect.nicmar.ac.in/storage/profile/ProfilePhoto_P25700161_896127.jpg","Download")</f>
        <v>0</v>
      </c>
      <c r="BQ220" s="3"/>
      <c r="BR220" s="3"/>
    </row>
    <row r="221" spans="1:70">
      <c r="A221" s="1" t="s">
        <v>70</v>
      </c>
      <c r="B221" s="1" t="s">
        <v>1269</v>
      </c>
      <c r="C221" s="1" t="s">
        <v>4533</v>
      </c>
      <c r="D221" s="1" t="s">
        <v>4534</v>
      </c>
      <c r="E221" s="1" t="s">
        <v>111</v>
      </c>
      <c r="F221" s="1" t="s">
        <v>111</v>
      </c>
      <c r="G221" s="1" t="s">
        <v>4535</v>
      </c>
      <c r="H221" s="1" t="s">
        <v>4536</v>
      </c>
      <c r="I221" s="1" t="s">
        <v>4537</v>
      </c>
      <c r="J221" s="1">
        <v>9961092275</v>
      </c>
      <c r="K221" s="1" t="s">
        <v>148</v>
      </c>
      <c r="L221" s="1" t="s">
        <v>1484</v>
      </c>
      <c r="M221" s="1" t="s">
        <v>81</v>
      </c>
      <c r="N221" s="1" t="s">
        <v>3175</v>
      </c>
      <c r="O221" s="1"/>
      <c r="P221" s="1" t="s">
        <v>1298</v>
      </c>
      <c r="Q221" s="1" t="s">
        <v>4538</v>
      </c>
      <c r="R221" s="1" t="s">
        <v>4539</v>
      </c>
      <c r="S221" s="1">
        <v>9447026728</v>
      </c>
      <c r="T221" s="1" t="s">
        <v>4540</v>
      </c>
      <c r="U221" s="1" t="s">
        <v>4541</v>
      </c>
      <c r="V221" s="1">
        <v>9495727098</v>
      </c>
      <c r="W221" s="1" t="s">
        <v>4542</v>
      </c>
      <c r="X221" s="1" t="s">
        <v>4543</v>
      </c>
      <c r="Y221" s="1" t="s">
        <v>1491</v>
      </c>
      <c r="Z221" s="1" t="s">
        <v>125</v>
      </c>
      <c r="AA221" s="1" t="s">
        <v>4544</v>
      </c>
      <c r="AB221" s="1" t="s">
        <v>3998</v>
      </c>
      <c r="AC221" s="1" t="s">
        <v>125</v>
      </c>
      <c r="AD221" s="1">
        <v>8.49</v>
      </c>
      <c r="AE221" s="1" t="s">
        <v>93</v>
      </c>
      <c r="AF221" s="1" t="s">
        <v>4545</v>
      </c>
      <c r="AG221" s="1" t="s">
        <v>4546</v>
      </c>
      <c r="AH221" s="1" t="s">
        <v>162</v>
      </c>
      <c r="AI221" s="1" t="s">
        <v>165</v>
      </c>
      <c r="AJ221" s="1">
        <v>85.5</v>
      </c>
      <c r="AK221" s="1">
        <v>9</v>
      </c>
      <c r="AL221" s="1" t="s">
        <v>4545</v>
      </c>
      <c r="AM221" s="1" t="s">
        <v>4546</v>
      </c>
      <c r="AN221" s="1" t="s">
        <v>101</v>
      </c>
      <c r="AO221" s="1" t="s">
        <v>308</v>
      </c>
      <c r="AP221" s="1">
        <v>80.8</v>
      </c>
      <c r="AQ221" s="1"/>
      <c r="AR221" s="1"/>
      <c r="AS221" s="1"/>
      <c r="AT221" s="1"/>
      <c r="AU221" s="1"/>
      <c r="AV221" s="1"/>
      <c r="AW221" s="1"/>
      <c r="AX221" s="1" t="s">
        <v>132</v>
      </c>
      <c r="AY221" s="1" t="s">
        <v>4547</v>
      </c>
      <c r="AZ221" s="1" t="s">
        <v>310</v>
      </c>
      <c r="BA221" s="1" t="s">
        <v>229</v>
      </c>
      <c r="BB221" s="1">
        <v>78.7</v>
      </c>
      <c r="BC221" s="1">
        <v>7.87</v>
      </c>
      <c r="BD221" s="1"/>
      <c r="BE221" s="1"/>
      <c r="BF221" s="1"/>
      <c r="BG221" s="1"/>
      <c r="BH221" s="1"/>
      <c r="BI221" s="1"/>
      <c r="BJ221" s="1" t="s">
        <v>364</v>
      </c>
      <c r="BK221" s="1" t="s">
        <v>4548</v>
      </c>
      <c r="BL221" s="1" t="s">
        <v>2384</v>
      </c>
      <c r="BM221" s="1" t="s">
        <v>4549</v>
      </c>
      <c r="BN221" s="1">
        <v>8</v>
      </c>
      <c r="BO221" s="1"/>
      <c r="BP221" s="1" t="str">
        <f>HYPERLINK("https://nconnect.nicmar.ac.in/storage/profile/ProfilePhoto_P25700162_326594.jpg","Download")</f>
        <v>0</v>
      </c>
      <c r="BQ221" s="3"/>
      <c r="BR221" s="3"/>
    </row>
    <row r="222" spans="1:70">
      <c r="A222" s="1" t="s">
        <v>70</v>
      </c>
      <c r="B222" s="1" t="s">
        <v>1269</v>
      </c>
      <c r="C222" s="1" t="s">
        <v>4550</v>
      </c>
      <c r="D222" s="1" t="s">
        <v>4551</v>
      </c>
      <c r="E222" s="1"/>
      <c r="F222" s="1" t="s">
        <v>4552</v>
      </c>
      <c r="G222" s="1" t="s">
        <v>4553</v>
      </c>
      <c r="H222" s="1" t="s">
        <v>4554</v>
      </c>
      <c r="I222" s="1" t="s">
        <v>4555</v>
      </c>
      <c r="J222" s="1">
        <v>9971229943</v>
      </c>
      <c r="K222" s="1" t="s">
        <v>148</v>
      </c>
      <c r="L222" s="1" t="s">
        <v>4556</v>
      </c>
      <c r="M222" s="1" t="s">
        <v>81</v>
      </c>
      <c r="N222" s="1" t="s">
        <v>241</v>
      </c>
      <c r="O222" s="1"/>
      <c r="P222" s="1" t="s">
        <v>1278</v>
      </c>
      <c r="Q222" s="1" t="s">
        <v>4557</v>
      </c>
      <c r="R222" s="1" t="s">
        <v>4558</v>
      </c>
      <c r="S222" s="1">
        <v>9810388086</v>
      </c>
      <c r="T222" s="1" t="s">
        <v>496</v>
      </c>
      <c r="U222" s="1" t="s">
        <v>4559</v>
      </c>
      <c r="V222" s="1">
        <v>8076957747</v>
      </c>
      <c r="W222" s="1" t="s">
        <v>496</v>
      </c>
      <c r="X222" s="1" t="s">
        <v>4560</v>
      </c>
      <c r="Y222" s="1" t="s">
        <v>4561</v>
      </c>
      <c r="Z222" s="1" t="s">
        <v>1355</v>
      </c>
      <c r="AA222" s="1" t="s">
        <v>4560</v>
      </c>
      <c r="AB222" s="1" t="s">
        <v>4561</v>
      </c>
      <c r="AC222" s="1" t="s">
        <v>1355</v>
      </c>
      <c r="AD222" s="1">
        <v>9.38</v>
      </c>
      <c r="AE222" s="1" t="s">
        <v>93</v>
      </c>
      <c r="AF222" s="1" t="s">
        <v>4562</v>
      </c>
      <c r="AG222" s="1" t="s">
        <v>4563</v>
      </c>
      <c r="AH222" s="1" t="s">
        <v>4564</v>
      </c>
      <c r="AI222" s="1" t="s">
        <v>165</v>
      </c>
      <c r="AJ222" s="1">
        <v>95</v>
      </c>
      <c r="AK222" s="1">
        <v>10</v>
      </c>
      <c r="AL222" s="1" t="s">
        <v>4562</v>
      </c>
      <c r="AM222" s="1" t="s">
        <v>4563</v>
      </c>
      <c r="AN222" s="1" t="s">
        <v>4564</v>
      </c>
      <c r="AO222" s="1" t="s">
        <v>308</v>
      </c>
      <c r="AP222" s="1">
        <v>96</v>
      </c>
      <c r="AQ222" s="1"/>
      <c r="AR222" s="1"/>
      <c r="AS222" s="1"/>
      <c r="AT222" s="1"/>
      <c r="AU222" s="1"/>
      <c r="AV222" s="1"/>
      <c r="AW222" s="1"/>
      <c r="AX222" s="1" t="s">
        <v>4565</v>
      </c>
      <c r="AY222" s="1" t="s">
        <v>4566</v>
      </c>
      <c r="AZ222" s="1" t="s">
        <v>201</v>
      </c>
      <c r="BA222" s="1" t="s">
        <v>413</v>
      </c>
      <c r="BB222" s="1">
        <v>91.6</v>
      </c>
      <c r="BC222" s="1">
        <v>9.16</v>
      </c>
      <c r="BD222" s="1"/>
      <c r="BE222" s="1"/>
      <c r="BF222" s="1"/>
      <c r="BG222" s="1"/>
      <c r="BH222" s="1"/>
      <c r="BI222" s="1"/>
      <c r="BJ222" s="1" t="s">
        <v>4567</v>
      </c>
      <c r="BK222" s="1" t="s">
        <v>4568</v>
      </c>
      <c r="BL222" s="1" t="s">
        <v>639</v>
      </c>
      <c r="BM222" s="1" t="s">
        <v>4569</v>
      </c>
      <c r="BN222" s="1">
        <v>24</v>
      </c>
      <c r="BO222" s="1" t="s">
        <v>4570</v>
      </c>
      <c r="BP222" s="1" t="str">
        <f>HYPERLINK("https://nconnect.nicmar.ac.in/storage/profile/ProfilePhoto_P25700163_913852.jpg","Download")</f>
        <v>0</v>
      </c>
      <c r="BQ222" s="3"/>
      <c r="BR222" s="3"/>
    </row>
    <row r="223" spans="1:70">
      <c r="A223" s="1" t="s">
        <v>70</v>
      </c>
      <c r="B223" s="1" t="s">
        <v>1269</v>
      </c>
      <c r="C223" s="1" t="s">
        <v>4571</v>
      </c>
      <c r="D223" s="1" t="s">
        <v>1249</v>
      </c>
      <c r="E223" s="1" t="s">
        <v>4572</v>
      </c>
      <c r="F223" s="1" t="s">
        <v>4573</v>
      </c>
      <c r="G223" s="1" t="s">
        <v>4574</v>
      </c>
      <c r="H223" s="1" t="s">
        <v>4575</v>
      </c>
      <c r="I223" s="1" t="s">
        <v>4576</v>
      </c>
      <c r="J223" s="1">
        <v>9392957400</v>
      </c>
      <c r="K223" s="1" t="s">
        <v>79</v>
      </c>
      <c r="L223" s="1" t="s">
        <v>4577</v>
      </c>
      <c r="M223" s="1" t="s">
        <v>81</v>
      </c>
      <c r="N223" s="1" t="s">
        <v>4578</v>
      </c>
      <c r="O223" s="1"/>
      <c r="P223" s="1" t="s">
        <v>1298</v>
      </c>
      <c r="Q223" s="1" t="s">
        <v>4579</v>
      </c>
      <c r="R223" s="1" t="s">
        <v>4580</v>
      </c>
      <c r="S223" s="1">
        <v>9748452426</v>
      </c>
      <c r="T223" s="1" t="s">
        <v>4581</v>
      </c>
      <c r="U223" s="1" t="s">
        <v>4582</v>
      </c>
      <c r="V223" s="1">
        <v>9948756222</v>
      </c>
      <c r="W223" s="1" t="s">
        <v>4583</v>
      </c>
      <c r="X223" s="1" t="s">
        <v>4584</v>
      </c>
      <c r="Y223" s="1" t="s">
        <v>1150</v>
      </c>
      <c r="Z223" s="1" t="s">
        <v>276</v>
      </c>
      <c r="AA223" s="1" t="s">
        <v>4584</v>
      </c>
      <c r="AB223" s="1" t="s">
        <v>1150</v>
      </c>
      <c r="AC223" s="1" t="s">
        <v>276</v>
      </c>
      <c r="AD223" s="1">
        <v>8.15</v>
      </c>
      <c r="AE223" s="1" t="s">
        <v>93</v>
      </c>
      <c r="AF223" s="1" t="s">
        <v>4585</v>
      </c>
      <c r="AG223" s="1" t="s">
        <v>4586</v>
      </c>
      <c r="AH223" s="1" t="s">
        <v>4587</v>
      </c>
      <c r="AI223" s="1" t="s">
        <v>308</v>
      </c>
      <c r="AJ223" s="1">
        <v>80.6</v>
      </c>
      <c r="AK223" s="1"/>
      <c r="AL223" s="1" t="s">
        <v>612</v>
      </c>
      <c r="AM223" s="1" t="s">
        <v>4588</v>
      </c>
      <c r="AN223" s="1" t="s">
        <v>310</v>
      </c>
      <c r="AO223" s="1" t="s">
        <v>506</v>
      </c>
      <c r="AP223" s="1">
        <v>90.3</v>
      </c>
      <c r="AQ223" s="1"/>
      <c r="AR223" s="1"/>
      <c r="AS223" s="1"/>
      <c r="AT223" s="1"/>
      <c r="AU223" s="1"/>
      <c r="AV223" s="1"/>
      <c r="AW223" s="1"/>
      <c r="AX223" s="1" t="s">
        <v>4589</v>
      </c>
      <c r="AY223" s="1" t="s">
        <v>4590</v>
      </c>
      <c r="AZ223" s="1" t="s">
        <v>135</v>
      </c>
      <c r="BA223" s="1" t="s">
        <v>1361</v>
      </c>
      <c r="BB223" s="1">
        <v>60.13</v>
      </c>
      <c r="BC223" s="1"/>
      <c r="BD223" s="1"/>
      <c r="BE223" s="1"/>
      <c r="BF223" s="1"/>
      <c r="BG223" s="1"/>
      <c r="BH223" s="1"/>
      <c r="BI223" s="1"/>
      <c r="BJ223" s="1" t="s">
        <v>364</v>
      </c>
      <c r="BK223" s="1"/>
      <c r="BL223" s="1"/>
      <c r="BM223" s="1" t="s">
        <v>4591</v>
      </c>
      <c r="BN223" s="1">
        <v>13</v>
      </c>
      <c r="BO223" s="1"/>
      <c r="BP223" s="1" t="str">
        <f>HYPERLINK("https://nconnect.nicmar.ac.in/storage/profile/ProfilePhoto_P25700164_746531.jpg","Download")</f>
        <v>0</v>
      </c>
      <c r="BQ223" s="3"/>
      <c r="BR223" s="3"/>
    </row>
    <row r="224" spans="1:70">
      <c r="A224" s="1" t="s">
        <v>70</v>
      </c>
      <c r="B224" s="1" t="s">
        <v>1269</v>
      </c>
      <c r="C224" s="1" t="s">
        <v>4592</v>
      </c>
      <c r="D224" s="1" t="s">
        <v>4593</v>
      </c>
      <c r="E224" s="1"/>
      <c r="F224" s="1" t="s">
        <v>835</v>
      </c>
      <c r="G224" s="1" t="s">
        <v>4594</v>
      </c>
      <c r="H224" s="1" t="s">
        <v>4595</v>
      </c>
      <c r="I224" s="1" t="s">
        <v>4596</v>
      </c>
      <c r="J224" s="1">
        <v>7678285133</v>
      </c>
      <c r="K224" s="1" t="s">
        <v>79</v>
      </c>
      <c r="L224" s="1" t="s">
        <v>4597</v>
      </c>
      <c r="M224" s="1" t="s">
        <v>81</v>
      </c>
      <c r="N224" s="1" t="s">
        <v>241</v>
      </c>
      <c r="O224" s="1"/>
      <c r="P224" s="1" t="s">
        <v>1278</v>
      </c>
      <c r="Q224" s="1" t="s">
        <v>4598</v>
      </c>
      <c r="R224" s="1" t="s">
        <v>4599</v>
      </c>
      <c r="S224" s="1">
        <v>9810080989</v>
      </c>
      <c r="T224" s="1" t="s">
        <v>496</v>
      </c>
      <c r="U224" s="1" t="s">
        <v>4600</v>
      </c>
      <c r="V224" s="1">
        <v>9311332321</v>
      </c>
      <c r="W224" s="1" t="s">
        <v>89</v>
      </c>
      <c r="X224" s="1" t="s">
        <v>4601</v>
      </c>
      <c r="Y224" s="1" t="s">
        <v>4561</v>
      </c>
      <c r="Z224" s="1" t="s">
        <v>1355</v>
      </c>
      <c r="AA224" s="1" t="s">
        <v>4601</v>
      </c>
      <c r="AB224" s="1" t="s">
        <v>4561</v>
      </c>
      <c r="AC224" s="1" t="s">
        <v>1355</v>
      </c>
      <c r="AD224" s="1">
        <v>9.03</v>
      </c>
      <c r="AE224" s="1" t="s">
        <v>93</v>
      </c>
      <c r="AF224" s="1" t="s">
        <v>4602</v>
      </c>
      <c r="AG224" s="1" t="s">
        <v>4603</v>
      </c>
      <c r="AH224" s="1" t="s">
        <v>279</v>
      </c>
      <c r="AI224" s="1" t="s">
        <v>195</v>
      </c>
      <c r="AJ224" s="1">
        <v>93.1</v>
      </c>
      <c r="AK224" s="1">
        <v>9.8</v>
      </c>
      <c r="AL224" s="1" t="s">
        <v>4602</v>
      </c>
      <c r="AM224" s="1" t="s">
        <v>4603</v>
      </c>
      <c r="AN224" s="1" t="s">
        <v>1307</v>
      </c>
      <c r="AO224" s="1" t="s">
        <v>308</v>
      </c>
      <c r="AP224" s="1">
        <v>91.4</v>
      </c>
      <c r="AQ224" s="1">
        <v>0</v>
      </c>
      <c r="AR224" s="1"/>
      <c r="AS224" s="1"/>
      <c r="AT224" s="1"/>
      <c r="AU224" s="1"/>
      <c r="AV224" s="1"/>
      <c r="AW224" s="1"/>
      <c r="AX224" s="1" t="s">
        <v>4604</v>
      </c>
      <c r="AY224" s="1" t="s">
        <v>4605</v>
      </c>
      <c r="AZ224" s="1" t="s">
        <v>310</v>
      </c>
      <c r="BA224" s="1" t="s">
        <v>174</v>
      </c>
      <c r="BB224" s="1">
        <v>85.4</v>
      </c>
      <c r="BC224" s="1">
        <v>8.54</v>
      </c>
      <c r="BD224" s="1"/>
      <c r="BE224" s="1"/>
      <c r="BF224" s="1"/>
      <c r="BG224" s="1"/>
      <c r="BH224" s="1"/>
      <c r="BI224" s="1"/>
      <c r="BJ224" s="1" t="s">
        <v>4606</v>
      </c>
      <c r="BK224" s="1"/>
      <c r="BL224" s="1"/>
      <c r="BM224" s="1" t="s">
        <v>4607</v>
      </c>
      <c r="BN224" s="1">
        <v>30</v>
      </c>
      <c r="BO224" s="1"/>
      <c r="BP224" s="1" t="str">
        <f>HYPERLINK("https://nconnect.nicmar.ac.in/storage/profile/ProfilePhoto_P25700165_376415.jpg","Download")</f>
        <v>0</v>
      </c>
      <c r="BQ224" s="3"/>
      <c r="BR224" s="3"/>
    </row>
    <row r="225" spans="1:70">
      <c r="A225" s="1" t="s">
        <v>70</v>
      </c>
      <c r="B225" s="1" t="s">
        <v>1269</v>
      </c>
      <c r="C225" s="1" t="s">
        <v>4608</v>
      </c>
      <c r="D225" s="1" t="s">
        <v>367</v>
      </c>
      <c r="E225" s="1" t="s">
        <v>4609</v>
      </c>
      <c r="F225" s="1" t="s">
        <v>4610</v>
      </c>
      <c r="G225" s="1" t="s">
        <v>4611</v>
      </c>
      <c r="H225" s="1" t="s">
        <v>4612</v>
      </c>
      <c r="I225" s="1" t="s">
        <v>4613</v>
      </c>
      <c r="J225" s="1">
        <v>7559435455</v>
      </c>
      <c r="K225" s="1" t="s">
        <v>79</v>
      </c>
      <c r="L225" s="1" t="s">
        <v>3478</v>
      </c>
      <c r="M225" s="1" t="s">
        <v>81</v>
      </c>
      <c r="N225" s="1" t="s">
        <v>3236</v>
      </c>
      <c r="O225" s="1"/>
      <c r="P225" s="1" t="s">
        <v>1278</v>
      </c>
      <c r="Q225" s="1" t="s">
        <v>4614</v>
      </c>
      <c r="R225" s="1" t="s">
        <v>4615</v>
      </c>
      <c r="S225" s="1">
        <v>9673928999</v>
      </c>
      <c r="T225" s="1" t="s">
        <v>842</v>
      </c>
      <c r="U225" s="1" t="s">
        <v>4616</v>
      </c>
      <c r="V225" s="1">
        <v>9765211617</v>
      </c>
      <c r="W225" s="1" t="s">
        <v>273</v>
      </c>
      <c r="X225" s="1" t="s">
        <v>4617</v>
      </c>
      <c r="Y225" s="1" t="s">
        <v>191</v>
      </c>
      <c r="Z225" s="1" t="s">
        <v>92</v>
      </c>
      <c r="AA225" s="1" t="s">
        <v>4618</v>
      </c>
      <c r="AB225" s="1" t="s">
        <v>158</v>
      </c>
      <c r="AC225" s="1" t="s">
        <v>92</v>
      </c>
      <c r="AD225" s="1">
        <v>7.97</v>
      </c>
      <c r="AE225" s="1" t="s">
        <v>93</v>
      </c>
      <c r="AF225" s="1" t="s">
        <v>4619</v>
      </c>
      <c r="AG225" s="1" t="s">
        <v>1665</v>
      </c>
      <c r="AH225" s="1" t="s">
        <v>162</v>
      </c>
      <c r="AI225" s="1" t="s">
        <v>308</v>
      </c>
      <c r="AJ225" s="1">
        <v>84.6</v>
      </c>
      <c r="AK225" s="1"/>
      <c r="AL225" s="1" t="s">
        <v>4620</v>
      </c>
      <c r="AM225" s="1" t="s">
        <v>4621</v>
      </c>
      <c r="AN225" s="1" t="s">
        <v>310</v>
      </c>
      <c r="AO225" s="1" t="s">
        <v>2016</v>
      </c>
      <c r="AP225" s="1">
        <v>84.5</v>
      </c>
      <c r="AQ225" s="1"/>
      <c r="AR225" s="1"/>
      <c r="AS225" s="1"/>
      <c r="AT225" s="1"/>
      <c r="AU225" s="1"/>
      <c r="AV225" s="1"/>
      <c r="AW225" s="1"/>
      <c r="AX225" s="1" t="s">
        <v>361</v>
      </c>
      <c r="AY225" s="1" t="s">
        <v>4622</v>
      </c>
      <c r="AZ225" s="1" t="s">
        <v>897</v>
      </c>
      <c r="BA225" s="1" t="s">
        <v>1361</v>
      </c>
      <c r="BB225" s="1">
        <v>75.5</v>
      </c>
      <c r="BC225" s="1">
        <v>8.3</v>
      </c>
      <c r="BD225" s="1"/>
      <c r="BE225" s="1"/>
      <c r="BF225" s="1"/>
      <c r="BG225" s="1"/>
      <c r="BH225" s="1"/>
      <c r="BI225" s="1"/>
      <c r="BJ225" s="1" t="s">
        <v>364</v>
      </c>
      <c r="BK225" s="1"/>
      <c r="BL225" s="1"/>
      <c r="BM225" s="1"/>
      <c r="BN225" s="1"/>
      <c r="BO225" s="1"/>
      <c r="BP225" s="1" t="str">
        <f>HYPERLINK("https://nconnect.nicmar.ac.in/storage/profile/ProfilePhoto_P25700166_763589.jpg","Download")</f>
        <v>0</v>
      </c>
      <c r="BQ225" s="3"/>
      <c r="BR225" s="3"/>
    </row>
    <row r="226" spans="1:70">
      <c r="A226" s="1" t="s">
        <v>70</v>
      </c>
      <c r="B226" s="1" t="s">
        <v>1269</v>
      </c>
      <c r="C226" s="1" t="s">
        <v>4623</v>
      </c>
      <c r="D226" s="1" t="s">
        <v>4624</v>
      </c>
      <c r="E226" s="1"/>
      <c r="F226" s="1" t="s">
        <v>4625</v>
      </c>
      <c r="G226" s="1" t="s">
        <v>4626</v>
      </c>
      <c r="H226" s="1" t="s">
        <v>4627</v>
      </c>
      <c r="I226" s="1" t="s">
        <v>4628</v>
      </c>
      <c r="J226" s="1">
        <v>9441056172</v>
      </c>
      <c r="K226" s="1" t="s">
        <v>79</v>
      </c>
      <c r="L226" s="1" t="s">
        <v>4629</v>
      </c>
      <c r="M226" s="1" t="s">
        <v>81</v>
      </c>
      <c r="N226" s="1" t="s">
        <v>4630</v>
      </c>
      <c r="O226" s="1"/>
      <c r="P226" s="1" t="s">
        <v>1323</v>
      </c>
      <c r="Q226" s="1" t="s">
        <v>4631</v>
      </c>
      <c r="R226" s="1" t="s">
        <v>4632</v>
      </c>
      <c r="S226" s="1">
        <v>9945279015</v>
      </c>
      <c r="T226" s="1" t="s">
        <v>496</v>
      </c>
      <c r="U226" s="1" t="s">
        <v>4633</v>
      </c>
      <c r="V226" s="1">
        <v>9440883642</v>
      </c>
      <c r="W226" s="1" t="s">
        <v>4634</v>
      </c>
      <c r="X226" s="1" t="s">
        <v>4635</v>
      </c>
      <c r="Y226" s="1" t="s">
        <v>4636</v>
      </c>
      <c r="Z226" s="1" t="s">
        <v>276</v>
      </c>
      <c r="AA226" s="1" t="s">
        <v>4635</v>
      </c>
      <c r="AB226" s="1" t="s">
        <v>4636</v>
      </c>
      <c r="AC226" s="1" t="s">
        <v>276</v>
      </c>
      <c r="AD226" s="1">
        <v>8.23</v>
      </c>
      <c r="AE226" s="1" t="s">
        <v>93</v>
      </c>
      <c r="AF226" s="1" t="s">
        <v>4637</v>
      </c>
      <c r="AG226" s="1" t="s">
        <v>2245</v>
      </c>
      <c r="AH226" s="1" t="s">
        <v>165</v>
      </c>
      <c r="AI226" s="1" t="s">
        <v>1307</v>
      </c>
      <c r="AJ226" s="1">
        <v>90</v>
      </c>
      <c r="AK226" s="1"/>
      <c r="AL226" s="1" t="s">
        <v>4637</v>
      </c>
      <c r="AM226" s="1" t="s">
        <v>613</v>
      </c>
      <c r="AN226" s="1" t="s">
        <v>101</v>
      </c>
      <c r="AO226" s="1" t="s">
        <v>699</v>
      </c>
      <c r="AP226" s="1">
        <v>65.4</v>
      </c>
      <c r="AQ226" s="1"/>
      <c r="AR226" s="1"/>
      <c r="AS226" s="1"/>
      <c r="AT226" s="1"/>
      <c r="AU226" s="1"/>
      <c r="AV226" s="1"/>
      <c r="AW226" s="1"/>
      <c r="AX226" s="1" t="s">
        <v>1088</v>
      </c>
      <c r="AY226" s="1" t="s">
        <v>4638</v>
      </c>
      <c r="AZ226" s="1" t="s">
        <v>363</v>
      </c>
      <c r="BA226" s="1" t="s">
        <v>202</v>
      </c>
      <c r="BB226" s="1">
        <v>68.4</v>
      </c>
      <c r="BC226" s="1"/>
      <c r="BD226" s="1"/>
      <c r="BE226" s="1"/>
      <c r="BF226" s="1"/>
      <c r="BG226" s="1"/>
      <c r="BH226" s="1"/>
      <c r="BI226" s="1"/>
      <c r="BJ226" s="1" t="s">
        <v>3090</v>
      </c>
      <c r="BK226" s="1"/>
      <c r="BL226" s="1"/>
      <c r="BM226" s="1" t="s">
        <v>4639</v>
      </c>
      <c r="BN226" s="1">
        <v>38</v>
      </c>
      <c r="BO226" s="1"/>
      <c r="BP226" s="1" t="str">
        <f>HYPERLINK("https://nconnect.nicmar.ac.in/storage/profile/ProfilePhoto_P25700167_351762.jpg","Download")</f>
        <v>0</v>
      </c>
      <c r="BQ226" s="3"/>
      <c r="BR226" s="3"/>
    </row>
    <row r="227" spans="1:70">
      <c r="A227" s="1" t="s">
        <v>70</v>
      </c>
      <c r="B227" s="1" t="s">
        <v>1269</v>
      </c>
      <c r="C227" s="1" t="s">
        <v>4640</v>
      </c>
      <c r="D227" s="1" t="s">
        <v>4641</v>
      </c>
      <c r="E227" s="1"/>
      <c r="F227" s="1" t="s">
        <v>4642</v>
      </c>
      <c r="G227" s="1" t="s">
        <v>4643</v>
      </c>
      <c r="H227" s="1" t="s">
        <v>4644</v>
      </c>
      <c r="I227" s="1" t="s">
        <v>4645</v>
      </c>
      <c r="J227" s="1">
        <v>9908717046</v>
      </c>
      <c r="K227" s="1" t="s">
        <v>79</v>
      </c>
      <c r="L227" s="1" t="s">
        <v>4646</v>
      </c>
      <c r="M227" s="1" t="s">
        <v>81</v>
      </c>
      <c r="N227" s="1" t="s">
        <v>4647</v>
      </c>
      <c r="O227" s="1"/>
      <c r="P227" s="1" t="s">
        <v>1298</v>
      </c>
      <c r="Q227" s="1" t="s">
        <v>4648</v>
      </c>
      <c r="R227" s="1" t="s">
        <v>4649</v>
      </c>
      <c r="S227" s="1">
        <v>8328535737</v>
      </c>
      <c r="T227" s="1" t="s">
        <v>4650</v>
      </c>
      <c r="U227" s="1" t="s">
        <v>4651</v>
      </c>
      <c r="V227" s="1">
        <v>6301738627</v>
      </c>
      <c r="W227" s="1" t="s">
        <v>651</v>
      </c>
      <c r="X227" s="1" t="s">
        <v>4652</v>
      </c>
      <c r="Y227" s="1" t="s">
        <v>2727</v>
      </c>
      <c r="Z227" s="1" t="s">
        <v>276</v>
      </c>
      <c r="AA227" s="1" t="s">
        <v>4652</v>
      </c>
      <c r="AB227" s="1" t="s">
        <v>2727</v>
      </c>
      <c r="AC227" s="1" t="s">
        <v>276</v>
      </c>
      <c r="AD227" s="1">
        <v>7.87</v>
      </c>
      <c r="AE227" s="1" t="s">
        <v>93</v>
      </c>
      <c r="AF227" s="1" t="s">
        <v>4653</v>
      </c>
      <c r="AG227" s="1" t="s">
        <v>4654</v>
      </c>
      <c r="AH227" s="1" t="s">
        <v>195</v>
      </c>
      <c r="AI227" s="1" t="s">
        <v>1307</v>
      </c>
      <c r="AJ227" s="1">
        <v>83</v>
      </c>
      <c r="AK227" s="1">
        <v>8.3</v>
      </c>
      <c r="AL227" s="1" t="s">
        <v>4655</v>
      </c>
      <c r="AM227" s="1" t="s">
        <v>4656</v>
      </c>
      <c r="AN227" s="1" t="s">
        <v>310</v>
      </c>
      <c r="AO227" s="1" t="s">
        <v>173</v>
      </c>
      <c r="AP227" s="1">
        <v>57.92</v>
      </c>
      <c r="AQ227" s="1">
        <v>6.19</v>
      </c>
      <c r="AR227" s="1"/>
      <c r="AS227" s="1"/>
      <c r="AT227" s="1"/>
      <c r="AU227" s="1"/>
      <c r="AV227" s="1"/>
      <c r="AW227" s="1"/>
      <c r="AX227" s="1" t="s">
        <v>4657</v>
      </c>
      <c r="AY227" s="1" t="s">
        <v>4658</v>
      </c>
      <c r="AZ227" s="1" t="s">
        <v>173</v>
      </c>
      <c r="BA227" s="1" t="s">
        <v>1939</v>
      </c>
      <c r="BB227" s="1">
        <v>56.7</v>
      </c>
      <c r="BC227" s="1">
        <v>6.42</v>
      </c>
      <c r="BD227" s="1"/>
      <c r="BE227" s="1"/>
      <c r="BF227" s="1"/>
      <c r="BG227" s="1"/>
      <c r="BH227" s="1"/>
      <c r="BI227" s="1"/>
      <c r="BJ227" s="1" t="s">
        <v>4659</v>
      </c>
      <c r="BK227" s="1"/>
      <c r="BL227" s="1"/>
      <c r="BM227" s="1" t="s">
        <v>4660</v>
      </c>
      <c r="BN227" s="1">
        <v>26</v>
      </c>
      <c r="BO227" s="1"/>
      <c r="BP227" s="1" t="str">
        <f>HYPERLINK("https://nconnect.nicmar.ac.in/storage/profile/ProfilePhoto_P25700168_965724.jpg","Download")</f>
        <v>0</v>
      </c>
      <c r="BQ227" s="3"/>
      <c r="BR227" s="3"/>
    </row>
    <row r="228" spans="1:70">
      <c r="A228" s="1" t="s">
        <v>70</v>
      </c>
      <c r="B228" s="1" t="s">
        <v>1269</v>
      </c>
      <c r="C228" s="1" t="s">
        <v>4661</v>
      </c>
      <c r="D228" s="1" t="s">
        <v>464</v>
      </c>
      <c r="E228" s="1" t="s">
        <v>4662</v>
      </c>
      <c r="F228" s="1" t="s">
        <v>4663</v>
      </c>
      <c r="G228" s="1" t="s">
        <v>4664</v>
      </c>
      <c r="H228" s="1" t="s">
        <v>4665</v>
      </c>
      <c r="I228" s="1" t="s">
        <v>4666</v>
      </c>
      <c r="J228" s="1">
        <v>9156403403</v>
      </c>
      <c r="K228" s="1" t="s">
        <v>148</v>
      </c>
      <c r="L228" s="1" t="s">
        <v>4667</v>
      </c>
      <c r="M228" s="1" t="s">
        <v>81</v>
      </c>
      <c r="N228" s="1" t="s">
        <v>2008</v>
      </c>
      <c r="O228" s="1"/>
      <c r="P228" s="1" t="s">
        <v>1278</v>
      </c>
      <c r="Q228" s="1" t="s">
        <v>4668</v>
      </c>
      <c r="R228" s="1" t="s">
        <v>4662</v>
      </c>
      <c r="S228" s="1">
        <v>9860505903</v>
      </c>
      <c r="T228" s="1" t="s">
        <v>842</v>
      </c>
      <c r="U228" s="1" t="s">
        <v>2703</v>
      </c>
      <c r="V228" s="1">
        <v>8600289306</v>
      </c>
      <c r="W228" s="1" t="s">
        <v>89</v>
      </c>
      <c r="X228" s="1" t="s">
        <v>4669</v>
      </c>
      <c r="Y228" s="1" t="s">
        <v>379</v>
      </c>
      <c r="Z228" s="1" t="s">
        <v>92</v>
      </c>
      <c r="AA228" s="1" t="s">
        <v>4669</v>
      </c>
      <c r="AB228" s="1" t="s">
        <v>379</v>
      </c>
      <c r="AC228" s="1" t="s">
        <v>92</v>
      </c>
      <c r="AD228" s="1">
        <v>9.57</v>
      </c>
      <c r="AE228" s="1" t="s">
        <v>93</v>
      </c>
      <c r="AF228" s="1" t="s">
        <v>4670</v>
      </c>
      <c r="AG228" s="1" t="s">
        <v>4671</v>
      </c>
      <c r="AH228" s="1" t="s">
        <v>503</v>
      </c>
      <c r="AI228" s="1" t="s">
        <v>527</v>
      </c>
      <c r="AJ228" s="1">
        <v>89.3</v>
      </c>
      <c r="AK228" s="1">
        <v>9.4</v>
      </c>
      <c r="AL228" s="1" t="s">
        <v>4672</v>
      </c>
      <c r="AM228" s="1" t="s">
        <v>4673</v>
      </c>
      <c r="AN228" s="1" t="s">
        <v>165</v>
      </c>
      <c r="AO228" s="1" t="s">
        <v>166</v>
      </c>
      <c r="AP228" s="1">
        <v>89.23</v>
      </c>
      <c r="AQ228" s="1"/>
      <c r="AR228" s="1"/>
      <c r="AS228" s="1"/>
      <c r="AT228" s="1"/>
      <c r="AU228" s="1"/>
      <c r="AV228" s="1"/>
      <c r="AW228" s="1"/>
      <c r="AX228" s="1" t="s">
        <v>1853</v>
      </c>
      <c r="AY228" s="1" t="s">
        <v>4674</v>
      </c>
      <c r="AZ228" s="1" t="s">
        <v>169</v>
      </c>
      <c r="BA228" s="1" t="s">
        <v>229</v>
      </c>
      <c r="BB228" s="1">
        <v>83.31</v>
      </c>
      <c r="BC228" s="1">
        <v>8.77</v>
      </c>
      <c r="BD228" s="1"/>
      <c r="BE228" s="1"/>
      <c r="BF228" s="1"/>
      <c r="BG228" s="1"/>
      <c r="BH228" s="1"/>
      <c r="BI228" s="1"/>
      <c r="BJ228" s="1" t="s">
        <v>4675</v>
      </c>
      <c r="BK228" s="1" t="s">
        <v>4676</v>
      </c>
      <c r="BL228" s="1" t="s">
        <v>1629</v>
      </c>
      <c r="BM228" s="1" t="s">
        <v>4677</v>
      </c>
      <c r="BN228" s="1">
        <v>26</v>
      </c>
      <c r="BO228" s="1" t="s">
        <v>4678</v>
      </c>
      <c r="BP228" s="1" t="str">
        <f>HYPERLINK("https://nconnect.nicmar.ac.in/storage/profile/ProfilePhoto_P25700169_478621.jpg","Download")</f>
        <v>0</v>
      </c>
      <c r="BQ228" s="3"/>
      <c r="BR228" s="3"/>
    </row>
    <row r="229" spans="1:70">
      <c r="A229" s="1" t="s">
        <v>70</v>
      </c>
      <c r="B229" s="1" t="s">
        <v>1269</v>
      </c>
      <c r="C229" s="1" t="s">
        <v>4679</v>
      </c>
      <c r="D229" s="1" t="s">
        <v>4680</v>
      </c>
      <c r="E229" s="1"/>
      <c r="F229" s="1" t="s">
        <v>1226</v>
      </c>
      <c r="G229" s="1" t="s">
        <v>4681</v>
      </c>
      <c r="H229" s="1" t="s">
        <v>4682</v>
      </c>
      <c r="I229" s="1" t="s">
        <v>4683</v>
      </c>
      <c r="J229" s="1">
        <v>8628051005</v>
      </c>
      <c r="K229" s="1" t="s">
        <v>79</v>
      </c>
      <c r="L229" s="1" t="s">
        <v>4684</v>
      </c>
      <c r="M229" s="1" t="s">
        <v>81</v>
      </c>
      <c r="N229" s="1" t="s">
        <v>3788</v>
      </c>
      <c r="O229" s="1"/>
      <c r="P229" s="1" t="s">
        <v>1278</v>
      </c>
      <c r="Q229" s="1" t="s">
        <v>4685</v>
      </c>
      <c r="R229" s="1" t="s">
        <v>4686</v>
      </c>
      <c r="S229" s="1">
        <v>9501232100</v>
      </c>
      <c r="T229" s="1" t="s">
        <v>4687</v>
      </c>
      <c r="U229" s="1" t="s">
        <v>4688</v>
      </c>
      <c r="V229" s="1">
        <v>9418046030</v>
      </c>
      <c r="W229" s="1" t="s">
        <v>4689</v>
      </c>
      <c r="X229" s="1" t="s">
        <v>4690</v>
      </c>
      <c r="Y229" s="1" t="s">
        <v>4691</v>
      </c>
      <c r="Z229" s="1" t="s">
        <v>3426</v>
      </c>
      <c r="AA229" s="1" t="s">
        <v>4690</v>
      </c>
      <c r="AB229" s="1" t="s">
        <v>4691</v>
      </c>
      <c r="AC229" s="1" t="s">
        <v>3426</v>
      </c>
      <c r="AD229" s="1">
        <v>7.2</v>
      </c>
      <c r="AE229" s="1" t="s">
        <v>93</v>
      </c>
      <c r="AF229" s="1" t="s">
        <v>4692</v>
      </c>
      <c r="AG229" s="1" t="s">
        <v>1665</v>
      </c>
      <c r="AH229" s="1" t="s">
        <v>195</v>
      </c>
      <c r="AI229" s="1" t="s">
        <v>281</v>
      </c>
      <c r="AJ229" s="1">
        <v>61.8</v>
      </c>
      <c r="AK229" s="1">
        <v>0</v>
      </c>
      <c r="AL229" s="1" t="s">
        <v>4693</v>
      </c>
      <c r="AM229" s="1" t="s">
        <v>1665</v>
      </c>
      <c r="AN229" s="1" t="s">
        <v>409</v>
      </c>
      <c r="AO229" s="1" t="s">
        <v>941</v>
      </c>
      <c r="AP229" s="1">
        <v>63.2</v>
      </c>
      <c r="AQ229" s="1">
        <v>0</v>
      </c>
      <c r="AR229" s="1"/>
      <c r="AS229" s="1"/>
      <c r="AT229" s="1"/>
      <c r="AU229" s="1"/>
      <c r="AV229" s="1"/>
      <c r="AW229" s="1"/>
      <c r="AX229" s="1" t="s">
        <v>4694</v>
      </c>
      <c r="AY229" s="1" t="s">
        <v>4695</v>
      </c>
      <c r="AZ229" s="1" t="s">
        <v>920</v>
      </c>
      <c r="BA229" s="1" t="s">
        <v>1939</v>
      </c>
      <c r="BB229" s="1">
        <v>70.5</v>
      </c>
      <c r="BC229" s="1">
        <v>7.05</v>
      </c>
      <c r="BD229" s="1"/>
      <c r="BE229" s="1"/>
      <c r="BF229" s="1"/>
      <c r="BG229" s="1"/>
      <c r="BH229" s="1"/>
      <c r="BI229" s="1"/>
      <c r="BJ229" s="1" t="s">
        <v>364</v>
      </c>
      <c r="BK229" s="1"/>
      <c r="BL229" s="1"/>
      <c r="BM229" s="1" t="s">
        <v>4696</v>
      </c>
      <c r="BN229" s="1">
        <v>45</v>
      </c>
      <c r="BO229" s="1"/>
      <c r="BP229" s="1" t="str">
        <f>HYPERLINK("https://nconnect.nicmar.ac.in/storage/profile/ProfilePhoto_P25700170_489362.jpg","Download")</f>
        <v>0</v>
      </c>
      <c r="BQ229" s="3"/>
      <c r="BR229" s="3"/>
    </row>
    <row r="230" spans="1:70">
      <c r="A230" s="1" t="s">
        <v>70</v>
      </c>
      <c r="B230" s="1" t="s">
        <v>1269</v>
      </c>
      <c r="C230" s="1" t="s">
        <v>4697</v>
      </c>
      <c r="D230" s="1" t="s">
        <v>4698</v>
      </c>
      <c r="E230" s="1"/>
      <c r="F230" s="1" t="s">
        <v>4699</v>
      </c>
      <c r="G230" s="1" t="s">
        <v>4700</v>
      </c>
      <c r="H230" s="1" t="s">
        <v>4701</v>
      </c>
      <c r="I230" s="1" t="s">
        <v>4702</v>
      </c>
      <c r="J230" s="1">
        <v>7980670867</v>
      </c>
      <c r="K230" s="1" t="s">
        <v>79</v>
      </c>
      <c r="L230" s="1" t="s">
        <v>4703</v>
      </c>
      <c r="M230" s="1" t="s">
        <v>81</v>
      </c>
      <c r="N230" s="1" t="s">
        <v>4704</v>
      </c>
      <c r="O230" s="1"/>
      <c r="P230" s="1" t="s">
        <v>1278</v>
      </c>
      <c r="Q230" s="1" t="s">
        <v>4705</v>
      </c>
      <c r="R230" s="1" t="s">
        <v>4706</v>
      </c>
      <c r="S230" s="1">
        <v>9073192519</v>
      </c>
      <c r="T230" s="1" t="s">
        <v>120</v>
      </c>
      <c r="U230" s="1" t="s">
        <v>4707</v>
      </c>
      <c r="V230" s="1">
        <v>9433860343</v>
      </c>
      <c r="W230" s="1" t="s">
        <v>120</v>
      </c>
      <c r="X230" s="1" t="s">
        <v>4708</v>
      </c>
      <c r="Y230" s="1" t="s">
        <v>4709</v>
      </c>
      <c r="Z230" s="1" t="s">
        <v>783</v>
      </c>
      <c r="AA230" s="1" t="s">
        <v>4708</v>
      </c>
      <c r="AB230" s="1" t="s">
        <v>4709</v>
      </c>
      <c r="AC230" s="1" t="s">
        <v>783</v>
      </c>
      <c r="AD230" s="1">
        <v>8.77</v>
      </c>
      <c r="AE230" s="1" t="s">
        <v>93</v>
      </c>
      <c r="AF230" s="1" t="s">
        <v>4710</v>
      </c>
      <c r="AG230" s="1" t="s">
        <v>1152</v>
      </c>
      <c r="AH230" s="1" t="s">
        <v>2223</v>
      </c>
      <c r="AI230" s="1" t="s">
        <v>332</v>
      </c>
      <c r="AJ230" s="1">
        <v>74.57</v>
      </c>
      <c r="AK230" s="1"/>
      <c r="AL230" s="1" t="s">
        <v>4711</v>
      </c>
      <c r="AM230" s="1" t="s">
        <v>1152</v>
      </c>
      <c r="AN230" s="1" t="s">
        <v>4712</v>
      </c>
      <c r="AO230" s="1" t="s">
        <v>1242</v>
      </c>
      <c r="AP230" s="1">
        <v>61.33</v>
      </c>
      <c r="AQ230" s="1"/>
      <c r="AR230" s="1"/>
      <c r="AS230" s="1"/>
      <c r="AT230" s="1"/>
      <c r="AU230" s="1"/>
      <c r="AV230" s="1"/>
      <c r="AW230" s="1"/>
      <c r="AX230" s="1" t="s">
        <v>2078</v>
      </c>
      <c r="AY230" s="1" t="s">
        <v>4713</v>
      </c>
      <c r="AZ230" s="1" t="s">
        <v>2403</v>
      </c>
      <c r="BA230" s="1" t="s">
        <v>383</v>
      </c>
      <c r="BB230" s="1">
        <v>68.8</v>
      </c>
      <c r="BC230" s="1">
        <v>7.63</v>
      </c>
      <c r="BD230" s="1"/>
      <c r="BE230" s="1"/>
      <c r="BF230" s="1"/>
      <c r="BG230" s="1"/>
      <c r="BH230" s="1"/>
      <c r="BI230" s="1"/>
      <c r="BJ230" s="1" t="s">
        <v>4714</v>
      </c>
      <c r="BK230" s="1" t="s">
        <v>4715</v>
      </c>
      <c r="BL230" s="1" t="s">
        <v>4716</v>
      </c>
      <c r="BM230" s="1" t="s">
        <v>4717</v>
      </c>
      <c r="BN230" s="1">
        <v>25</v>
      </c>
      <c r="BO230" s="1" t="s">
        <v>4718</v>
      </c>
      <c r="BP230" s="1" t="str">
        <f>HYPERLINK("https://nconnect.nicmar.ac.in/storage/profile/ProfilePhoto_P25700171_586279.jpg","Download")</f>
        <v>0</v>
      </c>
      <c r="BQ230" s="3"/>
      <c r="BR230" s="3"/>
    </row>
    <row r="231" spans="1:70">
      <c r="A231" s="1" t="s">
        <v>70</v>
      </c>
      <c r="B231" s="1" t="s">
        <v>1269</v>
      </c>
      <c r="C231" s="1" t="s">
        <v>4719</v>
      </c>
      <c r="D231" s="1" t="s">
        <v>4720</v>
      </c>
      <c r="E231" s="1" t="s">
        <v>1612</v>
      </c>
      <c r="F231" s="1" t="s">
        <v>2024</v>
      </c>
      <c r="G231" s="1" t="s">
        <v>4721</v>
      </c>
      <c r="H231" s="1" t="s">
        <v>4722</v>
      </c>
      <c r="I231" s="1" t="s">
        <v>4723</v>
      </c>
      <c r="J231" s="1">
        <v>8108181970</v>
      </c>
      <c r="K231" s="1" t="s">
        <v>148</v>
      </c>
      <c r="L231" s="1" t="s">
        <v>4724</v>
      </c>
      <c r="M231" s="1" t="s">
        <v>81</v>
      </c>
      <c r="N231" s="1" t="s">
        <v>2008</v>
      </c>
      <c r="O231" s="1"/>
      <c r="P231" s="1" t="s">
        <v>2507</v>
      </c>
      <c r="Q231" s="1" t="s">
        <v>4725</v>
      </c>
      <c r="R231" s="1" t="s">
        <v>4726</v>
      </c>
      <c r="S231" s="1">
        <v>9222467061</v>
      </c>
      <c r="T231" s="1" t="s">
        <v>496</v>
      </c>
      <c r="U231" s="1" t="s">
        <v>4727</v>
      </c>
      <c r="V231" s="1">
        <v>9167146470</v>
      </c>
      <c r="W231" s="1" t="s">
        <v>273</v>
      </c>
      <c r="X231" s="1" t="s">
        <v>4728</v>
      </c>
      <c r="Y231" s="1" t="s">
        <v>766</v>
      </c>
      <c r="Z231" s="1" t="s">
        <v>92</v>
      </c>
      <c r="AA231" s="1" t="s">
        <v>4728</v>
      </c>
      <c r="AB231" s="1" t="s">
        <v>766</v>
      </c>
      <c r="AC231" s="1" t="s">
        <v>92</v>
      </c>
      <c r="AD231" s="1">
        <v>7.16</v>
      </c>
      <c r="AE231" s="1" t="s">
        <v>93</v>
      </c>
      <c r="AF231" s="1" t="s">
        <v>4729</v>
      </c>
      <c r="AG231" s="1" t="s">
        <v>4730</v>
      </c>
      <c r="AH231" s="1" t="s">
        <v>162</v>
      </c>
      <c r="AI231" s="1" t="s">
        <v>195</v>
      </c>
      <c r="AJ231" s="1">
        <v>67</v>
      </c>
      <c r="AK231" s="1"/>
      <c r="AL231" s="1" t="s">
        <v>4731</v>
      </c>
      <c r="AM231" s="1" t="s">
        <v>4732</v>
      </c>
      <c r="AN231" s="1" t="s">
        <v>101</v>
      </c>
      <c r="AO231" s="1" t="s">
        <v>198</v>
      </c>
      <c r="AP231" s="1">
        <v>61.85</v>
      </c>
      <c r="AQ231" s="1"/>
      <c r="AR231" s="1"/>
      <c r="AS231" s="1"/>
      <c r="AT231" s="1"/>
      <c r="AU231" s="1"/>
      <c r="AV231" s="1"/>
      <c r="AW231" s="1"/>
      <c r="AX231" s="1" t="s">
        <v>4733</v>
      </c>
      <c r="AY231" s="1" t="s">
        <v>4734</v>
      </c>
      <c r="AZ231" s="1" t="s">
        <v>310</v>
      </c>
      <c r="BA231" s="1" t="s">
        <v>3165</v>
      </c>
      <c r="BB231" s="1">
        <v>60</v>
      </c>
      <c r="BC231" s="1">
        <v>8.1</v>
      </c>
      <c r="BD231" s="1"/>
      <c r="BE231" s="1"/>
      <c r="BF231" s="1"/>
      <c r="BG231" s="1"/>
      <c r="BH231" s="1"/>
      <c r="BI231" s="1"/>
      <c r="BJ231" s="1" t="s">
        <v>4735</v>
      </c>
      <c r="BK231" s="1" t="s">
        <v>4736</v>
      </c>
      <c r="BL231" s="1" t="s">
        <v>4737</v>
      </c>
      <c r="BM231" s="1" t="s">
        <v>4738</v>
      </c>
      <c r="BN231" s="1">
        <v>40</v>
      </c>
      <c r="BO231" s="1" t="s">
        <v>4739</v>
      </c>
      <c r="BP231" s="1" t="str">
        <f>HYPERLINK("https://nconnect.nicmar.ac.in/storage/profile/ProfilePhoto_P25700172_489631.jpg","Download")</f>
        <v>0</v>
      </c>
      <c r="BQ231" s="3"/>
      <c r="BR231" s="3"/>
    </row>
    <row r="232" spans="1:70">
      <c r="A232" s="1" t="s">
        <v>70</v>
      </c>
      <c r="B232" s="1" t="s">
        <v>1269</v>
      </c>
      <c r="C232" s="1" t="s">
        <v>4740</v>
      </c>
      <c r="D232" s="1" t="s">
        <v>4741</v>
      </c>
      <c r="E232" s="1" t="s">
        <v>650</v>
      </c>
      <c r="F232" s="1" t="s">
        <v>4742</v>
      </c>
      <c r="G232" s="1" t="s">
        <v>4743</v>
      </c>
      <c r="H232" s="1" t="s">
        <v>4744</v>
      </c>
      <c r="I232" s="1" t="s">
        <v>4745</v>
      </c>
      <c r="J232" s="1">
        <v>7798109599</v>
      </c>
      <c r="K232" s="1" t="s">
        <v>148</v>
      </c>
      <c r="L232" s="1" t="s">
        <v>4746</v>
      </c>
      <c r="M232" s="1" t="s">
        <v>150</v>
      </c>
      <c r="N232" s="1" t="s">
        <v>2008</v>
      </c>
      <c r="O232" s="1" t="s">
        <v>4747</v>
      </c>
      <c r="P232" s="1" t="s">
        <v>1298</v>
      </c>
      <c r="Q232" s="1" t="s">
        <v>4748</v>
      </c>
      <c r="R232" s="1" t="s">
        <v>4749</v>
      </c>
      <c r="S232" s="1">
        <v>8830002525</v>
      </c>
      <c r="T232" s="1" t="s">
        <v>325</v>
      </c>
      <c r="U232" s="1" t="s">
        <v>4750</v>
      </c>
      <c r="V232" s="1">
        <v>9422332043</v>
      </c>
      <c r="W232" s="1" t="s">
        <v>156</v>
      </c>
      <c r="X232" s="1" t="s">
        <v>4751</v>
      </c>
      <c r="Y232" s="1" t="s">
        <v>191</v>
      </c>
      <c r="Z232" s="1" t="s">
        <v>92</v>
      </c>
      <c r="AA232" s="1" t="s">
        <v>4752</v>
      </c>
      <c r="AB232" s="1" t="s">
        <v>523</v>
      </c>
      <c r="AC232" s="1" t="s">
        <v>92</v>
      </c>
      <c r="AD232" s="1">
        <v>8.76</v>
      </c>
      <c r="AE232" s="1" t="s">
        <v>93</v>
      </c>
      <c r="AF232" s="1" t="s">
        <v>2706</v>
      </c>
      <c r="AG232" s="1" t="s">
        <v>160</v>
      </c>
      <c r="AH232" s="1" t="s">
        <v>657</v>
      </c>
      <c r="AI232" s="1" t="s">
        <v>727</v>
      </c>
      <c r="AJ232" s="1">
        <v>88.55</v>
      </c>
      <c r="AK232" s="1"/>
      <c r="AL232" s="1" t="s">
        <v>1130</v>
      </c>
      <c r="AM232" s="1" t="s">
        <v>160</v>
      </c>
      <c r="AN232" s="1" t="s">
        <v>998</v>
      </c>
      <c r="AO232" s="1" t="s">
        <v>4753</v>
      </c>
      <c r="AP232" s="1">
        <v>64.62</v>
      </c>
      <c r="AQ232" s="1"/>
      <c r="AR232" s="1"/>
      <c r="AS232" s="1"/>
      <c r="AT232" s="1"/>
      <c r="AU232" s="1"/>
      <c r="AV232" s="1"/>
      <c r="AW232" s="1"/>
      <c r="AX232" s="1" t="s">
        <v>361</v>
      </c>
      <c r="AY232" s="1" t="s">
        <v>4754</v>
      </c>
      <c r="AZ232" s="1" t="s">
        <v>96</v>
      </c>
      <c r="BA232" s="1" t="s">
        <v>1834</v>
      </c>
      <c r="BB232" s="1">
        <v>66.24</v>
      </c>
      <c r="BC232" s="1">
        <v>7.44</v>
      </c>
      <c r="BD232" s="1"/>
      <c r="BE232" s="1"/>
      <c r="BF232" s="1"/>
      <c r="BG232" s="1"/>
      <c r="BH232" s="1"/>
      <c r="BI232" s="1"/>
      <c r="BJ232" s="1" t="s">
        <v>4755</v>
      </c>
      <c r="BK232" s="1" t="s">
        <v>4756</v>
      </c>
      <c r="BL232" s="1" t="s">
        <v>4757</v>
      </c>
      <c r="BM232" s="1" t="s">
        <v>4758</v>
      </c>
      <c r="BN232" s="1">
        <v>34</v>
      </c>
      <c r="BO232" s="1"/>
      <c r="BP232" s="1" t="str">
        <f>HYPERLINK("https://nconnect.nicmar.ac.in/storage/profile/ProfilePhoto_P25700174_784592.jpg","Download")</f>
        <v>0</v>
      </c>
      <c r="BQ232" s="3"/>
      <c r="BR232" s="3"/>
    </row>
    <row r="233" spans="1:70">
      <c r="A233" s="1" t="s">
        <v>70</v>
      </c>
      <c r="B233" s="1" t="s">
        <v>1269</v>
      </c>
      <c r="C233" s="1" t="s">
        <v>4759</v>
      </c>
      <c r="D233" s="1" t="s">
        <v>4760</v>
      </c>
      <c r="E233" s="1" t="s">
        <v>2658</v>
      </c>
      <c r="F233" s="1" t="s">
        <v>4761</v>
      </c>
      <c r="G233" s="1" t="s">
        <v>4762</v>
      </c>
      <c r="H233" s="1" t="s">
        <v>4763</v>
      </c>
      <c r="I233" s="1" t="s">
        <v>4764</v>
      </c>
      <c r="J233" s="1">
        <v>7892922882</v>
      </c>
      <c r="K233" s="1" t="s">
        <v>148</v>
      </c>
      <c r="L233" s="1" t="s">
        <v>4765</v>
      </c>
      <c r="M233" s="1" t="s">
        <v>81</v>
      </c>
      <c r="N233" s="1" t="s">
        <v>4766</v>
      </c>
      <c r="O233" s="1"/>
      <c r="P233" s="1" t="s">
        <v>1298</v>
      </c>
      <c r="Q233" s="1" t="s">
        <v>4767</v>
      </c>
      <c r="R233" s="1" t="s">
        <v>4768</v>
      </c>
      <c r="S233" s="1">
        <v>9449799979</v>
      </c>
      <c r="T233" s="1" t="s">
        <v>496</v>
      </c>
      <c r="U233" s="1" t="s">
        <v>4769</v>
      </c>
      <c r="V233" s="1">
        <v>9481938444</v>
      </c>
      <c r="W233" s="1" t="s">
        <v>89</v>
      </c>
      <c r="X233" s="1" t="s">
        <v>4770</v>
      </c>
      <c r="Y233" s="1" t="s">
        <v>4771</v>
      </c>
      <c r="Z233" s="1" t="s">
        <v>1084</v>
      </c>
      <c r="AA233" s="1" t="s">
        <v>4772</v>
      </c>
      <c r="AB233" s="1" t="s">
        <v>4771</v>
      </c>
      <c r="AC233" s="1" t="s">
        <v>1084</v>
      </c>
      <c r="AD233" s="1">
        <v>7.57</v>
      </c>
      <c r="AE233" s="1" t="s">
        <v>93</v>
      </c>
      <c r="AF233" s="1" t="s">
        <v>4773</v>
      </c>
      <c r="AG233" s="1" t="s">
        <v>4774</v>
      </c>
      <c r="AH233" s="1" t="s">
        <v>162</v>
      </c>
      <c r="AI233" s="1" t="s">
        <v>165</v>
      </c>
      <c r="AJ233" s="1">
        <v>89.3</v>
      </c>
      <c r="AK233" s="1">
        <v>9.4</v>
      </c>
      <c r="AL233" s="1" t="s">
        <v>4775</v>
      </c>
      <c r="AM233" s="1" t="s">
        <v>4776</v>
      </c>
      <c r="AN233" s="1" t="s">
        <v>101</v>
      </c>
      <c r="AO233" s="1" t="s">
        <v>1065</v>
      </c>
      <c r="AP233" s="1">
        <v>66.1</v>
      </c>
      <c r="AQ233" s="1"/>
      <c r="AR233" s="1"/>
      <c r="AS233" s="1"/>
      <c r="AT233" s="1"/>
      <c r="AU233" s="1"/>
      <c r="AV233" s="1"/>
      <c r="AW233" s="1"/>
      <c r="AX233" s="1" t="s">
        <v>4777</v>
      </c>
      <c r="AY233" s="1" t="s">
        <v>4778</v>
      </c>
      <c r="AZ233" s="1" t="s">
        <v>174</v>
      </c>
      <c r="BA233" s="1" t="s">
        <v>1939</v>
      </c>
      <c r="BB233" s="1">
        <v>64.9</v>
      </c>
      <c r="BC233" s="1">
        <v>7.24</v>
      </c>
      <c r="BD233" s="1"/>
      <c r="BE233" s="1"/>
      <c r="BF233" s="1"/>
      <c r="BG233" s="1"/>
      <c r="BH233" s="1"/>
      <c r="BI233" s="1"/>
      <c r="BJ233" s="1" t="s">
        <v>4779</v>
      </c>
      <c r="BK233" s="1"/>
      <c r="BL233" s="1"/>
      <c r="BM233" s="1" t="s">
        <v>4780</v>
      </c>
      <c r="BN233" s="1">
        <v>26</v>
      </c>
      <c r="BO233" s="1" t="s">
        <v>4781</v>
      </c>
      <c r="BP233" s="1" t="str">
        <f>HYPERLINK("https://nconnect.nicmar.ac.in/storage/profile/ProfilePhoto_P25700175_314862.jpg","Download")</f>
        <v>0</v>
      </c>
      <c r="BQ233" s="3"/>
      <c r="BR233" s="3"/>
    </row>
    <row r="234" spans="1:70">
      <c r="A234" s="1" t="s">
        <v>70</v>
      </c>
      <c r="B234" s="1" t="s">
        <v>1269</v>
      </c>
      <c r="C234" s="1" t="s">
        <v>4782</v>
      </c>
      <c r="D234" s="1" t="s">
        <v>4783</v>
      </c>
      <c r="E234" s="1" t="s">
        <v>4784</v>
      </c>
      <c r="F234" s="1" t="s">
        <v>1900</v>
      </c>
      <c r="G234" s="1" t="s">
        <v>4785</v>
      </c>
      <c r="H234" s="1" t="s">
        <v>4786</v>
      </c>
      <c r="I234" s="1" t="s">
        <v>4787</v>
      </c>
      <c r="J234" s="1">
        <v>7899657629</v>
      </c>
      <c r="K234" s="1" t="s">
        <v>79</v>
      </c>
      <c r="L234" s="1" t="s">
        <v>4788</v>
      </c>
      <c r="M234" s="1" t="s">
        <v>81</v>
      </c>
      <c r="N234" s="1" t="s">
        <v>4789</v>
      </c>
      <c r="O234" s="1"/>
      <c r="P234" s="1" t="s">
        <v>1298</v>
      </c>
      <c r="Q234" s="1" t="s">
        <v>4790</v>
      </c>
      <c r="R234" s="1" t="s">
        <v>4791</v>
      </c>
      <c r="S234" s="1">
        <v>9008743435</v>
      </c>
      <c r="T234" s="1" t="s">
        <v>122</v>
      </c>
      <c r="U234" s="1" t="s">
        <v>4792</v>
      </c>
      <c r="V234" s="1">
        <v>9008743436</v>
      </c>
      <c r="W234" s="1" t="s">
        <v>273</v>
      </c>
      <c r="X234" s="1" t="s">
        <v>4793</v>
      </c>
      <c r="Y234" s="1" t="s">
        <v>2052</v>
      </c>
      <c r="Z234" s="1" t="s">
        <v>1084</v>
      </c>
      <c r="AA234" s="1" t="s">
        <v>4793</v>
      </c>
      <c r="AB234" s="1" t="s">
        <v>2052</v>
      </c>
      <c r="AC234" s="1" t="s">
        <v>1084</v>
      </c>
      <c r="AD234" s="1">
        <v>7.98</v>
      </c>
      <c r="AE234" s="1" t="s">
        <v>93</v>
      </c>
      <c r="AF234" s="1" t="s">
        <v>4794</v>
      </c>
      <c r="AG234" s="1" t="s">
        <v>4795</v>
      </c>
      <c r="AH234" s="1" t="s">
        <v>165</v>
      </c>
      <c r="AI234" s="1" t="s">
        <v>166</v>
      </c>
      <c r="AJ234" s="1">
        <v>72</v>
      </c>
      <c r="AK234" s="1">
        <v>0</v>
      </c>
      <c r="AL234" s="1" t="s">
        <v>4796</v>
      </c>
      <c r="AM234" s="1" t="s">
        <v>4797</v>
      </c>
      <c r="AN234" s="1" t="s">
        <v>433</v>
      </c>
      <c r="AO234" s="1" t="s">
        <v>173</v>
      </c>
      <c r="AP234" s="1">
        <v>82.16</v>
      </c>
      <c r="AQ234" s="1">
        <v>0</v>
      </c>
      <c r="AR234" s="1"/>
      <c r="AS234" s="1"/>
      <c r="AT234" s="1"/>
      <c r="AU234" s="1"/>
      <c r="AV234" s="1"/>
      <c r="AW234" s="1"/>
      <c r="AX234" s="1" t="s">
        <v>4798</v>
      </c>
      <c r="AY234" s="1" t="s">
        <v>4799</v>
      </c>
      <c r="AZ234" s="1" t="s">
        <v>920</v>
      </c>
      <c r="BA234" s="1" t="s">
        <v>1939</v>
      </c>
      <c r="BB234" s="1">
        <v>65.4</v>
      </c>
      <c r="BC234" s="1">
        <v>7.29</v>
      </c>
      <c r="BD234" s="1"/>
      <c r="BE234" s="1"/>
      <c r="BF234" s="1"/>
      <c r="BG234" s="1"/>
      <c r="BH234" s="1"/>
      <c r="BI234" s="1"/>
      <c r="BJ234" s="1" t="s">
        <v>4800</v>
      </c>
      <c r="BK234" s="1"/>
      <c r="BL234" s="1"/>
      <c r="BM234" s="1" t="s">
        <v>4801</v>
      </c>
      <c r="BN234" s="1">
        <v>47</v>
      </c>
      <c r="BO234" s="1"/>
      <c r="BP234" s="1" t="str">
        <f>HYPERLINK("https://nconnect.nicmar.ac.in/storage/profile/ProfilePhoto_P25700176_125376.jpg","Download")</f>
        <v>0</v>
      </c>
      <c r="BQ234" s="3"/>
      <c r="BR234" s="3"/>
    </row>
    <row r="235" spans="1:70">
      <c r="A235" s="1" t="s">
        <v>70</v>
      </c>
      <c r="B235" s="1" t="s">
        <v>1269</v>
      </c>
      <c r="C235" s="1" t="s">
        <v>4802</v>
      </c>
      <c r="D235" s="1" t="s">
        <v>4803</v>
      </c>
      <c r="E235" s="1" t="s">
        <v>4804</v>
      </c>
      <c r="F235" s="1" t="s">
        <v>4805</v>
      </c>
      <c r="G235" s="1" t="s">
        <v>4806</v>
      </c>
      <c r="H235" s="1" t="s">
        <v>4807</v>
      </c>
      <c r="I235" s="1" t="s">
        <v>4808</v>
      </c>
      <c r="J235" s="1">
        <v>7977657557</v>
      </c>
      <c r="K235" s="1" t="s">
        <v>79</v>
      </c>
      <c r="L235" s="1" t="s">
        <v>4809</v>
      </c>
      <c r="M235" s="1" t="s">
        <v>81</v>
      </c>
      <c r="N235" s="1" t="s">
        <v>4810</v>
      </c>
      <c r="O235" s="1"/>
      <c r="P235" s="1" t="s">
        <v>1766</v>
      </c>
      <c r="Q235" s="1" t="s">
        <v>4811</v>
      </c>
      <c r="R235" s="1" t="s">
        <v>4812</v>
      </c>
      <c r="S235" s="1">
        <v>9702396969</v>
      </c>
      <c r="T235" s="1" t="s">
        <v>496</v>
      </c>
      <c r="U235" s="1" t="s">
        <v>4813</v>
      </c>
      <c r="V235" s="1">
        <v>9702465656</v>
      </c>
      <c r="W235" s="1" t="s">
        <v>273</v>
      </c>
      <c r="X235" s="1" t="s">
        <v>4814</v>
      </c>
      <c r="Y235" s="1" t="s">
        <v>1623</v>
      </c>
      <c r="Z235" s="1" t="s">
        <v>92</v>
      </c>
      <c r="AA235" s="1" t="s">
        <v>4814</v>
      </c>
      <c r="AB235" s="1" t="s">
        <v>1623</v>
      </c>
      <c r="AC235" s="1" t="s">
        <v>92</v>
      </c>
      <c r="AD235" s="1">
        <v>7.77</v>
      </c>
      <c r="AE235" s="1" t="s">
        <v>93</v>
      </c>
      <c r="AF235" s="1" t="s">
        <v>4815</v>
      </c>
      <c r="AG235" s="1" t="s">
        <v>307</v>
      </c>
      <c r="AH235" s="1" t="s">
        <v>279</v>
      </c>
      <c r="AI235" s="1" t="s">
        <v>165</v>
      </c>
      <c r="AJ235" s="1">
        <v>69.6</v>
      </c>
      <c r="AK235" s="1">
        <v>7.6</v>
      </c>
      <c r="AL235" s="1"/>
      <c r="AM235" s="1"/>
      <c r="AN235" s="1"/>
      <c r="AO235" s="1"/>
      <c r="AP235" s="1"/>
      <c r="AQ235" s="1"/>
      <c r="AR235" s="1" t="s">
        <v>434</v>
      </c>
      <c r="AS235" s="1" t="s">
        <v>4816</v>
      </c>
      <c r="AT235" s="1" t="s">
        <v>225</v>
      </c>
      <c r="AU235" s="1" t="s">
        <v>436</v>
      </c>
      <c r="AV235" s="1">
        <v>90.2</v>
      </c>
      <c r="AW235" s="1"/>
      <c r="AX235" s="1" t="s">
        <v>253</v>
      </c>
      <c r="AY235" s="1" t="s">
        <v>4817</v>
      </c>
      <c r="AZ235" s="1" t="s">
        <v>1051</v>
      </c>
      <c r="BA235" s="1" t="s">
        <v>1939</v>
      </c>
      <c r="BB235" s="1">
        <v>64.24</v>
      </c>
      <c r="BC235" s="1">
        <v>7.03</v>
      </c>
      <c r="BD235" s="1"/>
      <c r="BE235" s="1"/>
      <c r="BF235" s="1"/>
      <c r="BG235" s="1"/>
      <c r="BH235" s="1"/>
      <c r="BI235" s="1"/>
      <c r="BJ235" s="1" t="s">
        <v>4818</v>
      </c>
      <c r="BK235" s="1"/>
      <c r="BL235" s="1"/>
      <c r="BM235" s="1" t="s">
        <v>4819</v>
      </c>
      <c r="BN235" s="1">
        <v>55</v>
      </c>
      <c r="BO235" s="1" t="s">
        <v>4820</v>
      </c>
      <c r="BP235" s="1" t="str">
        <f>HYPERLINK("https://nconnect.nicmar.ac.in/storage/profile/ProfilePhoto_P25700177_264735.jpg","Download")</f>
        <v>0</v>
      </c>
      <c r="BQ235" s="3"/>
      <c r="BR235" s="3"/>
    </row>
    <row r="236" spans="1:70">
      <c r="A236" s="1" t="s">
        <v>70</v>
      </c>
      <c r="B236" s="1" t="s">
        <v>1269</v>
      </c>
      <c r="C236" s="1" t="s">
        <v>4821</v>
      </c>
      <c r="D236" s="1" t="s">
        <v>4822</v>
      </c>
      <c r="E236" s="1" t="s">
        <v>4823</v>
      </c>
      <c r="F236" s="1" t="s">
        <v>4824</v>
      </c>
      <c r="G236" s="1" t="s">
        <v>4825</v>
      </c>
      <c r="H236" s="1" t="s">
        <v>4826</v>
      </c>
      <c r="I236" s="1" t="s">
        <v>4827</v>
      </c>
      <c r="J236" s="1">
        <v>7075506481</v>
      </c>
      <c r="K236" s="1" t="s">
        <v>79</v>
      </c>
      <c r="L236" s="1" t="s">
        <v>4828</v>
      </c>
      <c r="M236" s="1" t="s">
        <v>81</v>
      </c>
      <c r="N236" s="1" t="s">
        <v>3842</v>
      </c>
      <c r="O236" s="1"/>
      <c r="P236" s="1" t="s">
        <v>1323</v>
      </c>
      <c r="Q236" s="1" t="s">
        <v>4829</v>
      </c>
      <c r="R236" s="1" t="s">
        <v>4830</v>
      </c>
      <c r="S236" s="1">
        <v>9440019918</v>
      </c>
      <c r="T236" s="1" t="s">
        <v>4831</v>
      </c>
      <c r="U236" s="1" t="s">
        <v>4832</v>
      </c>
      <c r="V236" s="1">
        <v>9441045007</v>
      </c>
      <c r="W236" s="1" t="s">
        <v>2397</v>
      </c>
      <c r="X236" s="1" t="s">
        <v>4833</v>
      </c>
      <c r="Y236" s="1" t="s">
        <v>4834</v>
      </c>
      <c r="Z236" s="1" t="s">
        <v>609</v>
      </c>
      <c r="AA236" s="1" t="s">
        <v>4833</v>
      </c>
      <c r="AB236" s="1" t="s">
        <v>4834</v>
      </c>
      <c r="AC236" s="1" t="s">
        <v>609</v>
      </c>
      <c r="AD236" s="1">
        <v>9.11</v>
      </c>
      <c r="AE236" s="1" t="s">
        <v>93</v>
      </c>
      <c r="AF236" s="1" t="s">
        <v>4835</v>
      </c>
      <c r="AG236" s="1" t="s">
        <v>4836</v>
      </c>
      <c r="AH236" s="1" t="s">
        <v>101</v>
      </c>
      <c r="AI236" s="1" t="s">
        <v>308</v>
      </c>
      <c r="AJ236" s="1">
        <v>95</v>
      </c>
      <c r="AK236" s="1">
        <v>9.5</v>
      </c>
      <c r="AL236" s="1" t="s">
        <v>4837</v>
      </c>
      <c r="AM236" s="1" t="s">
        <v>613</v>
      </c>
      <c r="AN236" s="1" t="s">
        <v>699</v>
      </c>
      <c r="AO236" s="1" t="s">
        <v>1131</v>
      </c>
      <c r="AP236" s="1">
        <v>91.8</v>
      </c>
      <c r="AQ236" s="1">
        <v>0</v>
      </c>
      <c r="AR236" s="1"/>
      <c r="AS236" s="1"/>
      <c r="AT236" s="1"/>
      <c r="AU236" s="1"/>
      <c r="AV236" s="1"/>
      <c r="AW236" s="1"/>
      <c r="AX236" s="1" t="s">
        <v>4838</v>
      </c>
      <c r="AY236" s="1" t="s">
        <v>4839</v>
      </c>
      <c r="AZ236" s="1" t="s">
        <v>436</v>
      </c>
      <c r="BA236" s="1" t="s">
        <v>1361</v>
      </c>
      <c r="BB236" s="1">
        <v>78.1</v>
      </c>
      <c r="BC236" s="1">
        <v>8.31</v>
      </c>
      <c r="BD236" s="1"/>
      <c r="BE236" s="1"/>
      <c r="BF236" s="1"/>
      <c r="BG236" s="1"/>
      <c r="BH236" s="1"/>
      <c r="BI236" s="1"/>
      <c r="BJ236" s="1" t="s">
        <v>4508</v>
      </c>
      <c r="BK236" s="1"/>
      <c r="BL236" s="1"/>
      <c r="BM236" s="1" t="s">
        <v>4840</v>
      </c>
      <c r="BN236" s="1">
        <v>15</v>
      </c>
      <c r="BO236" s="1" t="s">
        <v>4841</v>
      </c>
      <c r="BP236" s="1" t="str">
        <f>HYPERLINK("https://nconnect.nicmar.ac.in/storage/profile/ProfilePhoto_P25700178_586319.jpg","Download")</f>
        <v>0</v>
      </c>
      <c r="BQ236" s="3"/>
      <c r="BR236" s="3"/>
    </row>
    <row r="237" spans="1:70">
      <c r="A237" s="1" t="s">
        <v>70</v>
      </c>
      <c r="B237" s="1" t="s">
        <v>1269</v>
      </c>
      <c r="C237" s="1" t="s">
        <v>4842</v>
      </c>
      <c r="D237" s="1" t="s">
        <v>4843</v>
      </c>
      <c r="E237" s="1"/>
      <c r="F237" s="1" t="s">
        <v>1390</v>
      </c>
      <c r="G237" s="1" t="s">
        <v>4844</v>
      </c>
      <c r="H237" s="1" t="s">
        <v>4845</v>
      </c>
      <c r="I237" s="1" t="s">
        <v>4846</v>
      </c>
      <c r="J237" s="1">
        <v>7349289566</v>
      </c>
      <c r="K237" s="1" t="s">
        <v>148</v>
      </c>
      <c r="L237" s="1" t="s">
        <v>4847</v>
      </c>
      <c r="M237" s="1" t="s">
        <v>81</v>
      </c>
      <c r="N237" s="1" t="s">
        <v>4848</v>
      </c>
      <c r="O237" s="1"/>
      <c r="P237" s="1" t="s">
        <v>1323</v>
      </c>
      <c r="Q237" s="1" t="s">
        <v>4849</v>
      </c>
      <c r="R237" s="1" t="s">
        <v>4850</v>
      </c>
      <c r="S237" s="1">
        <v>9986356499</v>
      </c>
      <c r="T237" s="1" t="s">
        <v>4851</v>
      </c>
      <c r="U237" s="1" t="s">
        <v>4852</v>
      </c>
      <c r="V237" s="1">
        <v>8217482200</v>
      </c>
      <c r="W237" s="1" t="s">
        <v>273</v>
      </c>
      <c r="X237" s="1" t="s">
        <v>4853</v>
      </c>
      <c r="Y237" s="1" t="s">
        <v>4854</v>
      </c>
      <c r="Z237" s="1" t="s">
        <v>1084</v>
      </c>
      <c r="AA237" s="1" t="s">
        <v>4853</v>
      </c>
      <c r="AB237" s="1" t="s">
        <v>4854</v>
      </c>
      <c r="AC237" s="1" t="s">
        <v>1084</v>
      </c>
      <c r="AD237" s="1">
        <v>8.13</v>
      </c>
      <c r="AE237" s="1" t="s">
        <v>93</v>
      </c>
      <c r="AF237" s="1" t="s">
        <v>4855</v>
      </c>
      <c r="AG237" s="1" t="s">
        <v>1515</v>
      </c>
      <c r="AH237" s="1" t="s">
        <v>165</v>
      </c>
      <c r="AI237" s="1" t="s">
        <v>1307</v>
      </c>
      <c r="AJ237" s="1">
        <v>76.48</v>
      </c>
      <c r="AK237" s="1"/>
      <c r="AL237" s="1" t="s">
        <v>4856</v>
      </c>
      <c r="AM237" s="1" t="s">
        <v>2056</v>
      </c>
      <c r="AN237" s="1" t="s">
        <v>310</v>
      </c>
      <c r="AO237" s="1" t="s">
        <v>941</v>
      </c>
      <c r="AP237" s="1">
        <v>61.83</v>
      </c>
      <c r="AQ237" s="1"/>
      <c r="AR237" s="1"/>
      <c r="AS237" s="1"/>
      <c r="AT237" s="1"/>
      <c r="AU237" s="1"/>
      <c r="AV237" s="1"/>
      <c r="AW237" s="1"/>
      <c r="AX237" s="1" t="s">
        <v>4857</v>
      </c>
      <c r="AY237" s="1" t="s">
        <v>4857</v>
      </c>
      <c r="AZ237" s="1" t="s">
        <v>228</v>
      </c>
      <c r="BA237" s="1" t="s">
        <v>1978</v>
      </c>
      <c r="BB237" s="1">
        <v>76.2</v>
      </c>
      <c r="BC237" s="1">
        <v>7.62</v>
      </c>
      <c r="BD237" s="1"/>
      <c r="BE237" s="1"/>
      <c r="BF237" s="1"/>
      <c r="BG237" s="1"/>
      <c r="BH237" s="1"/>
      <c r="BI237" s="1"/>
      <c r="BJ237" s="1" t="s">
        <v>4858</v>
      </c>
      <c r="BK237" s="1"/>
      <c r="BL237" s="1"/>
      <c r="BM237" s="1" t="s">
        <v>4859</v>
      </c>
      <c r="BN237" s="1">
        <v>13</v>
      </c>
      <c r="BO237" s="1"/>
      <c r="BP237" s="1" t="str">
        <f>HYPERLINK("https://nconnect.nicmar.ac.in/storage/profile/ProfilePhoto_P25700179_795823.jpg","Download")</f>
        <v>0</v>
      </c>
      <c r="BQ237" s="3"/>
      <c r="BR237" s="3"/>
    </row>
    <row r="238" spans="1:70">
      <c r="A238" s="1" t="s">
        <v>70</v>
      </c>
      <c r="B238" s="1" t="s">
        <v>1269</v>
      </c>
      <c r="C238" s="1" t="s">
        <v>4860</v>
      </c>
      <c r="D238" s="1" t="s">
        <v>2696</v>
      </c>
      <c r="E238" s="1" t="s">
        <v>4861</v>
      </c>
      <c r="F238" s="1" t="s">
        <v>4862</v>
      </c>
      <c r="G238" s="1" t="s">
        <v>4863</v>
      </c>
      <c r="H238" s="1" t="s">
        <v>4864</v>
      </c>
      <c r="I238" s="1" t="s">
        <v>4865</v>
      </c>
      <c r="J238" s="1">
        <v>7620386685</v>
      </c>
      <c r="K238" s="1" t="s">
        <v>79</v>
      </c>
      <c r="L238" s="1" t="s">
        <v>4866</v>
      </c>
      <c r="M238" s="1" t="s">
        <v>81</v>
      </c>
      <c r="N238" s="1" t="s">
        <v>4867</v>
      </c>
      <c r="O238" s="1"/>
      <c r="P238" s="1" t="s">
        <v>1323</v>
      </c>
      <c r="Q238" s="1" t="s">
        <v>4868</v>
      </c>
      <c r="R238" s="1" t="s">
        <v>4869</v>
      </c>
      <c r="S238" s="1">
        <v>7385016938</v>
      </c>
      <c r="T238" s="1" t="s">
        <v>4870</v>
      </c>
      <c r="U238" s="1" t="s">
        <v>4871</v>
      </c>
      <c r="V238" s="1">
        <v>8080758346</v>
      </c>
      <c r="W238" s="1" t="s">
        <v>4872</v>
      </c>
      <c r="X238" s="1" t="s">
        <v>4873</v>
      </c>
      <c r="Y238" s="1" t="s">
        <v>158</v>
      </c>
      <c r="Z238" s="1" t="s">
        <v>92</v>
      </c>
      <c r="AA238" s="1" t="s">
        <v>4873</v>
      </c>
      <c r="AB238" s="1" t="s">
        <v>158</v>
      </c>
      <c r="AC238" s="1" t="s">
        <v>92</v>
      </c>
      <c r="AD238" s="1">
        <v>8.74</v>
      </c>
      <c r="AE238" s="1" t="s">
        <v>93</v>
      </c>
      <c r="AF238" s="1" t="s">
        <v>4874</v>
      </c>
      <c r="AG238" s="1" t="s">
        <v>4875</v>
      </c>
      <c r="AH238" s="1" t="s">
        <v>162</v>
      </c>
      <c r="AI238" s="1" t="s">
        <v>1307</v>
      </c>
      <c r="AJ238" s="1">
        <v>73.6</v>
      </c>
      <c r="AK238" s="1"/>
      <c r="AL238" s="1" t="s">
        <v>4876</v>
      </c>
      <c r="AM238" s="1" t="s">
        <v>4875</v>
      </c>
      <c r="AN238" s="1" t="s">
        <v>101</v>
      </c>
      <c r="AO238" s="1" t="s">
        <v>941</v>
      </c>
      <c r="AP238" s="1">
        <v>63.85</v>
      </c>
      <c r="AQ238" s="1"/>
      <c r="AR238" s="1"/>
      <c r="AS238" s="1"/>
      <c r="AT238" s="1"/>
      <c r="AU238" s="1"/>
      <c r="AV238" s="1"/>
      <c r="AW238" s="1"/>
      <c r="AX238" s="1" t="s">
        <v>4877</v>
      </c>
      <c r="AY238" s="1" t="s">
        <v>2423</v>
      </c>
      <c r="AZ238" s="1" t="s">
        <v>173</v>
      </c>
      <c r="BA238" s="1" t="s">
        <v>507</v>
      </c>
      <c r="BB238" s="1">
        <v>78.27</v>
      </c>
      <c r="BC238" s="1">
        <v>9.21</v>
      </c>
      <c r="BD238" s="1"/>
      <c r="BE238" s="1"/>
      <c r="BF238" s="1"/>
      <c r="BG238" s="1"/>
      <c r="BH238" s="1"/>
      <c r="BI238" s="1"/>
      <c r="BJ238" s="1" t="s">
        <v>4878</v>
      </c>
      <c r="BK238" s="1" t="s">
        <v>4879</v>
      </c>
      <c r="BL238" s="1" t="s">
        <v>1920</v>
      </c>
      <c r="BM238" s="1" t="s">
        <v>4880</v>
      </c>
      <c r="BN238" s="1">
        <v>39</v>
      </c>
      <c r="BO238" s="1" t="s">
        <v>4881</v>
      </c>
      <c r="BP238" s="1" t="str">
        <f>HYPERLINK("https://nconnect.nicmar.ac.in/storage/profile/ProfilePhoto_P25700180_516437.jpg","Download")</f>
        <v>0</v>
      </c>
      <c r="BQ238" s="3"/>
      <c r="BR238" s="3"/>
    </row>
    <row r="239" spans="1:70">
      <c r="A239" s="1" t="s">
        <v>70</v>
      </c>
      <c r="B239" s="1" t="s">
        <v>1269</v>
      </c>
      <c r="C239" s="1" t="s">
        <v>4882</v>
      </c>
      <c r="D239" s="1" t="s">
        <v>4883</v>
      </c>
      <c r="E239" s="1"/>
      <c r="F239" s="1" t="s">
        <v>4884</v>
      </c>
      <c r="G239" s="1" t="s">
        <v>4885</v>
      </c>
      <c r="H239" s="1" t="s">
        <v>4886</v>
      </c>
      <c r="I239" s="1" t="s">
        <v>4887</v>
      </c>
      <c r="J239" s="1">
        <v>7558098383</v>
      </c>
      <c r="K239" s="1" t="s">
        <v>79</v>
      </c>
      <c r="L239" s="1" t="s">
        <v>4501</v>
      </c>
      <c r="M239" s="1" t="s">
        <v>81</v>
      </c>
      <c r="N239" s="1" t="s">
        <v>3175</v>
      </c>
      <c r="O239" s="1"/>
      <c r="P239" s="1" t="s">
        <v>1298</v>
      </c>
      <c r="Q239" s="1" t="s">
        <v>4888</v>
      </c>
      <c r="R239" s="1" t="s">
        <v>4889</v>
      </c>
      <c r="S239" s="1">
        <v>9895706823</v>
      </c>
      <c r="T239" s="1" t="s">
        <v>87</v>
      </c>
      <c r="U239" s="1" t="s">
        <v>4890</v>
      </c>
      <c r="V239" s="1">
        <v>9446340119</v>
      </c>
      <c r="W239" s="1" t="s">
        <v>273</v>
      </c>
      <c r="X239" s="1" t="s">
        <v>4891</v>
      </c>
      <c r="Y239" s="1" t="s">
        <v>1491</v>
      </c>
      <c r="Z239" s="1" t="s">
        <v>125</v>
      </c>
      <c r="AA239" s="1" t="s">
        <v>4891</v>
      </c>
      <c r="AB239" s="1" t="s">
        <v>1491</v>
      </c>
      <c r="AC239" s="1" t="s">
        <v>125</v>
      </c>
      <c r="AD239" s="1">
        <v>7.49</v>
      </c>
      <c r="AE239" s="1" t="s">
        <v>93</v>
      </c>
      <c r="AF239" s="1" t="s">
        <v>4892</v>
      </c>
      <c r="AG239" s="1" t="s">
        <v>307</v>
      </c>
      <c r="AH239" s="1" t="s">
        <v>101</v>
      </c>
      <c r="AI239" s="1" t="s">
        <v>308</v>
      </c>
      <c r="AJ239" s="1">
        <v>80.8</v>
      </c>
      <c r="AK239" s="1"/>
      <c r="AL239" s="1" t="s">
        <v>4892</v>
      </c>
      <c r="AM239" s="1" t="s">
        <v>307</v>
      </c>
      <c r="AN239" s="1" t="s">
        <v>941</v>
      </c>
      <c r="AO239" s="1" t="s">
        <v>506</v>
      </c>
      <c r="AP239" s="1">
        <v>83</v>
      </c>
      <c r="AQ239" s="1"/>
      <c r="AR239" s="1"/>
      <c r="AS239" s="1"/>
      <c r="AT239" s="1"/>
      <c r="AU239" s="1"/>
      <c r="AV239" s="1"/>
      <c r="AW239" s="1"/>
      <c r="AX239" s="1" t="s">
        <v>4893</v>
      </c>
      <c r="AY239" s="1" t="s">
        <v>4894</v>
      </c>
      <c r="AZ239" s="1" t="s">
        <v>436</v>
      </c>
      <c r="BA239" s="1" t="s">
        <v>1361</v>
      </c>
      <c r="BB239" s="1">
        <v>66.1</v>
      </c>
      <c r="BC239" s="1">
        <v>6.61</v>
      </c>
      <c r="BD239" s="1"/>
      <c r="BE239" s="1"/>
      <c r="BF239" s="1"/>
      <c r="BG239" s="1"/>
      <c r="BH239" s="1"/>
      <c r="BI239" s="1"/>
      <c r="BJ239" s="1" t="s">
        <v>4895</v>
      </c>
      <c r="BK239" s="1"/>
      <c r="BL239" s="1"/>
      <c r="BM239" s="1" t="s">
        <v>4896</v>
      </c>
      <c r="BN239" s="1">
        <v>10</v>
      </c>
      <c r="BO239" s="1"/>
      <c r="BP239" s="1" t="str">
        <f>HYPERLINK("https://nconnect.nicmar.ac.in/storage/profile/ProfilePhoto_P25700181_536927.jpg","Download")</f>
        <v>0</v>
      </c>
      <c r="BQ239" s="3"/>
      <c r="BR239" s="3"/>
    </row>
    <row r="240" spans="1:70">
      <c r="A240" s="1" t="s">
        <v>70</v>
      </c>
      <c r="B240" s="1" t="s">
        <v>1269</v>
      </c>
      <c r="C240" s="1" t="s">
        <v>4897</v>
      </c>
      <c r="D240" s="1" t="s">
        <v>111</v>
      </c>
      <c r="E240" s="1"/>
      <c r="F240" s="1" t="s">
        <v>4898</v>
      </c>
      <c r="G240" s="1" t="s">
        <v>4899</v>
      </c>
      <c r="H240" s="1" t="s">
        <v>4900</v>
      </c>
      <c r="I240" s="1" t="s">
        <v>4901</v>
      </c>
      <c r="J240" s="1">
        <v>6372758397</v>
      </c>
      <c r="K240" s="1" t="s">
        <v>148</v>
      </c>
      <c r="L240" s="1" t="s">
        <v>4902</v>
      </c>
      <c r="M240" s="1" t="s">
        <v>81</v>
      </c>
      <c r="N240" s="1" t="s">
        <v>1746</v>
      </c>
      <c r="O240" s="1"/>
      <c r="P240" s="1" t="s">
        <v>1323</v>
      </c>
      <c r="Q240" s="1" t="s">
        <v>4903</v>
      </c>
      <c r="R240" s="1" t="s">
        <v>4904</v>
      </c>
      <c r="S240" s="1">
        <v>6370177381</v>
      </c>
      <c r="T240" s="1" t="s">
        <v>4905</v>
      </c>
      <c r="U240" s="1" t="s">
        <v>4906</v>
      </c>
      <c r="V240" s="1">
        <v>7008527945</v>
      </c>
      <c r="W240" s="1" t="s">
        <v>651</v>
      </c>
      <c r="X240" s="1" t="s">
        <v>4907</v>
      </c>
      <c r="Y240" s="1" t="s">
        <v>4908</v>
      </c>
      <c r="Z240" s="1" t="s">
        <v>1731</v>
      </c>
      <c r="AA240" s="1" t="s">
        <v>4907</v>
      </c>
      <c r="AB240" s="1" t="s">
        <v>4908</v>
      </c>
      <c r="AC240" s="1" t="s">
        <v>1731</v>
      </c>
      <c r="AD240" s="1">
        <v>8.81</v>
      </c>
      <c r="AE240" s="1" t="s">
        <v>93</v>
      </c>
      <c r="AF240" s="1" t="s">
        <v>4909</v>
      </c>
      <c r="AG240" s="1" t="s">
        <v>307</v>
      </c>
      <c r="AH240" s="1" t="s">
        <v>456</v>
      </c>
      <c r="AI240" s="1" t="s">
        <v>195</v>
      </c>
      <c r="AJ240" s="1">
        <v>87.4</v>
      </c>
      <c r="AK240" s="1">
        <v>9.2</v>
      </c>
      <c r="AL240" s="1" t="s">
        <v>4910</v>
      </c>
      <c r="AM240" s="1" t="s">
        <v>307</v>
      </c>
      <c r="AN240" s="1" t="s">
        <v>169</v>
      </c>
      <c r="AO240" s="1" t="s">
        <v>308</v>
      </c>
      <c r="AP240" s="1">
        <v>70.4</v>
      </c>
      <c r="AQ240" s="1">
        <v>6.6</v>
      </c>
      <c r="AR240" s="1"/>
      <c r="AS240" s="1"/>
      <c r="AT240" s="1"/>
      <c r="AU240" s="1"/>
      <c r="AV240" s="1"/>
      <c r="AW240" s="1"/>
      <c r="AX240" s="1" t="s">
        <v>4911</v>
      </c>
      <c r="AY240" s="1" t="s">
        <v>4912</v>
      </c>
      <c r="AZ240" s="1" t="s">
        <v>104</v>
      </c>
      <c r="BA240" s="1" t="s">
        <v>413</v>
      </c>
      <c r="BB240" s="1">
        <v>80</v>
      </c>
      <c r="BC240" s="1">
        <v>8.5</v>
      </c>
      <c r="BD240" s="1"/>
      <c r="BE240" s="1"/>
      <c r="BF240" s="1"/>
      <c r="BG240" s="1"/>
      <c r="BH240" s="1"/>
      <c r="BI240" s="1"/>
      <c r="BJ240" s="1" t="s">
        <v>4913</v>
      </c>
      <c r="BK240" s="1" t="s">
        <v>4914</v>
      </c>
      <c r="BL240" s="1" t="s">
        <v>1896</v>
      </c>
      <c r="BM240" s="1" t="s">
        <v>4915</v>
      </c>
      <c r="BN240" s="1">
        <v>60</v>
      </c>
      <c r="BO240" s="1"/>
      <c r="BP240" s="1" t="str">
        <f>HYPERLINK("https://nconnect.nicmar.ac.in/storage/profile/ProfilePhoto_P25700182_253687.jpg","Download")</f>
        <v>0</v>
      </c>
      <c r="BQ240" s="3"/>
      <c r="BR240" s="3"/>
    </row>
    <row r="241" spans="1:70">
      <c r="A241" s="1" t="s">
        <v>70</v>
      </c>
      <c r="B241" s="1" t="s">
        <v>1269</v>
      </c>
      <c r="C241" s="1" t="s">
        <v>4916</v>
      </c>
      <c r="D241" s="1" t="s">
        <v>1280</v>
      </c>
      <c r="E241" s="1"/>
      <c r="F241" s="1" t="s">
        <v>4917</v>
      </c>
      <c r="G241" s="1" t="s">
        <v>4918</v>
      </c>
      <c r="H241" s="1" t="s">
        <v>4919</v>
      </c>
      <c r="I241" s="1" t="s">
        <v>4920</v>
      </c>
      <c r="J241" s="1">
        <v>9100203588</v>
      </c>
      <c r="K241" s="1" t="s">
        <v>79</v>
      </c>
      <c r="L241" s="1" t="s">
        <v>4921</v>
      </c>
      <c r="M241" s="1" t="s">
        <v>81</v>
      </c>
      <c r="N241" s="1" t="s">
        <v>3444</v>
      </c>
      <c r="O241" s="1"/>
      <c r="P241" s="1" t="s">
        <v>1323</v>
      </c>
      <c r="Q241" s="1" t="s">
        <v>4922</v>
      </c>
      <c r="R241" s="1" t="s">
        <v>4923</v>
      </c>
      <c r="S241" s="1">
        <v>9640353310</v>
      </c>
      <c r="T241" s="1" t="s">
        <v>154</v>
      </c>
      <c r="U241" s="1" t="s">
        <v>4924</v>
      </c>
      <c r="V241" s="1">
        <v>7337097087</v>
      </c>
      <c r="W241" s="1" t="s">
        <v>156</v>
      </c>
      <c r="X241" s="1" t="s">
        <v>4925</v>
      </c>
      <c r="Y241" s="1" t="s">
        <v>1283</v>
      </c>
      <c r="Z241" s="1" t="s">
        <v>609</v>
      </c>
      <c r="AA241" s="1" t="s">
        <v>4925</v>
      </c>
      <c r="AB241" s="1" t="s">
        <v>1283</v>
      </c>
      <c r="AC241" s="1" t="s">
        <v>609</v>
      </c>
      <c r="AD241" s="1">
        <v>8.74</v>
      </c>
      <c r="AE241" s="1" t="s">
        <v>93</v>
      </c>
      <c r="AF241" s="1" t="s">
        <v>4926</v>
      </c>
      <c r="AG241" s="1" t="s">
        <v>4927</v>
      </c>
      <c r="AH241" s="1" t="s">
        <v>162</v>
      </c>
      <c r="AI241" s="1" t="s">
        <v>195</v>
      </c>
      <c r="AJ241" s="1">
        <v>92</v>
      </c>
      <c r="AK241" s="1">
        <v>9.2</v>
      </c>
      <c r="AL241" s="1" t="s">
        <v>4928</v>
      </c>
      <c r="AM241" s="1" t="s">
        <v>613</v>
      </c>
      <c r="AN241" s="1" t="s">
        <v>165</v>
      </c>
      <c r="AO241" s="1" t="s">
        <v>409</v>
      </c>
      <c r="AP241" s="1">
        <v>96.7</v>
      </c>
      <c r="AQ241" s="1">
        <v>0</v>
      </c>
      <c r="AR241" s="1"/>
      <c r="AS241" s="1"/>
      <c r="AT241" s="1"/>
      <c r="AU241" s="1"/>
      <c r="AV241" s="1"/>
      <c r="AW241" s="1"/>
      <c r="AX241" s="1" t="s">
        <v>4929</v>
      </c>
      <c r="AY241" s="1" t="s">
        <v>4930</v>
      </c>
      <c r="AZ241" s="1" t="s">
        <v>201</v>
      </c>
      <c r="BA241" s="1" t="s">
        <v>682</v>
      </c>
      <c r="BB241" s="1">
        <v>78.6</v>
      </c>
      <c r="BC241" s="1">
        <v>8.36</v>
      </c>
      <c r="BD241" s="1"/>
      <c r="BE241" s="1"/>
      <c r="BF241" s="1"/>
      <c r="BG241" s="1"/>
      <c r="BH241" s="1"/>
      <c r="BI241" s="1"/>
      <c r="BJ241" s="1" t="s">
        <v>4931</v>
      </c>
      <c r="BK241" s="1" t="s">
        <v>4932</v>
      </c>
      <c r="BL241" s="1" t="s">
        <v>4933</v>
      </c>
      <c r="BM241" s="1" t="s">
        <v>4934</v>
      </c>
      <c r="BN241" s="1">
        <v>17</v>
      </c>
      <c r="BO241" s="1" t="s">
        <v>1499</v>
      </c>
      <c r="BP241" s="1" t="str">
        <f>HYPERLINK("https://nconnect.nicmar.ac.in/storage/profile/ProfilePhoto_P25700183_831792.jpg","Download")</f>
        <v>0</v>
      </c>
      <c r="BQ241" s="3"/>
      <c r="BR241" s="3"/>
    </row>
    <row r="242" spans="1:70">
      <c r="A242" s="1" t="s">
        <v>70</v>
      </c>
      <c r="B242" s="1" t="s">
        <v>1269</v>
      </c>
      <c r="C242" s="1" t="s">
        <v>4935</v>
      </c>
      <c r="D242" s="1" t="s">
        <v>4936</v>
      </c>
      <c r="E242" s="1" t="s">
        <v>4937</v>
      </c>
      <c r="F242" s="1" t="s">
        <v>4938</v>
      </c>
      <c r="G242" s="1" t="s">
        <v>4939</v>
      </c>
      <c r="H242" s="1" t="s">
        <v>4940</v>
      </c>
      <c r="I242" s="1" t="s">
        <v>4941</v>
      </c>
      <c r="J242" s="1">
        <v>9359994587</v>
      </c>
      <c r="K242" s="1" t="s">
        <v>79</v>
      </c>
      <c r="L242" s="1" t="s">
        <v>4942</v>
      </c>
      <c r="M242" s="1" t="s">
        <v>81</v>
      </c>
      <c r="N242" s="1" t="s">
        <v>2008</v>
      </c>
      <c r="O242" s="1"/>
      <c r="P242" s="1" t="s">
        <v>1766</v>
      </c>
      <c r="Q242" s="1" t="s">
        <v>4943</v>
      </c>
      <c r="R242" s="1" t="s">
        <v>4937</v>
      </c>
      <c r="S242" s="1">
        <v>9822654343</v>
      </c>
      <c r="T242" s="1" t="s">
        <v>1554</v>
      </c>
      <c r="U242" s="1" t="s">
        <v>4944</v>
      </c>
      <c r="V242" s="1">
        <v>9422395100</v>
      </c>
      <c r="W242" s="1" t="s">
        <v>2094</v>
      </c>
      <c r="X242" s="1" t="s">
        <v>4945</v>
      </c>
      <c r="Y242" s="1" t="s">
        <v>191</v>
      </c>
      <c r="Z242" s="1" t="s">
        <v>92</v>
      </c>
      <c r="AA242" s="1" t="s">
        <v>4945</v>
      </c>
      <c r="AB242" s="1" t="s">
        <v>191</v>
      </c>
      <c r="AC242" s="1" t="s">
        <v>92</v>
      </c>
      <c r="AD242" s="1">
        <v>8.44</v>
      </c>
      <c r="AE242" s="1" t="s">
        <v>93</v>
      </c>
      <c r="AF242" s="1" t="s">
        <v>4946</v>
      </c>
      <c r="AG242" s="1" t="s">
        <v>4947</v>
      </c>
      <c r="AH242" s="1" t="s">
        <v>162</v>
      </c>
      <c r="AI242" s="1" t="s">
        <v>281</v>
      </c>
      <c r="AJ242" s="1">
        <v>78.2</v>
      </c>
      <c r="AK242" s="1"/>
      <c r="AL242" s="1" t="s">
        <v>4948</v>
      </c>
      <c r="AM242" s="1" t="s">
        <v>4949</v>
      </c>
      <c r="AN242" s="1" t="s">
        <v>433</v>
      </c>
      <c r="AO242" s="1" t="s">
        <v>360</v>
      </c>
      <c r="AP242" s="1">
        <v>60.15</v>
      </c>
      <c r="AQ242" s="1"/>
      <c r="AR242" s="1"/>
      <c r="AS242" s="1"/>
      <c r="AT242" s="1"/>
      <c r="AU242" s="1"/>
      <c r="AV242" s="1"/>
      <c r="AW242" s="1"/>
      <c r="AX242" s="1" t="s">
        <v>4950</v>
      </c>
      <c r="AY242" s="1" t="s">
        <v>4951</v>
      </c>
      <c r="AZ242" s="1" t="s">
        <v>897</v>
      </c>
      <c r="BA242" s="1" t="s">
        <v>1714</v>
      </c>
      <c r="BB242" s="1">
        <v>70.7</v>
      </c>
      <c r="BC242" s="1">
        <v>7.82</v>
      </c>
      <c r="BD242" s="1"/>
      <c r="BE242" s="1"/>
      <c r="BF242" s="1"/>
      <c r="BG242" s="1"/>
      <c r="BH242" s="1"/>
      <c r="BI242" s="1"/>
      <c r="BJ242" s="1" t="s">
        <v>4952</v>
      </c>
      <c r="BK242" s="1"/>
      <c r="BL242" s="1"/>
      <c r="BM242" s="1" t="s">
        <v>4953</v>
      </c>
      <c r="BN242" s="1">
        <v>14</v>
      </c>
      <c r="BO242" s="1" t="s">
        <v>4954</v>
      </c>
      <c r="BP242" s="1" t="str">
        <f>HYPERLINK("https://nconnect.nicmar.ac.in/storage/profile/ProfilePhoto_P25700184_536872.jpg","Download")</f>
        <v>0</v>
      </c>
      <c r="BQ242" s="3"/>
      <c r="BR242" s="3"/>
    </row>
    <row r="243" spans="1:70">
      <c r="A243" s="1" t="s">
        <v>70</v>
      </c>
      <c r="B243" s="1" t="s">
        <v>1269</v>
      </c>
      <c r="C243" s="1" t="s">
        <v>4955</v>
      </c>
      <c r="D243" s="1" t="s">
        <v>4956</v>
      </c>
      <c r="E243" s="1"/>
      <c r="F243" s="1" t="s">
        <v>4957</v>
      </c>
      <c r="G243" s="1" t="s">
        <v>4958</v>
      </c>
      <c r="H243" s="1" t="s">
        <v>4959</v>
      </c>
      <c r="I243" s="1" t="s">
        <v>4960</v>
      </c>
      <c r="J243" s="1">
        <v>8660189311</v>
      </c>
      <c r="K243" s="1" t="s">
        <v>148</v>
      </c>
      <c r="L243" s="1" t="s">
        <v>4961</v>
      </c>
      <c r="M243" s="1" t="s">
        <v>81</v>
      </c>
      <c r="N243" s="1" t="s">
        <v>4962</v>
      </c>
      <c r="O243" s="1"/>
      <c r="P243" s="1" t="s">
        <v>1278</v>
      </c>
      <c r="Q243" s="1" t="s">
        <v>4963</v>
      </c>
      <c r="R243" s="1" t="s">
        <v>4964</v>
      </c>
      <c r="S243" s="1">
        <v>9620192474</v>
      </c>
      <c r="T243" s="1" t="s">
        <v>863</v>
      </c>
      <c r="U243" s="1" t="s">
        <v>4965</v>
      </c>
      <c r="V243" s="1">
        <v>9480050762</v>
      </c>
      <c r="W243" s="1" t="s">
        <v>651</v>
      </c>
      <c r="X243" s="1" t="s">
        <v>4966</v>
      </c>
      <c r="Y243" s="1" t="s">
        <v>1083</v>
      </c>
      <c r="Z243" s="1" t="s">
        <v>1084</v>
      </c>
      <c r="AA243" s="1" t="s">
        <v>4966</v>
      </c>
      <c r="AB243" s="1" t="s">
        <v>1083</v>
      </c>
      <c r="AC243" s="1" t="s">
        <v>1084</v>
      </c>
      <c r="AD243" s="1">
        <v>8.87</v>
      </c>
      <c r="AE243" s="1" t="s">
        <v>93</v>
      </c>
      <c r="AF243" s="1" t="s">
        <v>4967</v>
      </c>
      <c r="AG243" s="1" t="s">
        <v>2649</v>
      </c>
      <c r="AH243" s="1" t="s">
        <v>162</v>
      </c>
      <c r="AI243" s="1" t="s">
        <v>165</v>
      </c>
      <c r="AJ243" s="1">
        <v>91.2</v>
      </c>
      <c r="AK243" s="1">
        <v>9.6</v>
      </c>
      <c r="AL243" s="1" t="s">
        <v>4968</v>
      </c>
      <c r="AM243" s="1" t="s">
        <v>2649</v>
      </c>
      <c r="AN243" s="1" t="s">
        <v>165</v>
      </c>
      <c r="AO243" s="1" t="s">
        <v>1065</v>
      </c>
      <c r="AP243" s="1">
        <v>73.1</v>
      </c>
      <c r="AQ243" s="1"/>
      <c r="AR243" s="1"/>
      <c r="AS243" s="1"/>
      <c r="AT243" s="1"/>
      <c r="AU243" s="1"/>
      <c r="AV243" s="1"/>
      <c r="AW243" s="1"/>
      <c r="AX243" s="1" t="s">
        <v>4969</v>
      </c>
      <c r="AY243" s="1" t="s">
        <v>4970</v>
      </c>
      <c r="AZ243" s="1" t="s">
        <v>310</v>
      </c>
      <c r="BA243" s="1" t="s">
        <v>1939</v>
      </c>
      <c r="BB243" s="1">
        <v>74.4</v>
      </c>
      <c r="BC243" s="1">
        <v>8.19</v>
      </c>
      <c r="BD243" s="1"/>
      <c r="BE243" s="1"/>
      <c r="BF243" s="1"/>
      <c r="BG243" s="1"/>
      <c r="BH243" s="1"/>
      <c r="BI243" s="1"/>
      <c r="BJ243" s="1" t="s">
        <v>4971</v>
      </c>
      <c r="BK243" s="1" t="s">
        <v>4972</v>
      </c>
      <c r="BL243" s="1" t="s">
        <v>287</v>
      </c>
      <c r="BM243" s="1" t="s">
        <v>4973</v>
      </c>
      <c r="BN243" s="1">
        <v>24</v>
      </c>
      <c r="BO243" s="1"/>
      <c r="BP243" s="1" t="str">
        <f>HYPERLINK("https://nconnect.nicmar.ac.in/storage/profile/ProfilePhoto_P25700185_527946.jpg","Download")</f>
        <v>0</v>
      </c>
      <c r="BQ243" s="3"/>
      <c r="BR243" s="3"/>
    </row>
    <row r="244" spans="1:70">
      <c r="A244" s="1" t="s">
        <v>70</v>
      </c>
      <c r="B244" s="1" t="s">
        <v>1269</v>
      </c>
      <c r="C244" s="1" t="s">
        <v>4974</v>
      </c>
      <c r="D244" s="1" t="s">
        <v>533</v>
      </c>
      <c r="E244" s="1" t="s">
        <v>4975</v>
      </c>
      <c r="F244" s="1" t="s">
        <v>4976</v>
      </c>
      <c r="G244" s="1" t="s">
        <v>4977</v>
      </c>
      <c r="H244" s="1" t="s">
        <v>4978</v>
      </c>
      <c r="I244" s="1" t="s">
        <v>4979</v>
      </c>
      <c r="J244" s="1">
        <v>9657676965</v>
      </c>
      <c r="K244" s="1" t="s">
        <v>79</v>
      </c>
      <c r="L244" s="1" t="s">
        <v>4980</v>
      </c>
      <c r="M244" s="1" t="s">
        <v>81</v>
      </c>
      <c r="N244" s="1" t="s">
        <v>4981</v>
      </c>
      <c r="O244" s="1"/>
      <c r="P244" s="1" t="s">
        <v>1278</v>
      </c>
      <c r="Q244" s="1" t="s">
        <v>4982</v>
      </c>
      <c r="R244" s="1" t="s">
        <v>4983</v>
      </c>
      <c r="S244" s="1">
        <v>9881447676</v>
      </c>
      <c r="T244" s="1" t="s">
        <v>4984</v>
      </c>
      <c r="U244" s="1" t="s">
        <v>4985</v>
      </c>
      <c r="V244" s="1">
        <v>9075728686</v>
      </c>
      <c r="W244" s="1" t="s">
        <v>273</v>
      </c>
      <c r="X244" s="1" t="s">
        <v>4986</v>
      </c>
      <c r="Y244" s="1" t="s">
        <v>2790</v>
      </c>
      <c r="Z244" s="1" t="s">
        <v>92</v>
      </c>
      <c r="AA244" s="1" t="s">
        <v>4986</v>
      </c>
      <c r="AB244" s="1" t="s">
        <v>2790</v>
      </c>
      <c r="AC244" s="1" t="s">
        <v>92</v>
      </c>
      <c r="AD244" s="1">
        <v>8.05</v>
      </c>
      <c r="AE244" s="1" t="s">
        <v>93</v>
      </c>
      <c r="AF244" s="1" t="s">
        <v>4987</v>
      </c>
      <c r="AG244" s="1" t="s">
        <v>4988</v>
      </c>
      <c r="AH244" s="1" t="s">
        <v>657</v>
      </c>
      <c r="AI244" s="1" t="s">
        <v>165</v>
      </c>
      <c r="AJ244" s="1">
        <v>84.8</v>
      </c>
      <c r="AK244" s="1"/>
      <c r="AL244" s="1" t="s">
        <v>4989</v>
      </c>
      <c r="AM244" s="1" t="s">
        <v>4988</v>
      </c>
      <c r="AN244" s="1" t="s">
        <v>383</v>
      </c>
      <c r="AO244" s="1" t="s">
        <v>198</v>
      </c>
      <c r="AP244" s="1">
        <v>65.69</v>
      </c>
      <c r="AQ244" s="1"/>
      <c r="AR244" s="1"/>
      <c r="AS244" s="1"/>
      <c r="AT244" s="1"/>
      <c r="AU244" s="1"/>
      <c r="AV244" s="1"/>
      <c r="AW244" s="1"/>
      <c r="AX244" s="1" t="s">
        <v>4990</v>
      </c>
      <c r="AY244" s="1" t="s">
        <v>4991</v>
      </c>
      <c r="AZ244" s="1" t="s">
        <v>310</v>
      </c>
      <c r="BA244" s="1" t="s">
        <v>174</v>
      </c>
      <c r="BB244" s="1">
        <v>68.88</v>
      </c>
      <c r="BC244" s="1">
        <v>7.25</v>
      </c>
      <c r="BD244" s="1"/>
      <c r="BE244" s="1"/>
      <c r="BF244" s="1"/>
      <c r="BG244" s="1"/>
      <c r="BH244" s="1"/>
      <c r="BI244" s="1"/>
      <c r="BJ244" s="1" t="s">
        <v>4992</v>
      </c>
      <c r="BK244" s="1" t="s">
        <v>4993</v>
      </c>
      <c r="BL244" s="1" t="s">
        <v>1385</v>
      </c>
      <c r="BM244" s="1" t="s">
        <v>4994</v>
      </c>
      <c r="BN244" s="1">
        <v>12</v>
      </c>
      <c r="BO244" s="1"/>
      <c r="BP244" s="1" t="str">
        <f>HYPERLINK("https://nconnect.nicmar.ac.in/storage/profile/ProfilePhoto_P25700186_952671.jpg","Download")</f>
        <v>0</v>
      </c>
      <c r="BQ244" s="3"/>
      <c r="BR244" s="3"/>
    </row>
    <row r="245" spans="1:70">
      <c r="A245" s="1" t="s">
        <v>70</v>
      </c>
      <c r="B245" s="1" t="s">
        <v>1269</v>
      </c>
      <c r="C245" s="1" t="s">
        <v>4995</v>
      </c>
      <c r="D245" s="1" t="s">
        <v>4996</v>
      </c>
      <c r="E245" s="1" t="s">
        <v>4997</v>
      </c>
      <c r="F245" s="1" t="s">
        <v>2024</v>
      </c>
      <c r="G245" s="1" t="s">
        <v>4998</v>
      </c>
      <c r="H245" s="1" t="s">
        <v>4999</v>
      </c>
      <c r="I245" s="1" t="s">
        <v>5000</v>
      </c>
      <c r="J245" s="1">
        <v>9819070657</v>
      </c>
      <c r="K245" s="1" t="s">
        <v>79</v>
      </c>
      <c r="L245" s="1" t="s">
        <v>5001</v>
      </c>
      <c r="M245" s="1" t="s">
        <v>81</v>
      </c>
      <c r="N245" s="1" t="s">
        <v>2008</v>
      </c>
      <c r="O245" s="1"/>
      <c r="P245" s="1" t="s">
        <v>1323</v>
      </c>
      <c r="Q245" s="1" t="s">
        <v>5002</v>
      </c>
      <c r="R245" s="1" t="s">
        <v>5003</v>
      </c>
      <c r="S245" s="1">
        <v>9819997174</v>
      </c>
      <c r="T245" s="1" t="s">
        <v>5004</v>
      </c>
      <c r="U245" s="1" t="s">
        <v>5005</v>
      </c>
      <c r="V245" s="1">
        <v>9969335002</v>
      </c>
      <c r="W245" s="1" t="s">
        <v>5004</v>
      </c>
      <c r="X245" s="1" t="s">
        <v>5006</v>
      </c>
      <c r="Y245" s="1" t="s">
        <v>1623</v>
      </c>
      <c r="Z245" s="1" t="s">
        <v>92</v>
      </c>
      <c r="AA245" s="1" t="s">
        <v>5006</v>
      </c>
      <c r="AB245" s="1" t="s">
        <v>1623</v>
      </c>
      <c r="AC245" s="1" t="s">
        <v>92</v>
      </c>
      <c r="AD245" s="1">
        <v>8.66</v>
      </c>
      <c r="AE245" s="1" t="s">
        <v>93</v>
      </c>
      <c r="AF245" s="1" t="s">
        <v>5007</v>
      </c>
      <c r="AG245" s="1" t="s">
        <v>5008</v>
      </c>
      <c r="AH245" s="1" t="s">
        <v>5009</v>
      </c>
      <c r="AI245" s="1" t="s">
        <v>97</v>
      </c>
      <c r="AJ245" s="1">
        <v>71</v>
      </c>
      <c r="AK245" s="1"/>
      <c r="AL245" s="1" t="s">
        <v>5010</v>
      </c>
      <c r="AM245" s="1" t="s">
        <v>5011</v>
      </c>
      <c r="AN245" s="1" t="s">
        <v>5012</v>
      </c>
      <c r="AO245" s="1" t="s">
        <v>1332</v>
      </c>
      <c r="AP245" s="1">
        <v>68</v>
      </c>
      <c r="AQ245" s="1"/>
      <c r="AR245" s="1"/>
      <c r="AS245" s="1"/>
      <c r="AT245" s="1"/>
      <c r="AU245" s="1"/>
      <c r="AV245" s="1"/>
      <c r="AW245" s="1"/>
      <c r="AX245" s="1" t="s">
        <v>5013</v>
      </c>
      <c r="AY245" s="1" t="s">
        <v>5014</v>
      </c>
      <c r="AZ245" s="1" t="s">
        <v>225</v>
      </c>
      <c r="BA245" s="1" t="s">
        <v>506</v>
      </c>
      <c r="BB245" s="1">
        <v>81</v>
      </c>
      <c r="BC245" s="1">
        <v>8.85</v>
      </c>
      <c r="BD245" s="1" t="s">
        <v>5014</v>
      </c>
      <c r="BE245" s="1" t="s">
        <v>2405</v>
      </c>
      <c r="BF245" s="1" t="s">
        <v>436</v>
      </c>
      <c r="BG245" s="1" t="s">
        <v>1134</v>
      </c>
      <c r="BH245" s="1">
        <v>85.6</v>
      </c>
      <c r="BI245" s="1">
        <v>9.31</v>
      </c>
      <c r="BJ245" s="1" t="s">
        <v>364</v>
      </c>
      <c r="BK245" s="1" t="s">
        <v>5015</v>
      </c>
      <c r="BL245" s="1" t="s">
        <v>1561</v>
      </c>
      <c r="BM245" s="1" t="s">
        <v>5016</v>
      </c>
      <c r="BN245" s="1">
        <v>67</v>
      </c>
      <c r="BO245" s="1"/>
      <c r="BP245" s="1" t="str">
        <f>HYPERLINK("https://nconnect.nicmar.ac.in/storage/profile/ProfilePhoto_P25700187_358146.jpg","Download")</f>
        <v>0</v>
      </c>
      <c r="BQ245" s="3"/>
      <c r="BR245" s="3"/>
    </row>
    <row r="246" spans="1:70">
      <c r="A246" s="1" t="s">
        <v>70</v>
      </c>
      <c r="B246" s="1" t="s">
        <v>1269</v>
      </c>
      <c r="C246" s="1" t="s">
        <v>5017</v>
      </c>
      <c r="D246" s="1" t="s">
        <v>5018</v>
      </c>
      <c r="E246" s="1"/>
      <c r="F246" s="1" t="s">
        <v>1680</v>
      </c>
      <c r="G246" s="1" t="s">
        <v>5019</v>
      </c>
      <c r="H246" s="1" t="s">
        <v>5020</v>
      </c>
      <c r="I246" s="1" t="s">
        <v>5021</v>
      </c>
      <c r="J246" s="1">
        <v>7550151319</v>
      </c>
      <c r="K246" s="1" t="s">
        <v>79</v>
      </c>
      <c r="L246" s="1" t="s">
        <v>5022</v>
      </c>
      <c r="M246" s="1" t="s">
        <v>81</v>
      </c>
      <c r="N246" s="1" t="s">
        <v>5023</v>
      </c>
      <c r="O246" s="1"/>
      <c r="P246" s="1" t="s">
        <v>1766</v>
      </c>
      <c r="Q246" s="1" t="s">
        <v>5024</v>
      </c>
      <c r="R246" s="1" t="s">
        <v>5025</v>
      </c>
      <c r="S246" s="1">
        <v>9444411061</v>
      </c>
      <c r="T246" s="1" t="s">
        <v>496</v>
      </c>
      <c r="U246" s="1" t="s">
        <v>5026</v>
      </c>
      <c r="V246" s="1">
        <v>9952050377</v>
      </c>
      <c r="W246" s="1" t="s">
        <v>273</v>
      </c>
      <c r="X246" s="1" t="s">
        <v>5027</v>
      </c>
      <c r="Y246" s="1" t="s">
        <v>5028</v>
      </c>
      <c r="Z246" s="1" t="s">
        <v>1377</v>
      </c>
      <c r="AA246" s="1" t="s">
        <v>5027</v>
      </c>
      <c r="AB246" s="1" t="s">
        <v>5028</v>
      </c>
      <c r="AC246" s="1" t="s">
        <v>1377</v>
      </c>
      <c r="AD246" s="1">
        <v>9.23</v>
      </c>
      <c r="AE246" s="1" t="s">
        <v>93</v>
      </c>
      <c r="AF246" s="1" t="s">
        <v>5029</v>
      </c>
      <c r="AG246" s="1" t="s">
        <v>307</v>
      </c>
      <c r="AH246" s="1" t="s">
        <v>1307</v>
      </c>
      <c r="AI246" s="1" t="s">
        <v>308</v>
      </c>
      <c r="AJ246" s="1">
        <v>87.8</v>
      </c>
      <c r="AK246" s="1"/>
      <c r="AL246" s="1" t="s">
        <v>5029</v>
      </c>
      <c r="AM246" s="1" t="s">
        <v>307</v>
      </c>
      <c r="AN246" s="1" t="s">
        <v>1834</v>
      </c>
      <c r="AO246" s="1" t="s">
        <v>506</v>
      </c>
      <c r="AP246" s="1">
        <v>88.8</v>
      </c>
      <c r="AQ246" s="1"/>
      <c r="AR246" s="1"/>
      <c r="AS246" s="1"/>
      <c r="AT246" s="1"/>
      <c r="AU246" s="1"/>
      <c r="AV246" s="1"/>
      <c r="AW246" s="1"/>
      <c r="AX246" s="1" t="s">
        <v>1381</v>
      </c>
      <c r="AY246" s="1" t="s">
        <v>5030</v>
      </c>
      <c r="AZ246" s="1" t="s">
        <v>135</v>
      </c>
      <c r="BA246" s="1" t="s">
        <v>1714</v>
      </c>
      <c r="BB246" s="1">
        <v>86.9</v>
      </c>
      <c r="BC246" s="1">
        <v>8.69</v>
      </c>
      <c r="BD246" s="1"/>
      <c r="BE246" s="1"/>
      <c r="BF246" s="1"/>
      <c r="BG246" s="1"/>
      <c r="BH246" s="1"/>
      <c r="BI246" s="1"/>
      <c r="BJ246" s="1" t="s">
        <v>5031</v>
      </c>
      <c r="BK246" s="1"/>
      <c r="BL246" s="1"/>
      <c r="BM246" s="1" t="s">
        <v>5032</v>
      </c>
      <c r="BN246" s="1">
        <v>12</v>
      </c>
      <c r="BO246" s="1" t="s">
        <v>5033</v>
      </c>
      <c r="BP246" s="1" t="str">
        <f>HYPERLINK("https://nconnect.nicmar.ac.in/storage/profile/ProfilePhoto_P25700188_342579.jpg","Download")</f>
        <v>0</v>
      </c>
      <c r="BQ246" s="3"/>
      <c r="BR246" s="3"/>
    </row>
    <row r="247" spans="1:70">
      <c r="A247" s="1" t="s">
        <v>70</v>
      </c>
      <c r="B247" s="1" t="s">
        <v>1269</v>
      </c>
      <c r="C247" s="1" t="s">
        <v>5034</v>
      </c>
      <c r="D247" s="1" t="s">
        <v>5035</v>
      </c>
      <c r="E247" s="1" t="s">
        <v>5036</v>
      </c>
      <c r="F247" s="1" t="s">
        <v>5037</v>
      </c>
      <c r="G247" s="1" t="s">
        <v>5038</v>
      </c>
      <c r="H247" s="1" t="s">
        <v>5039</v>
      </c>
      <c r="I247" s="1" t="s">
        <v>5040</v>
      </c>
      <c r="J247" s="1">
        <v>9130984881</v>
      </c>
      <c r="K247" s="1" t="s">
        <v>79</v>
      </c>
      <c r="L247" s="1" t="s">
        <v>5041</v>
      </c>
      <c r="M247" s="1" t="s">
        <v>81</v>
      </c>
      <c r="N247" s="1" t="s">
        <v>469</v>
      </c>
      <c r="O247" s="1"/>
      <c r="P247" s="1" t="s">
        <v>1323</v>
      </c>
      <c r="Q247" s="1" t="s">
        <v>5042</v>
      </c>
      <c r="R247" s="1" t="s">
        <v>5036</v>
      </c>
      <c r="S247" s="1">
        <v>9096905159</v>
      </c>
      <c r="T247" s="1" t="s">
        <v>154</v>
      </c>
      <c r="U247" s="1" t="s">
        <v>5043</v>
      </c>
      <c r="V247" s="1">
        <v>9226880455</v>
      </c>
      <c r="W247" s="1" t="s">
        <v>156</v>
      </c>
      <c r="X247" s="1" t="s">
        <v>5044</v>
      </c>
      <c r="Y247" s="1" t="s">
        <v>523</v>
      </c>
      <c r="Z247" s="1" t="s">
        <v>92</v>
      </c>
      <c r="AA247" s="1" t="s">
        <v>5044</v>
      </c>
      <c r="AB247" s="1" t="s">
        <v>523</v>
      </c>
      <c r="AC247" s="1" t="s">
        <v>92</v>
      </c>
      <c r="AD247" s="1" t="s">
        <v>93</v>
      </c>
      <c r="AE247" s="1" t="s">
        <v>93</v>
      </c>
      <c r="AF247" s="1" t="s">
        <v>5045</v>
      </c>
      <c r="AG247" s="1" t="s">
        <v>5046</v>
      </c>
      <c r="AH247" s="1" t="s">
        <v>161</v>
      </c>
      <c r="AI247" s="1" t="s">
        <v>162</v>
      </c>
      <c r="AJ247" s="1">
        <v>79.8</v>
      </c>
      <c r="AK247" s="1"/>
      <c r="AL247" s="1" t="s">
        <v>5047</v>
      </c>
      <c r="AM247" s="1" t="s">
        <v>5046</v>
      </c>
      <c r="AN247" s="1" t="s">
        <v>165</v>
      </c>
      <c r="AO247" s="1" t="s">
        <v>166</v>
      </c>
      <c r="AP247" s="1">
        <v>68.46</v>
      </c>
      <c r="AQ247" s="1"/>
      <c r="AR247" s="1"/>
      <c r="AS247" s="1"/>
      <c r="AT247" s="1"/>
      <c r="AU247" s="1"/>
      <c r="AV247" s="1"/>
      <c r="AW247" s="1"/>
      <c r="AX247" s="1" t="s">
        <v>5048</v>
      </c>
      <c r="AY247" s="1" t="s">
        <v>5049</v>
      </c>
      <c r="AZ247" s="1" t="s">
        <v>169</v>
      </c>
      <c r="BA247" s="1" t="s">
        <v>2632</v>
      </c>
      <c r="BB247" s="1">
        <v>74.3</v>
      </c>
      <c r="BC247" s="1">
        <v>7.43</v>
      </c>
      <c r="BD247" s="1"/>
      <c r="BE247" s="1"/>
      <c r="BF247" s="1"/>
      <c r="BG247" s="1"/>
      <c r="BH247" s="1"/>
      <c r="BI247" s="1"/>
      <c r="BJ247" s="1" t="s">
        <v>255</v>
      </c>
      <c r="BK247" s="1"/>
      <c r="BL247" s="1"/>
      <c r="BM247" s="1"/>
      <c r="BN247" s="1"/>
      <c r="BO247" s="1"/>
      <c r="BP247" s="1" t="str">
        <f>HYPERLINK("https://nconnect.nicmar.ac.in/storage/profile/ProfilePhoto_P25700189_658327.jpg","Download")</f>
        <v>0</v>
      </c>
      <c r="BQ247" s="3"/>
      <c r="BR247" s="3"/>
    </row>
    <row r="248" spans="1:70">
      <c r="A248" s="1" t="s">
        <v>70</v>
      </c>
      <c r="B248" s="1" t="s">
        <v>1269</v>
      </c>
      <c r="C248" s="1" t="s">
        <v>5050</v>
      </c>
      <c r="D248" s="1" t="s">
        <v>5051</v>
      </c>
      <c r="E248" s="1" t="s">
        <v>1342</v>
      </c>
      <c r="F248" s="1" t="s">
        <v>835</v>
      </c>
      <c r="G248" s="1" t="s">
        <v>5052</v>
      </c>
      <c r="H248" s="1" t="s">
        <v>5053</v>
      </c>
      <c r="I248" s="1" t="s">
        <v>5054</v>
      </c>
      <c r="J248" s="1">
        <v>9079801566</v>
      </c>
      <c r="K248" s="1" t="s">
        <v>79</v>
      </c>
      <c r="L248" s="1" t="s">
        <v>5055</v>
      </c>
      <c r="M248" s="1" t="s">
        <v>81</v>
      </c>
      <c r="N248" s="1" t="s">
        <v>5056</v>
      </c>
      <c r="O248" s="1"/>
      <c r="P248" s="1" t="s">
        <v>1298</v>
      </c>
      <c r="Q248" s="1" t="s">
        <v>5057</v>
      </c>
      <c r="R248" s="1" t="s">
        <v>5058</v>
      </c>
      <c r="S248" s="1">
        <v>8005694959</v>
      </c>
      <c r="T248" s="1" t="s">
        <v>4199</v>
      </c>
      <c r="U248" s="1" t="s">
        <v>5059</v>
      </c>
      <c r="V248" s="1">
        <v>8824707689</v>
      </c>
      <c r="W248" s="1" t="s">
        <v>156</v>
      </c>
      <c r="X248" s="1" t="s">
        <v>5060</v>
      </c>
      <c r="Y248" s="1" t="s">
        <v>2949</v>
      </c>
      <c r="Z248" s="1" t="s">
        <v>867</v>
      </c>
      <c r="AA248" s="1" t="s">
        <v>5060</v>
      </c>
      <c r="AB248" s="1" t="s">
        <v>2949</v>
      </c>
      <c r="AC248" s="1" t="s">
        <v>867</v>
      </c>
      <c r="AD248" s="1">
        <v>9.11</v>
      </c>
      <c r="AE248" s="1" t="s">
        <v>93</v>
      </c>
      <c r="AF248" s="1" t="s">
        <v>5061</v>
      </c>
      <c r="AG248" s="1" t="s">
        <v>5062</v>
      </c>
      <c r="AH248" s="1" t="s">
        <v>477</v>
      </c>
      <c r="AI248" s="1" t="s">
        <v>161</v>
      </c>
      <c r="AJ248" s="1">
        <v>86.17</v>
      </c>
      <c r="AK248" s="1"/>
      <c r="AL248" s="1" t="s">
        <v>5063</v>
      </c>
      <c r="AM248" s="1" t="s">
        <v>5062</v>
      </c>
      <c r="AN248" s="1" t="s">
        <v>279</v>
      </c>
      <c r="AO248" s="1" t="s">
        <v>479</v>
      </c>
      <c r="AP248" s="1">
        <v>81.6</v>
      </c>
      <c r="AQ248" s="1"/>
      <c r="AR248" s="1"/>
      <c r="AS248" s="1"/>
      <c r="AT248" s="1"/>
      <c r="AU248" s="1"/>
      <c r="AV248" s="1"/>
      <c r="AW248" s="1"/>
      <c r="AX248" s="1" t="s">
        <v>5064</v>
      </c>
      <c r="AY248" s="1" t="s">
        <v>5065</v>
      </c>
      <c r="AZ248" s="1" t="s">
        <v>383</v>
      </c>
      <c r="BA248" s="1" t="s">
        <v>1131</v>
      </c>
      <c r="BB248" s="1">
        <v>85</v>
      </c>
      <c r="BC248" s="1">
        <v>8.15</v>
      </c>
      <c r="BD248" s="1"/>
      <c r="BE248" s="1"/>
      <c r="BF248" s="1"/>
      <c r="BG248" s="1"/>
      <c r="BH248" s="1"/>
      <c r="BI248" s="1"/>
      <c r="BJ248" s="1" t="s">
        <v>5066</v>
      </c>
      <c r="BK248" s="1" t="s">
        <v>5067</v>
      </c>
      <c r="BL248" s="1" t="s">
        <v>2654</v>
      </c>
      <c r="BM248" s="1" t="s">
        <v>5068</v>
      </c>
      <c r="BN248" s="1">
        <v>12</v>
      </c>
      <c r="BO248" s="1" t="s">
        <v>5069</v>
      </c>
      <c r="BP248" s="1" t="str">
        <f>HYPERLINK("https://nconnect.nicmar.ac.in/storage/profile/ProfilePhoto_P25700190_285367.jpg","Download")</f>
        <v>0</v>
      </c>
      <c r="BQ248" s="3"/>
      <c r="BR248" s="3"/>
    </row>
    <row r="249" spans="1:70">
      <c r="A249" s="1" t="s">
        <v>70</v>
      </c>
      <c r="B249" s="1" t="s">
        <v>1269</v>
      </c>
      <c r="C249" s="1" t="s">
        <v>5070</v>
      </c>
      <c r="D249" s="1" t="s">
        <v>2327</v>
      </c>
      <c r="E249" s="1" t="s">
        <v>5071</v>
      </c>
      <c r="F249" s="1" t="s">
        <v>3232</v>
      </c>
      <c r="G249" s="1" t="s">
        <v>5072</v>
      </c>
      <c r="H249" s="1" t="s">
        <v>5073</v>
      </c>
      <c r="I249" s="1" t="s">
        <v>5074</v>
      </c>
      <c r="J249" s="1">
        <v>9370050608</v>
      </c>
      <c r="K249" s="1" t="s">
        <v>79</v>
      </c>
      <c r="L249" s="1" t="s">
        <v>5075</v>
      </c>
      <c r="M249" s="1" t="s">
        <v>81</v>
      </c>
      <c r="N249" s="1" t="s">
        <v>1618</v>
      </c>
      <c r="O249" s="1"/>
      <c r="P249" s="1"/>
      <c r="Q249" s="1" t="s">
        <v>5076</v>
      </c>
      <c r="R249" s="1" t="s">
        <v>5077</v>
      </c>
      <c r="S249" s="1">
        <v>9923802386</v>
      </c>
      <c r="T249" s="1" t="s">
        <v>763</v>
      </c>
      <c r="U249" s="1" t="s">
        <v>5078</v>
      </c>
      <c r="V249" s="1">
        <v>8329103997</v>
      </c>
      <c r="W249" s="1" t="s">
        <v>156</v>
      </c>
      <c r="X249" s="1" t="s">
        <v>5079</v>
      </c>
      <c r="Y249" s="1" t="s">
        <v>5080</v>
      </c>
      <c r="Z249" s="1" t="s">
        <v>92</v>
      </c>
      <c r="AA249" s="1" t="s">
        <v>5079</v>
      </c>
      <c r="AB249" s="1" t="s">
        <v>5080</v>
      </c>
      <c r="AC249" s="1" t="s">
        <v>92</v>
      </c>
      <c r="AD249" s="1">
        <v>8.59</v>
      </c>
      <c r="AE249" s="1" t="s">
        <v>93</v>
      </c>
      <c r="AF249" s="1" t="s">
        <v>5081</v>
      </c>
      <c r="AG249" s="1" t="s">
        <v>476</v>
      </c>
      <c r="AH249" s="1" t="s">
        <v>165</v>
      </c>
      <c r="AI249" s="1" t="s">
        <v>101</v>
      </c>
      <c r="AJ249" s="1">
        <v>93</v>
      </c>
      <c r="AK249" s="1"/>
      <c r="AL249" s="1"/>
      <c r="AM249" s="1"/>
      <c r="AN249" s="1"/>
      <c r="AO249" s="1"/>
      <c r="AP249" s="1"/>
      <c r="AQ249" s="1"/>
      <c r="AR249" s="1" t="s">
        <v>434</v>
      </c>
      <c r="AS249" s="1" t="s">
        <v>5082</v>
      </c>
      <c r="AT249" s="1" t="s">
        <v>636</v>
      </c>
      <c r="AU249" s="1" t="s">
        <v>1712</v>
      </c>
      <c r="AV249" s="1">
        <v>95.16</v>
      </c>
      <c r="AW249" s="1"/>
      <c r="AX249" s="1" t="s">
        <v>1024</v>
      </c>
      <c r="AY249" s="1" t="s">
        <v>5083</v>
      </c>
      <c r="AZ249" s="1" t="s">
        <v>897</v>
      </c>
      <c r="BA249" s="1" t="s">
        <v>202</v>
      </c>
      <c r="BB249" s="1">
        <v>83.92</v>
      </c>
      <c r="BC249" s="1">
        <v>9.72</v>
      </c>
      <c r="BD249" s="1"/>
      <c r="BE249" s="1"/>
      <c r="BF249" s="1"/>
      <c r="BG249" s="1"/>
      <c r="BH249" s="1"/>
      <c r="BI249" s="1"/>
      <c r="BJ249" s="1" t="s">
        <v>5084</v>
      </c>
      <c r="BK249" s="1" t="s">
        <v>5085</v>
      </c>
      <c r="BL249" s="1" t="s">
        <v>1920</v>
      </c>
      <c r="BM249" s="1" t="s">
        <v>5086</v>
      </c>
      <c r="BN249" s="1">
        <v>20</v>
      </c>
      <c r="BO249" s="1"/>
      <c r="BP249" s="1" t="str">
        <f>HYPERLINK("https://nconnect.nicmar.ac.in/storage/profile/ProfilePhoto_P25700191_975138.jpg","Download")</f>
        <v>0</v>
      </c>
      <c r="BQ249" s="3"/>
      <c r="BR249" s="3"/>
    </row>
    <row r="250" spans="1:70">
      <c r="A250" s="1" t="s">
        <v>70</v>
      </c>
      <c r="B250" s="1" t="s">
        <v>1269</v>
      </c>
      <c r="C250" s="1" t="s">
        <v>5087</v>
      </c>
      <c r="D250" s="1" t="s">
        <v>3035</v>
      </c>
      <c r="E250" s="1" t="s">
        <v>5088</v>
      </c>
      <c r="F250" s="1" t="s">
        <v>5089</v>
      </c>
      <c r="G250" s="1" t="s">
        <v>5090</v>
      </c>
      <c r="H250" s="1" t="s">
        <v>5091</v>
      </c>
      <c r="I250" s="1" t="s">
        <v>5092</v>
      </c>
      <c r="J250" s="1">
        <v>7666818616</v>
      </c>
      <c r="K250" s="1" t="s">
        <v>79</v>
      </c>
      <c r="L250" s="1" t="s">
        <v>5093</v>
      </c>
      <c r="M250" s="1" t="s">
        <v>81</v>
      </c>
      <c r="N250" s="1" t="s">
        <v>5094</v>
      </c>
      <c r="O250" s="1"/>
      <c r="P250" s="1" t="s">
        <v>1323</v>
      </c>
      <c r="Q250" s="1" t="s">
        <v>5095</v>
      </c>
      <c r="R250" s="1" t="s">
        <v>5088</v>
      </c>
      <c r="S250" s="1">
        <v>9819123215</v>
      </c>
      <c r="T250" s="1" t="s">
        <v>5096</v>
      </c>
      <c r="U250" s="1" t="s">
        <v>5097</v>
      </c>
      <c r="V250" s="1">
        <v>9833409215</v>
      </c>
      <c r="W250" s="1" t="s">
        <v>273</v>
      </c>
      <c r="X250" s="1" t="s">
        <v>5098</v>
      </c>
      <c r="Y250" s="1" t="s">
        <v>1623</v>
      </c>
      <c r="Z250" s="1" t="s">
        <v>92</v>
      </c>
      <c r="AA250" s="1" t="s">
        <v>5098</v>
      </c>
      <c r="AB250" s="1" t="s">
        <v>1623</v>
      </c>
      <c r="AC250" s="1" t="s">
        <v>92</v>
      </c>
      <c r="AD250" s="1">
        <v>7.72</v>
      </c>
      <c r="AE250" s="1" t="s">
        <v>93</v>
      </c>
      <c r="AF250" s="1" t="s">
        <v>5099</v>
      </c>
      <c r="AG250" s="1" t="s">
        <v>5100</v>
      </c>
      <c r="AH250" s="1" t="s">
        <v>161</v>
      </c>
      <c r="AI250" s="1" t="s">
        <v>527</v>
      </c>
      <c r="AJ250" s="1">
        <v>86.67</v>
      </c>
      <c r="AK250" s="1"/>
      <c r="AL250" s="1" t="s">
        <v>5101</v>
      </c>
      <c r="AM250" s="1" t="s">
        <v>5102</v>
      </c>
      <c r="AN250" s="1" t="s">
        <v>527</v>
      </c>
      <c r="AO250" s="1" t="s">
        <v>457</v>
      </c>
      <c r="AP250" s="1">
        <v>74.92</v>
      </c>
      <c r="AQ250" s="1"/>
      <c r="AR250" s="1"/>
      <c r="AS250" s="1"/>
      <c r="AT250" s="1"/>
      <c r="AU250" s="1"/>
      <c r="AV250" s="1"/>
      <c r="AW250" s="1"/>
      <c r="AX250" s="1" t="s">
        <v>253</v>
      </c>
      <c r="AY250" s="1" t="s">
        <v>5103</v>
      </c>
      <c r="AZ250" s="1" t="s">
        <v>101</v>
      </c>
      <c r="BA250" s="1" t="s">
        <v>682</v>
      </c>
      <c r="BB250" s="1">
        <v>66.39</v>
      </c>
      <c r="BC250" s="1">
        <v>7.35</v>
      </c>
      <c r="BD250" s="1"/>
      <c r="BE250" s="1"/>
      <c r="BF250" s="1"/>
      <c r="BG250" s="1"/>
      <c r="BH250" s="1"/>
      <c r="BI250" s="1"/>
      <c r="BJ250" s="1" t="s">
        <v>364</v>
      </c>
      <c r="BK250" s="1" t="s">
        <v>5104</v>
      </c>
      <c r="BL250" s="1" t="s">
        <v>1385</v>
      </c>
      <c r="BM250" s="1" t="s">
        <v>5105</v>
      </c>
      <c r="BN250" s="1">
        <v>8</v>
      </c>
      <c r="BO250" s="1"/>
      <c r="BP250" s="1" t="str">
        <f>HYPERLINK("https://nconnect.nicmar.ac.in/storage/profile/ProfilePhoto_P25700192_921356.jpg","Download")</f>
        <v>0</v>
      </c>
      <c r="BQ250" s="3"/>
      <c r="BR250" s="3"/>
    </row>
    <row r="251" spans="1:70">
      <c r="A251" s="1" t="s">
        <v>70</v>
      </c>
      <c r="B251" s="1" t="s">
        <v>1269</v>
      </c>
      <c r="C251" s="1" t="s">
        <v>5106</v>
      </c>
      <c r="D251" s="1" t="s">
        <v>5107</v>
      </c>
      <c r="E251" s="1" t="s">
        <v>5108</v>
      </c>
      <c r="F251" s="1" t="s">
        <v>5109</v>
      </c>
      <c r="G251" s="1" t="s">
        <v>5110</v>
      </c>
      <c r="H251" s="1" t="s">
        <v>5111</v>
      </c>
      <c r="I251" s="1" t="s">
        <v>5112</v>
      </c>
      <c r="J251" s="1">
        <v>9322756868</v>
      </c>
      <c r="K251" s="1" t="s">
        <v>79</v>
      </c>
      <c r="L251" s="1" t="s">
        <v>5113</v>
      </c>
      <c r="M251" s="1" t="s">
        <v>81</v>
      </c>
      <c r="N251" s="1" t="s">
        <v>3856</v>
      </c>
      <c r="O251" s="1"/>
      <c r="P251" s="1" t="s">
        <v>1278</v>
      </c>
      <c r="Q251" s="1" t="s">
        <v>5114</v>
      </c>
      <c r="R251" s="1" t="s">
        <v>5115</v>
      </c>
      <c r="S251" s="1">
        <v>9850824624</v>
      </c>
      <c r="T251" s="1" t="s">
        <v>910</v>
      </c>
      <c r="U251" s="1" t="s">
        <v>5116</v>
      </c>
      <c r="V251" s="1">
        <v>9049649000</v>
      </c>
      <c r="W251" s="1" t="s">
        <v>2094</v>
      </c>
      <c r="X251" s="1" t="s">
        <v>5117</v>
      </c>
      <c r="Y251" s="1" t="s">
        <v>191</v>
      </c>
      <c r="Z251" s="1" t="s">
        <v>92</v>
      </c>
      <c r="AA251" s="1" t="s">
        <v>5117</v>
      </c>
      <c r="AB251" s="1" t="s">
        <v>191</v>
      </c>
      <c r="AC251" s="1" t="s">
        <v>92</v>
      </c>
      <c r="AD251" s="1">
        <v>8.8</v>
      </c>
      <c r="AE251" s="1" t="s">
        <v>93</v>
      </c>
      <c r="AF251" s="1" t="s">
        <v>5118</v>
      </c>
      <c r="AG251" s="1" t="s">
        <v>307</v>
      </c>
      <c r="AH251" s="1" t="s">
        <v>101</v>
      </c>
      <c r="AI251" s="1" t="s">
        <v>308</v>
      </c>
      <c r="AJ251" s="1">
        <v>78.4</v>
      </c>
      <c r="AK251" s="1"/>
      <c r="AL251" s="1" t="s">
        <v>5119</v>
      </c>
      <c r="AM251" s="1" t="s">
        <v>5120</v>
      </c>
      <c r="AN251" s="1" t="s">
        <v>681</v>
      </c>
      <c r="AO251" s="1" t="s">
        <v>436</v>
      </c>
      <c r="AP251" s="1">
        <v>76.83</v>
      </c>
      <c r="AQ251" s="1"/>
      <c r="AR251" s="1"/>
      <c r="AS251" s="1"/>
      <c r="AT251" s="1"/>
      <c r="AU251" s="1"/>
      <c r="AV251" s="1"/>
      <c r="AW251" s="1"/>
      <c r="AX251" s="1" t="s">
        <v>5121</v>
      </c>
      <c r="AY251" s="1" t="s">
        <v>5122</v>
      </c>
      <c r="AZ251" s="1" t="s">
        <v>436</v>
      </c>
      <c r="BA251" s="1" t="s">
        <v>1408</v>
      </c>
      <c r="BB251" s="1">
        <v>87.6</v>
      </c>
      <c r="BC251" s="1">
        <v>8.76</v>
      </c>
      <c r="BD251" s="1"/>
      <c r="BE251" s="1"/>
      <c r="BF251" s="1"/>
      <c r="BG251" s="1"/>
      <c r="BH251" s="1"/>
      <c r="BI251" s="1"/>
      <c r="BJ251" s="1" t="s">
        <v>2146</v>
      </c>
      <c r="BK251" s="1"/>
      <c r="BL251" s="1"/>
      <c r="BM251" s="1" t="s">
        <v>5123</v>
      </c>
      <c r="BN251" s="1">
        <v>19</v>
      </c>
      <c r="BO251" s="1"/>
      <c r="BP251" s="1" t="str">
        <f>HYPERLINK("https://nconnect.nicmar.ac.in/storage/profile/ProfilePhoto_P25700193_714259.jpg","Download")</f>
        <v>0</v>
      </c>
      <c r="BQ251" s="3"/>
      <c r="BR251" s="3"/>
    </row>
    <row r="252" spans="1:70">
      <c r="A252" s="1" t="s">
        <v>70</v>
      </c>
      <c r="B252" s="1" t="s">
        <v>1269</v>
      </c>
      <c r="C252" s="1" t="s">
        <v>5124</v>
      </c>
      <c r="D252" s="1" t="s">
        <v>5125</v>
      </c>
      <c r="E252" s="1"/>
      <c r="F252" s="1" t="s">
        <v>5126</v>
      </c>
      <c r="G252" s="1" t="s">
        <v>5127</v>
      </c>
      <c r="H252" s="1" t="s">
        <v>5128</v>
      </c>
      <c r="I252" s="1" t="s">
        <v>5129</v>
      </c>
      <c r="J252" s="1">
        <v>8526305610</v>
      </c>
      <c r="K252" s="1" t="s">
        <v>79</v>
      </c>
      <c r="L252" s="1" t="s">
        <v>5130</v>
      </c>
      <c r="M252" s="1" t="s">
        <v>81</v>
      </c>
      <c r="N252" s="1" t="s">
        <v>5131</v>
      </c>
      <c r="O252" s="1"/>
      <c r="P252" s="1" t="s">
        <v>1298</v>
      </c>
      <c r="Q252" s="1" t="s">
        <v>5132</v>
      </c>
      <c r="R252" s="1" t="s">
        <v>5133</v>
      </c>
      <c r="S252" s="1">
        <v>9486258645</v>
      </c>
      <c r="T252" s="1" t="s">
        <v>5134</v>
      </c>
      <c r="U252" s="1" t="s">
        <v>5135</v>
      </c>
      <c r="V252" s="1">
        <v>9659393483</v>
      </c>
      <c r="W252" s="1" t="s">
        <v>89</v>
      </c>
      <c r="X252" s="1" t="s">
        <v>5136</v>
      </c>
      <c r="Y252" s="1" t="s">
        <v>5137</v>
      </c>
      <c r="Z252" s="1" t="s">
        <v>1377</v>
      </c>
      <c r="AA252" s="1" t="s">
        <v>5136</v>
      </c>
      <c r="AB252" s="1" t="s">
        <v>5137</v>
      </c>
      <c r="AC252" s="1" t="s">
        <v>1377</v>
      </c>
      <c r="AD252" s="1">
        <v>8.44</v>
      </c>
      <c r="AE252" s="1" t="s">
        <v>93</v>
      </c>
      <c r="AF252" s="1" t="s">
        <v>5138</v>
      </c>
      <c r="AG252" s="1" t="s">
        <v>5139</v>
      </c>
      <c r="AH252" s="1" t="s">
        <v>162</v>
      </c>
      <c r="AI252" s="1" t="s">
        <v>195</v>
      </c>
      <c r="AJ252" s="1">
        <v>97</v>
      </c>
      <c r="AK252" s="1"/>
      <c r="AL252" s="1" t="s">
        <v>5140</v>
      </c>
      <c r="AM252" s="1" t="s">
        <v>5141</v>
      </c>
      <c r="AN252" s="1" t="s">
        <v>101</v>
      </c>
      <c r="AO252" s="1" t="s">
        <v>409</v>
      </c>
      <c r="AP252" s="1">
        <v>79.4</v>
      </c>
      <c r="AQ252" s="1">
        <v>0</v>
      </c>
      <c r="AR252" s="1"/>
      <c r="AS252" s="1"/>
      <c r="AT252" s="1"/>
      <c r="AU252" s="1"/>
      <c r="AV252" s="1"/>
      <c r="AW252" s="1"/>
      <c r="AX252" s="1" t="s">
        <v>5142</v>
      </c>
      <c r="AY252" s="1" t="s">
        <v>5143</v>
      </c>
      <c r="AZ252" s="1" t="s">
        <v>201</v>
      </c>
      <c r="BA252" s="1" t="s">
        <v>590</v>
      </c>
      <c r="BB252" s="1">
        <v>84.8</v>
      </c>
      <c r="BC252" s="1"/>
      <c r="BD252" s="1"/>
      <c r="BE252" s="1"/>
      <c r="BF252" s="1"/>
      <c r="BG252" s="1"/>
      <c r="BH252" s="1"/>
      <c r="BI252" s="1"/>
      <c r="BJ252" s="1" t="s">
        <v>5144</v>
      </c>
      <c r="BK252" s="1" t="s">
        <v>5145</v>
      </c>
      <c r="BL252" s="1" t="s">
        <v>3110</v>
      </c>
      <c r="BM252" s="1" t="s">
        <v>5146</v>
      </c>
      <c r="BN252" s="1">
        <v>8</v>
      </c>
      <c r="BO252" s="1" t="s">
        <v>5147</v>
      </c>
      <c r="BP252" s="1" t="str">
        <f>HYPERLINK("https://nconnect.nicmar.ac.in/storage/profile/ProfilePhoto_P25700194_912563.jpg","Download")</f>
        <v>0</v>
      </c>
      <c r="BQ252" s="3"/>
      <c r="BR252" s="3"/>
    </row>
    <row r="253" spans="1:70">
      <c r="A253" s="1" t="s">
        <v>70</v>
      </c>
      <c r="B253" s="1" t="s">
        <v>1269</v>
      </c>
      <c r="C253" s="1" t="s">
        <v>5148</v>
      </c>
      <c r="D253" s="1" t="s">
        <v>1945</v>
      </c>
      <c r="E253" s="1" t="s">
        <v>5149</v>
      </c>
      <c r="F253" s="1" t="s">
        <v>5150</v>
      </c>
      <c r="G253" s="1" t="s">
        <v>5151</v>
      </c>
      <c r="H253" s="1" t="s">
        <v>5152</v>
      </c>
      <c r="I253" s="1" t="s">
        <v>5153</v>
      </c>
      <c r="J253" s="1">
        <v>8308454031</v>
      </c>
      <c r="K253" s="1" t="s">
        <v>79</v>
      </c>
      <c r="L253" s="1" t="s">
        <v>5154</v>
      </c>
      <c r="M253" s="1" t="s">
        <v>81</v>
      </c>
      <c r="N253" s="1" t="s">
        <v>1418</v>
      </c>
      <c r="O253" s="1"/>
      <c r="P253" s="1" t="s">
        <v>1323</v>
      </c>
      <c r="Q253" s="1" t="s">
        <v>5155</v>
      </c>
      <c r="R253" s="1" t="s">
        <v>5149</v>
      </c>
      <c r="S253" s="1">
        <v>9545884217</v>
      </c>
      <c r="T253" s="1" t="s">
        <v>154</v>
      </c>
      <c r="U253" s="1" t="s">
        <v>5156</v>
      </c>
      <c r="V253" s="1">
        <v>8308454031</v>
      </c>
      <c r="W253" s="1" t="s">
        <v>156</v>
      </c>
      <c r="X253" s="1" t="s">
        <v>5157</v>
      </c>
      <c r="Y253" s="1" t="s">
        <v>191</v>
      </c>
      <c r="Z253" s="1" t="s">
        <v>92</v>
      </c>
      <c r="AA253" s="1" t="s">
        <v>5158</v>
      </c>
      <c r="AB253" s="1" t="s">
        <v>405</v>
      </c>
      <c r="AC253" s="1" t="s">
        <v>92</v>
      </c>
      <c r="AD253" s="1">
        <v>9.05</v>
      </c>
      <c r="AE253" s="1" t="s">
        <v>93</v>
      </c>
      <c r="AF253" s="1" t="s">
        <v>5159</v>
      </c>
      <c r="AG253" s="1" t="s">
        <v>5160</v>
      </c>
      <c r="AH253" s="1" t="s">
        <v>1242</v>
      </c>
      <c r="AI253" s="1" t="s">
        <v>999</v>
      </c>
      <c r="AJ253" s="1">
        <v>96</v>
      </c>
      <c r="AK253" s="1"/>
      <c r="AL253" s="1"/>
      <c r="AM253" s="1"/>
      <c r="AN253" s="1"/>
      <c r="AO253" s="1"/>
      <c r="AP253" s="1"/>
      <c r="AQ253" s="1"/>
      <c r="AR253" s="1" t="s">
        <v>98</v>
      </c>
      <c r="AS253" s="1" t="s">
        <v>5161</v>
      </c>
      <c r="AT253" s="1" t="s">
        <v>252</v>
      </c>
      <c r="AU253" s="1" t="s">
        <v>165</v>
      </c>
      <c r="AV253" s="1">
        <v>91.19</v>
      </c>
      <c r="AW253" s="1"/>
      <c r="AX253" s="1" t="s">
        <v>1645</v>
      </c>
      <c r="AY253" s="1" t="s">
        <v>5162</v>
      </c>
      <c r="AZ253" s="1" t="s">
        <v>225</v>
      </c>
      <c r="BA253" s="1" t="s">
        <v>170</v>
      </c>
      <c r="BB253" s="1">
        <v>80.1</v>
      </c>
      <c r="BC253" s="1">
        <v>8.76</v>
      </c>
      <c r="BD253" s="1"/>
      <c r="BE253" s="1"/>
      <c r="BF253" s="1"/>
      <c r="BG253" s="1"/>
      <c r="BH253" s="1"/>
      <c r="BI253" s="1"/>
      <c r="BJ253" s="1" t="s">
        <v>5163</v>
      </c>
      <c r="BK253" s="1" t="s">
        <v>5164</v>
      </c>
      <c r="BL253" s="1" t="s">
        <v>736</v>
      </c>
      <c r="BM253" s="1" t="s">
        <v>5165</v>
      </c>
      <c r="BN253" s="1">
        <v>10</v>
      </c>
      <c r="BO253" s="1"/>
      <c r="BP253" s="1" t="str">
        <f>HYPERLINK("https://nconnect.nicmar.ac.in/storage/profile/ProfilePhoto_P25700195_426391.jpg","Download")</f>
        <v>0</v>
      </c>
      <c r="BQ253" s="3"/>
      <c r="BR253" s="3"/>
    </row>
    <row r="254" spans="1:70">
      <c r="A254" s="1" t="s">
        <v>70</v>
      </c>
      <c r="B254" s="1" t="s">
        <v>1269</v>
      </c>
      <c r="C254" s="1" t="s">
        <v>5166</v>
      </c>
      <c r="D254" s="1" t="s">
        <v>5167</v>
      </c>
      <c r="E254" s="1" t="s">
        <v>5088</v>
      </c>
      <c r="F254" s="1" t="s">
        <v>5168</v>
      </c>
      <c r="G254" s="1" t="s">
        <v>5169</v>
      </c>
      <c r="H254" s="1" t="s">
        <v>5170</v>
      </c>
      <c r="I254" s="1" t="s">
        <v>5171</v>
      </c>
      <c r="J254" s="1">
        <v>8010307133</v>
      </c>
      <c r="K254" s="1" t="s">
        <v>148</v>
      </c>
      <c r="L254" s="1" t="s">
        <v>1862</v>
      </c>
      <c r="M254" s="1" t="s">
        <v>81</v>
      </c>
      <c r="N254" s="1" t="s">
        <v>1418</v>
      </c>
      <c r="O254" s="1"/>
      <c r="P254" s="1" t="s">
        <v>1462</v>
      </c>
      <c r="Q254" s="1" t="s">
        <v>5172</v>
      </c>
      <c r="R254" s="1" t="s">
        <v>5173</v>
      </c>
      <c r="S254" s="1">
        <v>8888836437</v>
      </c>
      <c r="T254" s="1" t="s">
        <v>4107</v>
      </c>
      <c r="U254" s="1" t="s">
        <v>5174</v>
      </c>
      <c r="V254" s="1">
        <v>8378976437</v>
      </c>
      <c r="W254" s="1" t="s">
        <v>89</v>
      </c>
      <c r="X254" s="1" t="s">
        <v>5175</v>
      </c>
      <c r="Y254" s="1" t="s">
        <v>91</v>
      </c>
      <c r="Z254" s="1" t="s">
        <v>92</v>
      </c>
      <c r="AA254" s="1" t="s">
        <v>5175</v>
      </c>
      <c r="AB254" s="1" t="s">
        <v>91</v>
      </c>
      <c r="AC254" s="1" t="s">
        <v>92</v>
      </c>
      <c r="AD254" s="1">
        <v>7.44</v>
      </c>
      <c r="AE254" s="1" t="s">
        <v>93</v>
      </c>
      <c r="AF254" s="1" t="s">
        <v>5176</v>
      </c>
      <c r="AG254" s="1" t="s">
        <v>160</v>
      </c>
      <c r="AH254" s="1" t="s">
        <v>165</v>
      </c>
      <c r="AI254" s="1" t="s">
        <v>101</v>
      </c>
      <c r="AJ254" s="1">
        <v>78.2</v>
      </c>
      <c r="AK254" s="1"/>
      <c r="AL254" s="1" t="s">
        <v>5177</v>
      </c>
      <c r="AM254" s="1" t="s">
        <v>160</v>
      </c>
      <c r="AN254" s="1" t="s">
        <v>169</v>
      </c>
      <c r="AO254" s="1" t="s">
        <v>681</v>
      </c>
      <c r="AP254" s="1">
        <v>67.54</v>
      </c>
      <c r="AQ254" s="1"/>
      <c r="AR254" s="1"/>
      <c r="AS254" s="1"/>
      <c r="AT254" s="1"/>
      <c r="AU254" s="1"/>
      <c r="AV254" s="1"/>
      <c r="AW254" s="1"/>
      <c r="AX254" s="1" t="s">
        <v>361</v>
      </c>
      <c r="AY254" s="1" t="s">
        <v>5178</v>
      </c>
      <c r="AZ254" s="1" t="s">
        <v>699</v>
      </c>
      <c r="BA254" s="1" t="s">
        <v>1714</v>
      </c>
      <c r="BB254" s="1">
        <v>68.08</v>
      </c>
      <c r="BC254" s="1">
        <v>7.65</v>
      </c>
      <c r="BD254" s="1"/>
      <c r="BE254" s="1"/>
      <c r="BF254" s="1"/>
      <c r="BG254" s="1"/>
      <c r="BH254" s="1"/>
      <c r="BI254" s="1"/>
      <c r="BJ254" s="1" t="s">
        <v>5179</v>
      </c>
      <c r="BK254" s="1"/>
      <c r="BL254" s="1"/>
      <c r="BM254" s="1" t="s">
        <v>5180</v>
      </c>
      <c r="BN254" s="1">
        <v>33</v>
      </c>
      <c r="BO254" s="1"/>
      <c r="BP254" s="1" t="str">
        <f>HYPERLINK("https://nconnect.nicmar.ac.in/storage/profile/ProfilePhoto_P25700196_149528.jpg","Download")</f>
        <v>0</v>
      </c>
      <c r="BQ254" s="3"/>
      <c r="BR254" s="3"/>
    </row>
    <row r="255" spans="1:70">
      <c r="A255" s="1" t="s">
        <v>70</v>
      </c>
      <c r="B255" s="1" t="s">
        <v>1269</v>
      </c>
      <c r="C255" s="1" t="s">
        <v>5181</v>
      </c>
      <c r="D255" s="1" t="s">
        <v>392</v>
      </c>
      <c r="E255" s="1" t="s">
        <v>111</v>
      </c>
      <c r="F255" s="1" t="s">
        <v>5182</v>
      </c>
      <c r="G255" s="1" t="s">
        <v>5183</v>
      </c>
      <c r="H255" s="1" t="s">
        <v>5184</v>
      </c>
      <c r="I255" s="1" t="s">
        <v>5185</v>
      </c>
      <c r="J255" s="1">
        <v>9886216180</v>
      </c>
      <c r="K255" s="1" t="s">
        <v>79</v>
      </c>
      <c r="L255" s="1" t="s">
        <v>5186</v>
      </c>
      <c r="M255" s="1" t="s">
        <v>81</v>
      </c>
      <c r="N255" s="1" t="s">
        <v>5187</v>
      </c>
      <c r="O255" s="1"/>
      <c r="P255" s="1" t="s">
        <v>1278</v>
      </c>
      <c r="Q255" s="1" t="s">
        <v>5188</v>
      </c>
      <c r="R255" s="1" t="s">
        <v>5189</v>
      </c>
      <c r="S255" s="1">
        <v>9964599940</v>
      </c>
      <c r="T255" s="1" t="s">
        <v>5190</v>
      </c>
      <c r="U255" s="1" t="s">
        <v>5191</v>
      </c>
      <c r="V255" s="1">
        <v>9964599940</v>
      </c>
      <c r="W255" s="1" t="s">
        <v>3351</v>
      </c>
      <c r="X255" s="1" t="s">
        <v>5192</v>
      </c>
      <c r="Y255" s="1" t="s">
        <v>5193</v>
      </c>
      <c r="Z255" s="1" t="s">
        <v>1084</v>
      </c>
      <c r="AA255" s="1" t="s">
        <v>5192</v>
      </c>
      <c r="AB255" s="1" t="s">
        <v>5193</v>
      </c>
      <c r="AC255" s="1" t="s">
        <v>1084</v>
      </c>
      <c r="AD255" s="1">
        <v>7.32</v>
      </c>
      <c r="AE255" s="1" t="s">
        <v>93</v>
      </c>
      <c r="AF255" s="1" t="s">
        <v>5194</v>
      </c>
      <c r="AG255" s="1" t="s">
        <v>5195</v>
      </c>
      <c r="AH255" s="1" t="s">
        <v>166</v>
      </c>
      <c r="AI255" s="1" t="s">
        <v>308</v>
      </c>
      <c r="AJ255" s="1">
        <v>78.2</v>
      </c>
      <c r="AK255" s="1"/>
      <c r="AL255" s="1" t="s">
        <v>5196</v>
      </c>
      <c r="AM255" s="1" t="s">
        <v>5197</v>
      </c>
      <c r="AN255" s="1" t="s">
        <v>310</v>
      </c>
      <c r="AO255" s="1" t="s">
        <v>506</v>
      </c>
      <c r="AP255" s="1">
        <v>78.5</v>
      </c>
      <c r="AQ255" s="1"/>
      <c r="AR255" s="1"/>
      <c r="AS255" s="1"/>
      <c r="AT255" s="1"/>
      <c r="AU255" s="1"/>
      <c r="AV255" s="1"/>
      <c r="AW255" s="1"/>
      <c r="AX255" s="1" t="s">
        <v>2443</v>
      </c>
      <c r="AY255" s="1" t="s">
        <v>5198</v>
      </c>
      <c r="AZ255" s="1" t="s">
        <v>897</v>
      </c>
      <c r="BA255" s="1" t="s">
        <v>1714</v>
      </c>
      <c r="BB255" s="1">
        <v>68.1</v>
      </c>
      <c r="BC255" s="1">
        <v>7.56</v>
      </c>
      <c r="BD255" s="1"/>
      <c r="BE255" s="1"/>
      <c r="BF255" s="1"/>
      <c r="BG255" s="1"/>
      <c r="BH255" s="1"/>
      <c r="BI255" s="1"/>
      <c r="BJ255" s="1" t="s">
        <v>5199</v>
      </c>
      <c r="BK255" s="1"/>
      <c r="BL255" s="1"/>
      <c r="BM255" s="1" t="s">
        <v>5200</v>
      </c>
      <c r="BN255" s="1">
        <v>16</v>
      </c>
      <c r="BO255" s="1"/>
      <c r="BP255" s="1" t="str">
        <f>HYPERLINK("https://nconnect.nicmar.ac.in/storage/profile/ProfilePhoto_P25700197_524673.jpg","Download")</f>
        <v>0</v>
      </c>
      <c r="BQ255" s="3"/>
      <c r="BR255" s="3"/>
    </row>
    <row r="256" spans="1:70">
      <c r="A256" s="1" t="s">
        <v>70</v>
      </c>
      <c r="B256" s="1" t="s">
        <v>1269</v>
      </c>
      <c r="C256" s="1" t="s">
        <v>5201</v>
      </c>
      <c r="D256" s="1" t="s">
        <v>5202</v>
      </c>
      <c r="E256" s="1" t="s">
        <v>443</v>
      </c>
      <c r="F256" s="1" t="s">
        <v>1653</v>
      </c>
      <c r="G256" s="1" t="s">
        <v>5203</v>
      </c>
      <c r="H256" s="1" t="s">
        <v>5204</v>
      </c>
      <c r="I256" s="1" t="s">
        <v>5205</v>
      </c>
      <c r="J256" s="1">
        <v>9776461408</v>
      </c>
      <c r="K256" s="1" t="s">
        <v>79</v>
      </c>
      <c r="L256" s="1" t="s">
        <v>3892</v>
      </c>
      <c r="M256" s="1" t="s">
        <v>81</v>
      </c>
      <c r="N256" s="1" t="s">
        <v>5206</v>
      </c>
      <c r="O256" s="1"/>
      <c r="P256" s="1" t="s">
        <v>1278</v>
      </c>
      <c r="Q256" s="1" t="s">
        <v>5207</v>
      </c>
      <c r="R256" s="1" t="s">
        <v>5208</v>
      </c>
      <c r="S256" s="1">
        <v>9438108270</v>
      </c>
      <c r="T256" s="1" t="s">
        <v>520</v>
      </c>
      <c r="U256" s="1" t="s">
        <v>5209</v>
      </c>
      <c r="V256" s="1">
        <v>9861137041</v>
      </c>
      <c r="W256" s="1" t="s">
        <v>122</v>
      </c>
      <c r="X256" s="1" t="s">
        <v>5210</v>
      </c>
      <c r="Y256" s="1" t="s">
        <v>5211</v>
      </c>
      <c r="Z256" s="1" t="s">
        <v>1731</v>
      </c>
      <c r="AA256" s="1" t="s">
        <v>5210</v>
      </c>
      <c r="AB256" s="1" t="s">
        <v>5211</v>
      </c>
      <c r="AC256" s="1" t="s">
        <v>1731</v>
      </c>
      <c r="AD256" s="1">
        <v>7.85</v>
      </c>
      <c r="AE256" s="1" t="s">
        <v>93</v>
      </c>
      <c r="AF256" s="1" t="s">
        <v>4585</v>
      </c>
      <c r="AG256" s="1" t="s">
        <v>5212</v>
      </c>
      <c r="AH256" s="1" t="s">
        <v>5213</v>
      </c>
      <c r="AI256" s="1" t="s">
        <v>479</v>
      </c>
      <c r="AJ256" s="1">
        <v>78.8</v>
      </c>
      <c r="AK256" s="1"/>
      <c r="AL256" s="1"/>
      <c r="AM256" s="1"/>
      <c r="AN256" s="1"/>
      <c r="AO256" s="1"/>
      <c r="AP256" s="1"/>
      <c r="AQ256" s="1"/>
      <c r="AR256" s="1" t="s">
        <v>98</v>
      </c>
      <c r="AS256" s="1" t="s">
        <v>5214</v>
      </c>
      <c r="AT256" s="1" t="s">
        <v>225</v>
      </c>
      <c r="AU256" s="1" t="s">
        <v>170</v>
      </c>
      <c r="AV256" s="1">
        <v>79.84</v>
      </c>
      <c r="AW256" s="1"/>
      <c r="AX256" s="1" t="s">
        <v>5215</v>
      </c>
      <c r="AY256" s="1" t="s">
        <v>5216</v>
      </c>
      <c r="AZ256" s="1" t="s">
        <v>173</v>
      </c>
      <c r="BA256" s="1" t="s">
        <v>944</v>
      </c>
      <c r="BB256" s="1">
        <v>63.7</v>
      </c>
      <c r="BC256" s="1">
        <v>6.87</v>
      </c>
      <c r="BD256" s="1"/>
      <c r="BE256" s="1"/>
      <c r="BF256" s="1"/>
      <c r="BG256" s="1"/>
      <c r="BH256" s="1"/>
      <c r="BI256" s="1"/>
      <c r="BJ256" s="1" t="s">
        <v>5217</v>
      </c>
      <c r="BK256" s="1" t="s">
        <v>5218</v>
      </c>
      <c r="BL256" s="1" t="s">
        <v>287</v>
      </c>
      <c r="BM256" s="1" t="s">
        <v>5219</v>
      </c>
      <c r="BN256" s="1">
        <v>8</v>
      </c>
      <c r="BO256" s="1"/>
      <c r="BP256" s="1" t="str">
        <f>HYPERLINK("https://nconnect.nicmar.ac.in/storage/profile/ProfilePhoto_P25700198_974621.jpg","Download")</f>
        <v>0</v>
      </c>
      <c r="BQ256" s="3"/>
      <c r="BR256" s="3"/>
    </row>
    <row r="257" spans="1:70">
      <c r="A257" s="1" t="s">
        <v>70</v>
      </c>
      <c r="B257" s="1" t="s">
        <v>1269</v>
      </c>
      <c r="C257" s="1" t="s">
        <v>5220</v>
      </c>
      <c r="D257" s="1" t="s">
        <v>2327</v>
      </c>
      <c r="E257" s="1" t="s">
        <v>5221</v>
      </c>
      <c r="F257" s="1" t="s">
        <v>3232</v>
      </c>
      <c r="G257" s="1" t="s">
        <v>5222</v>
      </c>
      <c r="H257" s="1" t="s">
        <v>5223</v>
      </c>
      <c r="I257" s="1" t="s">
        <v>5224</v>
      </c>
      <c r="J257" s="1">
        <v>9307185858</v>
      </c>
      <c r="K257" s="1" t="s">
        <v>79</v>
      </c>
      <c r="L257" s="1" t="s">
        <v>5225</v>
      </c>
      <c r="M257" s="1" t="s">
        <v>81</v>
      </c>
      <c r="N257" s="1" t="s">
        <v>1418</v>
      </c>
      <c r="O257" s="1"/>
      <c r="P257" s="1" t="s">
        <v>1323</v>
      </c>
      <c r="Q257" s="1" t="s">
        <v>5226</v>
      </c>
      <c r="R257" s="1" t="s">
        <v>5221</v>
      </c>
      <c r="S257" s="1">
        <v>8698968383</v>
      </c>
      <c r="T257" s="1" t="s">
        <v>154</v>
      </c>
      <c r="U257" s="1" t="s">
        <v>5227</v>
      </c>
      <c r="V257" s="1">
        <v>9271985777</v>
      </c>
      <c r="W257" s="1" t="s">
        <v>156</v>
      </c>
      <c r="X257" s="1" t="s">
        <v>5228</v>
      </c>
      <c r="Y257" s="1" t="s">
        <v>766</v>
      </c>
      <c r="Z257" s="1" t="s">
        <v>92</v>
      </c>
      <c r="AA257" s="1" t="s">
        <v>5228</v>
      </c>
      <c r="AB257" s="1" t="s">
        <v>766</v>
      </c>
      <c r="AC257" s="1" t="s">
        <v>92</v>
      </c>
      <c r="AD257" s="1">
        <v>8.18</v>
      </c>
      <c r="AE257" s="1" t="s">
        <v>93</v>
      </c>
      <c r="AF257" s="1" t="s">
        <v>5229</v>
      </c>
      <c r="AG257" s="1" t="s">
        <v>1426</v>
      </c>
      <c r="AH257" s="1" t="s">
        <v>101</v>
      </c>
      <c r="AI257" s="1" t="s">
        <v>308</v>
      </c>
      <c r="AJ257" s="1">
        <v>78</v>
      </c>
      <c r="AK257" s="1"/>
      <c r="AL257" s="1" t="s">
        <v>5230</v>
      </c>
      <c r="AM257" s="1" t="s">
        <v>455</v>
      </c>
      <c r="AN257" s="1" t="s">
        <v>920</v>
      </c>
      <c r="AO257" s="1" t="s">
        <v>436</v>
      </c>
      <c r="AP257" s="1">
        <v>78.67</v>
      </c>
      <c r="AQ257" s="1"/>
      <c r="AR257" s="1"/>
      <c r="AS257" s="1"/>
      <c r="AT257" s="1"/>
      <c r="AU257" s="1"/>
      <c r="AV257" s="1"/>
      <c r="AW257" s="1"/>
      <c r="AX257" s="1" t="s">
        <v>1024</v>
      </c>
      <c r="AY257" s="1" t="s">
        <v>5231</v>
      </c>
      <c r="AZ257" s="1" t="s">
        <v>506</v>
      </c>
      <c r="BA257" s="1" t="s">
        <v>1714</v>
      </c>
      <c r="BB257" s="1">
        <v>70.01</v>
      </c>
      <c r="BC257" s="1">
        <v>7.84</v>
      </c>
      <c r="BD257" s="1"/>
      <c r="BE257" s="1"/>
      <c r="BF257" s="1"/>
      <c r="BG257" s="1"/>
      <c r="BH257" s="1"/>
      <c r="BI257" s="1"/>
      <c r="BJ257" s="1" t="s">
        <v>1383</v>
      </c>
      <c r="BK257" s="1"/>
      <c r="BL257" s="1"/>
      <c r="BM257" s="1" t="s">
        <v>5232</v>
      </c>
      <c r="BN257" s="1">
        <v>7</v>
      </c>
      <c r="BO257" s="1"/>
      <c r="BP257" s="1" t="str">
        <f>HYPERLINK("https://nconnect.nicmar.ac.in/storage/profile/ProfilePhoto_P25700200_862795.jpg","Download")</f>
        <v>0</v>
      </c>
      <c r="BQ257" s="3"/>
      <c r="BR257" s="3"/>
    </row>
    <row r="258" spans="1:70">
      <c r="A258" s="1" t="s">
        <v>70</v>
      </c>
      <c r="B258" s="1" t="s">
        <v>1269</v>
      </c>
      <c r="C258" s="1" t="s">
        <v>5233</v>
      </c>
      <c r="D258" s="1" t="s">
        <v>5234</v>
      </c>
      <c r="E258" s="1"/>
      <c r="F258" s="1" t="s">
        <v>5235</v>
      </c>
      <c r="G258" s="1" t="s">
        <v>5236</v>
      </c>
      <c r="H258" s="1" t="s">
        <v>5237</v>
      </c>
      <c r="I258" s="1" t="s">
        <v>5238</v>
      </c>
      <c r="J258" s="1">
        <v>9353411914</v>
      </c>
      <c r="K258" s="1" t="s">
        <v>79</v>
      </c>
      <c r="L258" s="1" t="s">
        <v>5239</v>
      </c>
      <c r="M258" s="1" t="s">
        <v>81</v>
      </c>
      <c r="N258" s="1" t="s">
        <v>5240</v>
      </c>
      <c r="O258" s="1"/>
      <c r="P258" s="1" t="s">
        <v>1323</v>
      </c>
      <c r="Q258" s="1" t="s">
        <v>5241</v>
      </c>
      <c r="R258" s="1" t="s">
        <v>5242</v>
      </c>
      <c r="S258" s="1">
        <v>8151830711</v>
      </c>
      <c r="T258" s="1" t="s">
        <v>120</v>
      </c>
      <c r="U258" s="1" t="s">
        <v>5243</v>
      </c>
      <c r="V258" s="1">
        <v>8618808660</v>
      </c>
      <c r="W258" s="1" t="s">
        <v>120</v>
      </c>
      <c r="X258" s="1" t="s">
        <v>5244</v>
      </c>
      <c r="Y258" s="1" t="s">
        <v>1083</v>
      </c>
      <c r="Z258" s="1" t="s">
        <v>1084</v>
      </c>
      <c r="AA258" s="1" t="s">
        <v>5244</v>
      </c>
      <c r="AB258" s="1" t="s">
        <v>1083</v>
      </c>
      <c r="AC258" s="1" t="s">
        <v>1084</v>
      </c>
      <c r="AD258" s="1">
        <v>7.85</v>
      </c>
      <c r="AE258" s="1" t="s">
        <v>93</v>
      </c>
      <c r="AF258" s="1" t="s">
        <v>5245</v>
      </c>
      <c r="AG258" s="1" t="s">
        <v>5246</v>
      </c>
      <c r="AH258" s="1" t="s">
        <v>2223</v>
      </c>
      <c r="AI258" s="1" t="s">
        <v>409</v>
      </c>
      <c r="AJ258" s="1">
        <v>80.8</v>
      </c>
      <c r="AK258" s="1">
        <v>0</v>
      </c>
      <c r="AL258" s="1" t="s">
        <v>5247</v>
      </c>
      <c r="AM258" s="1" t="s">
        <v>5248</v>
      </c>
      <c r="AN258" s="1" t="s">
        <v>1065</v>
      </c>
      <c r="AO258" s="1" t="s">
        <v>506</v>
      </c>
      <c r="AP258" s="1">
        <v>81.4</v>
      </c>
      <c r="AQ258" s="1">
        <v>0</v>
      </c>
      <c r="AR258" s="1"/>
      <c r="AS258" s="1"/>
      <c r="AT258" s="1"/>
      <c r="AU258" s="1"/>
      <c r="AV258" s="1"/>
      <c r="AW258" s="1"/>
      <c r="AX258" s="1" t="s">
        <v>1359</v>
      </c>
      <c r="AY258" s="1" t="s">
        <v>5249</v>
      </c>
      <c r="AZ258" s="1" t="s">
        <v>436</v>
      </c>
      <c r="BA258" s="1" t="s">
        <v>1408</v>
      </c>
      <c r="BB258" s="1">
        <v>75.7</v>
      </c>
      <c r="BC258" s="1">
        <v>7.57</v>
      </c>
      <c r="BD258" s="1"/>
      <c r="BE258" s="1"/>
      <c r="BF258" s="1"/>
      <c r="BG258" s="1"/>
      <c r="BH258" s="1"/>
      <c r="BI258" s="1"/>
      <c r="BJ258" s="1" t="s">
        <v>255</v>
      </c>
      <c r="BK258" s="1"/>
      <c r="BL258" s="1"/>
      <c r="BM258" s="1" t="s">
        <v>5250</v>
      </c>
      <c r="BN258" s="1">
        <v>12</v>
      </c>
      <c r="BO258" s="1"/>
      <c r="BP258" s="1" t="str">
        <f>HYPERLINK("https://nconnect.nicmar.ac.in/storage/profile/ProfilePhoto_P25700201_524138.jpg","Download")</f>
        <v>0</v>
      </c>
      <c r="BQ258" s="3"/>
      <c r="BR258" s="3"/>
    </row>
    <row r="259" spans="1:70">
      <c r="A259" s="1" t="s">
        <v>70</v>
      </c>
      <c r="B259" s="1" t="s">
        <v>1269</v>
      </c>
      <c r="C259" s="1" t="s">
        <v>5251</v>
      </c>
      <c r="D259" s="1" t="s">
        <v>5252</v>
      </c>
      <c r="E259" s="1" t="s">
        <v>2191</v>
      </c>
      <c r="F259" s="1" t="s">
        <v>345</v>
      </c>
      <c r="G259" s="1" t="s">
        <v>5253</v>
      </c>
      <c r="H259" s="1" t="s">
        <v>5254</v>
      </c>
      <c r="I259" s="1" t="s">
        <v>5255</v>
      </c>
      <c r="J259" s="1">
        <v>9606016692</v>
      </c>
      <c r="K259" s="1" t="s">
        <v>79</v>
      </c>
      <c r="L259" s="1" t="s">
        <v>5256</v>
      </c>
      <c r="M259" s="1" t="s">
        <v>81</v>
      </c>
      <c r="N259" s="1" t="s">
        <v>5257</v>
      </c>
      <c r="O259" s="1"/>
      <c r="P259" s="1" t="s">
        <v>1766</v>
      </c>
      <c r="Q259" s="1" t="s">
        <v>5258</v>
      </c>
      <c r="R259" s="1" t="s">
        <v>5259</v>
      </c>
      <c r="S259" s="1">
        <v>9449109576</v>
      </c>
      <c r="T259" s="1" t="s">
        <v>5260</v>
      </c>
      <c r="U259" s="1" t="s">
        <v>5261</v>
      </c>
      <c r="V259" s="1">
        <v>9035882994</v>
      </c>
      <c r="W259" s="1" t="s">
        <v>273</v>
      </c>
      <c r="X259" s="1" t="s">
        <v>5262</v>
      </c>
      <c r="Y259" s="1" t="s">
        <v>1083</v>
      </c>
      <c r="Z259" s="1" t="s">
        <v>1084</v>
      </c>
      <c r="AA259" s="1" t="s">
        <v>5262</v>
      </c>
      <c r="AB259" s="1" t="s">
        <v>1083</v>
      </c>
      <c r="AC259" s="1" t="s">
        <v>1084</v>
      </c>
      <c r="AD259" s="1">
        <v>8.62</v>
      </c>
      <c r="AE259" s="1" t="s">
        <v>93</v>
      </c>
      <c r="AF259" s="1" t="s">
        <v>5263</v>
      </c>
      <c r="AG259" s="1" t="s">
        <v>5264</v>
      </c>
      <c r="AH259" s="1" t="s">
        <v>165</v>
      </c>
      <c r="AI259" s="1" t="s">
        <v>166</v>
      </c>
      <c r="AJ259" s="1">
        <v>69.8</v>
      </c>
      <c r="AK259" s="1">
        <v>0</v>
      </c>
      <c r="AL259" s="1" t="s">
        <v>5265</v>
      </c>
      <c r="AM259" s="1" t="s">
        <v>5266</v>
      </c>
      <c r="AN259" s="1" t="s">
        <v>433</v>
      </c>
      <c r="AO259" s="1" t="s">
        <v>173</v>
      </c>
      <c r="AP259" s="1">
        <v>87.16</v>
      </c>
      <c r="AQ259" s="1"/>
      <c r="AR259" s="1"/>
      <c r="AS259" s="1"/>
      <c r="AT259" s="1"/>
      <c r="AU259" s="1"/>
      <c r="AV259" s="1"/>
      <c r="AW259" s="1"/>
      <c r="AX259" s="1" t="s">
        <v>5267</v>
      </c>
      <c r="AY259" s="1" t="s">
        <v>1359</v>
      </c>
      <c r="AZ259" s="1" t="s">
        <v>173</v>
      </c>
      <c r="BA259" s="1" t="s">
        <v>1939</v>
      </c>
      <c r="BB259" s="1">
        <v>87.1</v>
      </c>
      <c r="BC259" s="1">
        <v>8.71</v>
      </c>
      <c r="BD259" s="1"/>
      <c r="BE259" s="1"/>
      <c r="BF259" s="1"/>
      <c r="BG259" s="1"/>
      <c r="BH259" s="1"/>
      <c r="BI259" s="1"/>
      <c r="BJ259" s="1" t="s">
        <v>5268</v>
      </c>
      <c r="BK259" s="1" t="s">
        <v>5269</v>
      </c>
      <c r="BL259" s="1" t="s">
        <v>2914</v>
      </c>
      <c r="BM259" s="1" t="s">
        <v>5270</v>
      </c>
      <c r="BN259" s="1">
        <v>35</v>
      </c>
      <c r="BO259" s="1"/>
      <c r="BP259" s="1" t="str">
        <f>HYPERLINK("https://nconnect.nicmar.ac.in/storage/profile/ProfilePhoto_P25700202_916537.jpg","Download")</f>
        <v>0</v>
      </c>
      <c r="BQ259" s="3"/>
      <c r="BR259" s="3"/>
    </row>
    <row r="260" spans="1:70">
      <c r="A260" s="1" t="s">
        <v>70</v>
      </c>
      <c r="B260" s="1" t="s">
        <v>1269</v>
      </c>
      <c r="C260" s="1" t="s">
        <v>5271</v>
      </c>
      <c r="D260" s="1" t="s">
        <v>5272</v>
      </c>
      <c r="E260" s="1" t="s">
        <v>5273</v>
      </c>
      <c r="F260" s="1" t="s">
        <v>5274</v>
      </c>
      <c r="G260" s="1" t="s">
        <v>5275</v>
      </c>
      <c r="H260" s="1" t="s">
        <v>5276</v>
      </c>
      <c r="I260" s="1" t="s">
        <v>5277</v>
      </c>
      <c r="J260" s="1">
        <v>8788046868</v>
      </c>
      <c r="K260" s="1" t="s">
        <v>79</v>
      </c>
      <c r="L260" s="1" t="s">
        <v>5278</v>
      </c>
      <c r="M260" s="1" t="s">
        <v>81</v>
      </c>
      <c r="N260" s="1" t="s">
        <v>1418</v>
      </c>
      <c r="O260" s="1"/>
      <c r="P260" s="1" t="s">
        <v>1298</v>
      </c>
      <c r="Q260" s="1" t="s">
        <v>5279</v>
      </c>
      <c r="R260" s="1" t="s">
        <v>5280</v>
      </c>
      <c r="S260" s="1">
        <v>9657808791</v>
      </c>
      <c r="T260" s="1" t="s">
        <v>87</v>
      </c>
      <c r="U260" s="1" t="s">
        <v>5281</v>
      </c>
      <c r="V260" s="1">
        <v>9518747372</v>
      </c>
      <c r="W260" s="1" t="s">
        <v>5282</v>
      </c>
      <c r="X260" s="1" t="s">
        <v>5283</v>
      </c>
      <c r="Y260" s="1" t="s">
        <v>1887</v>
      </c>
      <c r="Z260" s="1" t="s">
        <v>92</v>
      </c>
      <c r="AA260" s="1" t="s">
        <v>5283</v>
      </c>
      <c r="AB260" s="1" t="s">
        <v>1887</v>
      </c>
      <c r="AC260" s="1" t="s">
        <v>92</v>
      </c>
      <c r="AD260" s="1">
        <v>8.46</v>
      </c>
      <c r="AE260" s="1" t="s">
        <v>93</v>
      </c>
      <c r="AF260" s="1" t="s">
        <v>5284</v>
      </c>
      <c r="AG260" s="1" t="s">
        <v>3161</v>
      </c>
      <c r="AH260" s="1" t="s">
        <v>162</v>
      </c>
      <c r="AI260" s="1" t="s">
        <v>165</v>
      </c>
      <c r="AJ260" s="1">
        <v>78.4</v>
      </c>
      <c r="AK260" s="1"/>
      <c r="AL260" s="1"/>
      <c r="AM260" s="1"/>
      <c r="AN260" s="1"/>
      <c r="AO260" s="1"/>
      <c r="AP260" s="1"/>
      <c r="AQ260" s="1"/>
      <c r="AR260" s="1" t="s">
        <v>98</v>
      </c>
      <c r="AS260" s="1" t="s">
        <v>5285</v>
      </c>
      <c r="AT260" s="1" t="s">
        <v>225</v>
      </c>
      <c r="AU260" s="1" t="s">
        <v>170</v>
      </c>
      <c r="AV260" s="1">
        <v>93.53</v>
      </c>
      <c r="AW260" s="1"/>
      <c r="AX260" s="1" t="s">
        <v>5286</v>
      </c>
      <c r="AY260" s="1" t="s">
        <v>5287</v>
      </c>
      <c r="AZ260" s="1" t="s">
        <v>170</v>
      </c>
      <c r="BA260" s="1" t="s">
        <v>174</v>
      </c>
      <c r="BB260" s="1">
        <v>86</v>
      </c>
      <c r="BC260" s="1">
        <v>9.1</v>
      </c>
      <c r="BD260" s="1"/>
      <c r="BE260" s="1"/>
      <c r="BF260" s="1"/>
      <c r="BG260" s="1"/>
      <c r="BH260" s="1"/>
      <c r="BI260" s="1"/>
      <c r="BJ260" s="1" t="s">
        <v>5288</v>
      </c>
      <c r="BK260" s="1" t="s">
        <v>5289</v>
      </c>
      <c r="BL260" s="1" t="s">
        <v>2019</v>
      </c>
      <c r="BM260" s="1" t="s">
        <v>5290</v>
      </c>
      <c r="BN260" s="1">
        <v>8</v>
      </c>
      <c r="BO260" s="1" t="s">
        <v>5291</v>
      </c>
      <c r="BP260" s="1" t="str">
        <f>HYPERLINK("https://nconnect.nicmar.ac.in/storage/profile/ProfilePhoto_P25700203_758261.jpg","Download")</f>
        <v>0</v>
      </c>
      <c r="BQ260" s="3"/>
      <c r="BR260" s="3"/>
    </row>
    <row r="261" spans="1:70">
      <c r="A261" s="1" t="s">
        <v>70</v>
      </c>
      <c r="B261" s="1" t="s">
        <v>1269</v>
      </c>
      <c r="C261" s="1" t="s">
        <v>5292</v>
      </c>
      <c r="D261" s="1" t="s">
        <v>5293</v>
      </c>
      <c r="E261" s="1"/>
      <c r="F261" s="1" t="s">
        <v>5294</v>
      </c>
      <c r="G261" s="1" t="s">
        <v>5295</v>
      </c>
      <c r="H261" s="1" t="s">
        <v>5296</v>
      </c>
      <c r="I261" s="1" t="s">
        <v>5297</v>
      </c>
      <c r="J261" s="1">
        <v>7023444350</v>
      </c>
      <c r="K261" s="1" t="s">
        <v>79</v>
      </c>
      <c r="L261" s="1" t="s">
        <v>5298</v>
      </c>
      <c r="M261" s="1" t="s">
        <v>81</v>
      </c>
      <c r="N261" s="1" t="s">
        <v>350</v>
      </c>
      <c r="O261" s="1"/>
      <c r="P261" s="1" t="s">
        <v>1298</v>
      </c>
      <c r="Q261" s="1" t="s">
        <v>5299</v>
      </c>
      <c r="R261" s="1" t="s">
        <v>5300</v>
      </c>
      <c r="S261" s="1">
        <v>9413364350</v>
      </c>
      <c r="T261" s="1" t="s">
        <v>910</v>
      </c>
      <c r="U261" s="1" t="s">
        <v>5301</v>
      </c>
      <c r="V261" s="1">
        <v>7877437721</v>
      </c>
      <c r="W261" s="1" t="s">
        <v>156</v>
      </c>
      <c r="X261" s="1" t="s">
        <v>5302</v>
      </c>
      <c r="Y261" s="1" t="s">
        <v>5303</v>
      </c>
      <c r="Z261" s="1" t="s">
        <v>867</v>
      </c>
      <c r="AA261" s="1" t="s">
        <v>5302</v>
      </c>
      <c r="AB261" s="1" t="s">
        <v>5303</v>
      </c>
      <c r="AC261" s="1" t="s">
        <v>867</v>
      </c>
      <c r="AD261" s="1" t="s">
        <v>93</v>
      </c>
      <c r="AE261" s="1" t="s">
        <v>93</v>
      </c>
      <c r="AF261" s="1" t="s">
        <v>5304</v>
      </c>
      <c r="AG261" s="1" t="s">
        <v>5305</v>
      </c>
      <c r="AH261" s="1" t="s">
        <v>678</v>
      </c>
      <c r="AI261" s="1" t="s">
        <v>166</v>
      </c>
      <c r="AJ261" s="1">
        <v>77</v>
      </c>
      <c r="AK261" s="1"/>
      <c r="AL261" s="1" t="s">
        <v>5306</v>
      </c>
      <c r="AM261" s="1" t="s">
        <v>5307</v>
      </c>
      <c r="AN261" s="1" t="s">
        <v>433</v>
      </c>
      <c r="AO261" s="1" t="s">
        <v>173</v>
      </c>
      <c r="AP261" s="1">
        <v>69.3</v>
      </c>
      <c r="AQ261" s="1"/>
      <c r="AR261" s="1"/>
      <c r="AS261" s="1"/>
      <c r="AT261" s="1"/>
      <c r="AU261" s="1"/>
      <c r="AV261" s="1"/>
      <c r="AW261" s="1"/>
      <c r="AX261" s="1" t="s">
        <v>5308</v>
      </c>
      <c r="AY261" s="1" t="s">
        <v>5309</v>
      </c>
      <c r="AZ261" s="1" t="s">
        <v>173</v>
      </c>
      <c r="BA261" s="1" t="s">
        <v>413</v>
      </c>
      <c r="BB261" s="1">
        <v>62.9</v>
      </c>
      <c r="BC261" s="1">
        <v>6.29</v>
      </c>
      <c r="BD261" s="1"/>
      <c r="BE261" s="1"/>
      <c r="BF261" s="1"/>
      <c r="BG261" s="1"/>
      <c r="BH261" s="1"/>
      <c r="BI261" s="1"/>
      <c r="BJ261" s="1" t="s">
        <v>1383</v>
      </c>
      <c r="BK261" s="1"/>
      <c r="BL261" s="1"/>
      <c r="BM261" s="1" t="s">
        <v>5310</v>
      </c>
      <c r="BN261" s="1">
        <v>43</v>
      </c>
      <c r="BO261" s="1"/>
      <c r="BP261" s="1" t="str">
        <f>HYPERLINK("https://nconnect.nicmar.ac.in/storage/profile/ProfilePhoto_P25700204_948512.jpg","Download")</f>
        <v>0</v>
      </c>
      <c r="BQ261" s="3"/>
      <c r="BR261" s="3"/>
    </row>
    <row r="262" spans="1:70">
      <c r="A262" s="1" t="s">
        <v>70</v>
      </c>
      <c r="B262" s="1" t="s">
        <v>1269</v>
      </c>
      <c r="C262" s="1" t="s">
        <v>5311</v>
      </c>
      <c r="D262" s="1" t="s">
        <v>4680</v>
      </c>
      <c r="E262" s="1" t="s">
        <v>5312</v>
      </c>
      <c r="F262" s="1" t="s">
        <v>5313</v>
      </c>
      <c r="G262" s="1" t="s">
        <v>5314</v>
      </c>
      <c r="H262" s="1" t="s">
        <v>5315</v>
      </c>
      <c r="I262" s="1" t="s">
        <v>5316</v>
      </c>
      <c r="J262" s="1">
        <v>7248985170</v>
      </c>
      <c r="K262" s="1" t="s">
        <v>79</v>
      </c>
      <c r="L262" s="1" t="s">
        <v>5001</v>
      </c>
      <c r="M262" s="1" t="s">
        <v>81</v>
      </c>
      <c r="N262" s="1" t="s">
        <v>860</v>
      </c>
      <c r="O262" s="1"/>
      <c r="P262" s="1" t="s">
        <v>1323</v>
      </c>
      <c r="Q262" s="1" t="s">
        <v>5317</v>
      </c>
      <c r="R262" s="1" t="s">
        <v>5312</v>
      </c>
      <c r="S262" s="1">
        <v>9767386868</v>
      </c>
      <c r="T262" s="1" t="s">
        <v>496</v>
      </c>
      <c r="U262" s="1" t="s">
        <v>5318</v>
      </c>
      <c r="V262" s="1">
        <v>7385212306</v>
      </c>
      <c r="W262" s="1" t="s">
        <v>122</v>
      </c>
      <c r="X262" s="1" t="s">
        <v>5319</v>
      </c>
      <c r="Y262" s="1" t="s">
        <v>2790</v>
      </c>
      <c r="Z262" s="1" t="s">
        <v>92</v>
      </c>
      <c r="AA262" s="1" t="s">
        <v>5319</v>
      </c>
      <c r="AB262" s="1" t="s">
        <v>2790</v>
      </c>
      <c r="AC262" s="1" t="s">
        <v>92</v>
      </c>
      <c r="AD262" s="1">
        <v>8.6</v>
      </c>
      <c r="AE262" s="1" t="s">
        <v>93</v>
      </c>
      <c r="AF262" s="1" t="s">
        <v>5320</v>
      </c>
      <c r="AG262" s="1" t="s">
        <v>3484</v>
      </c>
      <c r="AH262" s="1" t="s">
        <v>96</v>
      </c>
      <c r="AI262" s="1" t="s">
        <v>161</v>
      </c>
      <c r="AJ262" s="1">
        <v>80.8</v>
      </c>
      <c r="AK262" s="1"/>
      <c r="AL262" s="1"/>
      <c r="AM262" s="1"/>
      <c r="AN262" s="1"/>
      <c r="AO262" s="1"/>
      <c r="AP262" s="1"/>
      <c r="AQ262" s="1"/>
      <c r="AR262" s="1" t="s">
        <v>98</v>
      </c>
      <c r="AS262" s="1" t="s">
        <v>5321</v>
      </c>
      <c r="AT262" s="1" t="s">
        <v>161</v>
      </c>
      <c r="AU262" s="1" t="s">
        <v>166</v>
      </c>
      <c r="AV262" s="1">
        <v>72.3</v>
      </c>
      <c r="AW262" s="1"/>
      <c r="AX262" s="1" t="s">
        <v>5322</v>
      </c>
      <c r="AY262" s="1" t="s">
        <v>5323</v>
      </c>
      <c r="AZ262" s="1" t="s">
        <v>636</v>
      </c>
      <c r="BA262" s="1" t="s">
        <v>1131</v>
      </c>
      <c r="BB262" s="1">
        <v>75.25</v>
      </c>
      <c r="BC262" s="1">
        <v>8.92</v>
      </c>
      <c r="BD262" s="1"/>
      <c r="BE262" s="1"/>
      <c r="BF262" s="1"/>
      <c r="BG262" s="1"/>
      <c r="BH262" s="1"/>
      <c r="BI262" s="1"/>
      <c r="BJ262" s="1" t="s">
        <v>5324</v>
      </c>
      <c r="BK262" s="1" t="s">
        <v>5325</v>
      </c>
      <c r="BL262" s="1" t="s">
        <v>5326</v>
      </c>
      <c r="BM262" s="1" t="s">
        <v>5327</v>
      </c>
      <c r="BN262" s="1">
        <v>7</v>
      </c>
      <c r="BO262" s="1" t="s">
        <v>5328</v>
      </c>
      <c r="BP262" s="1" t="str">
        <f>HYPERLINK("https://nconnect.nicmar.ac.in/storage/profile/ProfilePhoto_P25700205_853246.jpg","Download")</f>
        <v>0</v>
      </c>
      <c r="BQ262" s="3"/>
      <c r="BR262" s="3"/>
    </row>
    <row r="263" spans="1:70">
      <c r="A263" s="1" t="s">
        <v>70</v>
      </c>
      <c r="B263" s="1" t="s">
        <v>1269</v>
      </c>
      <c r="C263" s="1" t="s">
        <v>5329</v>
      </c>
      <c r="D263" s="1" t="s">
        <v>343</v>
      </c>
      <c r="E263" s="1"/>
      <c r="F263" s="1" t="s">
        <v>596</v>
      </c>
      <c r="G263" s="1" t="s">
        <v>5330</v>
      </c>
      <c r="H263" s="1" t="s">
        <v>5331</v>
      </c>
      <c r="I263" s="1" t="s">
        <v>5332</v>
      </c>
      <c r="J263" s="1">
        <v>7017234043</v>
      </c>
      <c r="K263" s="1" t="s">
        <v>79</v>
      </c>
      <c r="L263" s="1" t="s">
        <v>5333</v>
      </c>
      <c r="M263" s="1" t="s">
        <v>81</v>
      </c>
      <c r="N263" s="1" t="s">
        <v>5056</v>
      </c>
      <c r="O263" s="1"/>
      <c r="P263" s="1" t="s">
        <v>1323</v>
      </c>
      <c r="Q263" s="1" t="s">
        <v>5334</v>
      </c>
      <c r="R263" s="1" t="s">
        <v>5335</v>
      </c>
      <c r="S263" s="1">
        <v>9472028059</v>
      </c>
      <c r="T263" s="1" t="s">
        <v>5336</v>
      </c>
      <c r="U263" s="1" t="s">
        <v>5337</v>
      </c>
      <c r="V263" s="1">
        <v>9304728352</v>
      </c>
      <c r="W263" s="1" t="s">
        <v>156</v>
      </c>
      <c r="X263" s="1" t="s">
        <v>5338</v>
      </c>
      <c r="Y263" s="1" t="s">
        <v>845</v>
      </c>
      <c r="Z263" s="1" t="s">
        <v>846</v>
      </c>
      <c r="AA263" s="1" t="s">
        <v>5338</v>
      </c>
      <c r="AB263" s="1" t="s">
        <v>845</v>
      </c>
      <c r="AC263" s="1" t="s">
        <v>846</v>
      </c>
      <c r="AD263" s="1">
        <v>8.93</v>
      </c>
      <c r="AE263" s="1" t="s">
        <v>93</v>
      </c>
      <c r="AF263" s="1" t="s">
        <v>5339</v>
      </c>
      <c r="AG263" s="1" t="s">
        <v>5340</v>
      </c>
      <c r="AH263" s="1" t="s">
        <v>657</v>
      </c>
      <c r="AI263" s="1" t="s">
        <v>658</v>
      </c>
      <c r="AJ263" s="1">
        <v>91.2</v>
      </c>
      <c r="AK263" s="1">
        <v>9.6</v>
      </c>
      <c r="AL263" s="1" t="s">
        <v>5341</v>
      </c>
      <c r="AM263" s="1" t="s">
        <v>5342</v>
      </c>
      <c r="AN263" s="1" t="s">
        <v>96</v>
      </c>
      <c r="AO263" s="1" t="s">
        <v>131</v>
      </c>
      <c r="AP263" s="1">
        <v>71.4</v>
      </c>
      <c r="AQ263" s="1">
        <v>0</v>
      </c>
      <c r="AR263" s="1"/>
      <c r="AS263" s="1"/>
      <c r="AT263" s="1"/>
      <c r="AU263" s="1"/>
      <c r="AV263" s="1"/>
      <c r="AW263" s="1"/>
      <c r="AX263" s="1" t="s">
        <v>5343</v>
      </c>
      <c r="AY263" s="1" t="s">
        <v>5344</v>
      </c>
      <c r="AZ263" s="1" t="s">
        <v>337</v>
      </c>
      <c r="BA263" s="1" t="s">
        <v>308</v>
      </c>
      <c r="BB263" s="1">
        <v>77</v>
      </c>
      <c r="BC263" s="1">
        <v>7.7</v>
      </c>
      <c r="BD263" s="1" t="s">
        <v>5345</v>
      </c>
      <c r="BE263" s="1" t="s">
        <v>2405</v>
      </c>
      <c r="BF263" s="1" t="s">
        <v>1051</v>
      </c>
      <c r="BG263" s="1" t="s">
        <v>5346</v>
      </c>
      <c r="BH263" s="1">
        <v>70.6</v>
      </c>
      <c r="BI263" s="1">
        <v>7.56</v>
      </c>
      <c r="BJ263" s="1" t="s">
        <v>5347</v>
      </c>
      <c r="BK263" s="1" t="s">
        <v>5348</v>
      </c>
      <c r="BL263" s="1" t="s">
        <v>4095</v>
      </c>
      <c r="BM263" s="1" t="s">
        <v>5349</v>
      </c>
      <c r="BN263" s="1">
        <v>37</v>
      </c>
      <c r="BO263" s="1" t="s">
        <v>5350</v>
      </c>
      <c r="BP263" s="1" t="str">
        <f>HYPERLINK("https://nconnect.nicmar.ac.in/storage/profile/ProfilePhoto_P25700206_719562.jpg","Download")</f>
        <v>0</v>
      </c>
      <c r="BQ263" s="3"/>
      <c r="BR263" s="3"/>
    </row>
    <row r="264" spans="1:70">
      <c r="A264" s="1" t="s">
        <v>70</v>
      </c>
      <c r="B264" s="1" t="s">
        <v>1269</v>
      </c>
      <c r="C264" s="1" t="s">
        <v>5351</v>
      </c>
      <c r="D264" s="1" t="s">
        <v>5352</v>
      </c>
      <c r="E264" s="1"/>
      <c r="F264" s="1" t="s">
        <v>3584</v>
      </c>
      <c r="G264" s="1" t="s">
        <v>5353</v>
      </c>
      <c r="H264" s="1" t="s">
        <v>5354</v>
      </c>
      <c r="I264" s="1" t="s">
        <v>5355</v>
      </c>
      <c r="J264" s="1">
        <v>7618750839</v>
      </c>
      <c r="K264" s="1" t="s">
        <v>148</v>
      </c>
      <c r="L264" s="1" t="s">
        <v>5356</v>
      </c>
      <c r="M264" s="1" t="s">
        <v>81</v>
      </c>
      <c r="N264" s="1" t="s">
        <v>5357</v>
      </c>
      <c r="O264" s="1"/>
      <c r="P264" s="1" t="s">
        <v>1298</v>
      </c>
      <c r="Q264" s="1" t="s">
        <v>5358</v>
      </c>
      <c r="R264" s="1" t="s">
        <v>5359</v>
      </c>
      <c r="S264" s="1">
        <v>9972864548</v>
      </c>
      <c r="T264" s="1" t="s">
        <v>5360</v>
      </c>
      <c r="U264" s="1" t="s">
        <v>5361</v>
      </c>
      <c r="V264" s="1">
        <v>8618172219</v>
      </c>
      <c r="W264" s="1" t="s">
        <v>273</v>
      </c>
      <c r="X264" s="1" t="s">
        <v>5362</v>
      </c>
      <c r="Y264" s="1" t="s">
        <v>5363</v>
      </c>
      <c r="Z264" s="1" t="s">
        <v>1084</v>
      </c>
      <c r="AA264" s="1" t="s">
        <v>5362</v>
      </c>
      <c r="AB264" s="1" t="s">
        <v>5363</v>
      </c>
      <c r="AC264" s="1" t="s">
        <v>1084</v>
      </c>
      <c r="AD264" s="1">
        <v>7.31</v>
      </c>
      <c r="AE264" s="1" t="s">
        <v>93</v>
      </c>
      <c r="AF264" s="1" t="s">
        <v>5364</v>
      </c>
      <c r="AG264" s="1" t="s">
        <v>5365</v>
      </c>
      <c r="AH264" s="1" t="s">
        <v>1240</v>
      </c>
      <c r="AI264" s="1" t="s">
        <v>166</v>
      </c>
      <c r="AJ264" s="1">
        <v>65</v>
      </c>
      <c r="AK264" s="1">
        <v>6.84</v>
      </c>
      <c r="AL264" s="1" t="s">
        <v>5366</v>
      </c>
      <c r="AM264" s="1" t="s">
        <v>5367</v>
      </c>
      <c r="AN264" s="1" t="s">
        <v>310</v>
      </c>
      <c r="AO264" s="1" t="s">
        <v>173</v>
      </c>
      <c r="AP264" s="1">
        <v>71.5</v>
      </c>
      <c r="AQ264" s="1">
        <v>7.53</v>
      </c>
      <c r="AR264" s="1"/>
      <c r="AS264" s="1"/>
      <c r="AT264" s="1"/>
      <c r="AU264" s="1"/>
      <c r="AV264" s="1"/>
      <c r="AW264" s="1"/>
      <c r="AX264" s="1" t="s">
        <v>5368</v>
      </c>
      <c r="AY264" s="1" t="s">
        <v>5369</v>
      </c>
      <c r="AZ264" s="1" t="s">
        <v>228</v>
      </c>
      <c r="BA264" s="1" t="s">
        <v>202</v>
      </c>
      <c r="BB264" s="1">
        <v>71</v>
      </c>
      <c r="BC264" s="1">
        <v>7.01</v>
      </c>
      <c r="BD264" s="1"/>
      <c r="BE264" s="1"/>
      <c r="BF264" s="1"/>
      <c r="BG264" s="1"/>
      <c r="BH264" s="1"/>
      <c r="BI264" s="1"/>
      <c r="BJ264" s="1" t="s">
        <v>5370</v>
      </c>
      <c r="BK264" s="1"/>
      <c r="BL264" s="1"/>
      <c r="BM264" s="1" t="s">
        <v>5371</v>
      </c>
      <c r="BN264" s="1">
        <v>8</v>
      </c>
      <c r="BO264" s="1"/>
      <c r="BP264" s="1" t="str">
        <f>HYPERLINK("https://nconnect.nicmar.ac.in/storage/profile/ProfilePhoto_P25700207_975832.jpg","Download")</f>
        <v>0</v>
      </c>
      <c r="BQ264" s="3"/>
      <c r="BR264" s="3"/>
    </row>
    <row r="265" spans="1:70">
      <c r="A265" s="1" t="s">
        <v>70</v>
      </c>
      <c r="B265" s="1" t="s">
        <v>1269</v>
      </c>
      <c r="C265" s="1" t="s">
        <v>5372</v>
      </c>
      <c r="D265" s="1" t="s">
        <v>5373</v>
      </c>
      <c r="E265" s="1" t="s">
        <v>5374</v>
      </c>
      <c r="F265" s="1" t="s">
        <v>596</v>
      </c>
      <c r="G265" s="1" t="s">
        <v>5375</v>
      </c>
      <c r="H265" s="1" t="s">
        <v>5376</v>
      </c>
      <c r="I265" s="1" t="s">
        <v>5377</v>
      </c>
      <c r="J265" s="1">
        <v>7019853366</v>
      </c>
      <c r="K265" s="1" t="s">
        <v>79</v>
      </c>
      <c r="L265" s="1" t="s">
        <v>4646</v>
      </c>
      <c r="M265" s="1" t="s">
        <v>81</v>
      </c>
      <c r="N265" s="1" t="s">
        <v>5378</v>
      </c>
      <c r="O265" s="1"/>
      <c r="P265" s="1" t="s">
        <v>1323</v>
      </c>
      <c r="Q265" s="1" t="s">
        <v>5379</v>
      </c>
      <c r="R265" s="1" t="s">
        <v>5380</v>
      </c>
      <c r="S265" s="1">
        <v>9448056783</v>
      </c>
      <c r="T265" s="1" t="s">
        <v>87</v>
      </c>
      <c r="U265" s="1" t="s">
        <v>5381</v>
      </c>
      <c r="V265" s="1">
        <v>9449043899</v>
      </c>
      <c r="W265" s="1" t="s">
        <v>674</v>
      </c>
      <c r="X265" s="1" t="s">
        <v>5382</v>
      </c>
      <c r="Y265" s="1" t="s">
        <v>5383</v>
      </c>
      <c r="Z265" s="1" t="s">
        <v>1084</v>
      </c>
      <c r="AA265" s="1" t="s">
        <v>5382</v>
      </c>
      <c r="AB265" s="1" t="s">
        <v>5383</v>
      </c>
      <c r="AC265" s="1" t="s">
        <v>1084</v>
      </c>
      <c r="AD265" s="1">
        <v>8.36</v>
      </c>
      <c r="AE265" s="1" t="s">
        <v>93</v>
      </c>
      <c r="AF265" s="1" t="s">
        <v>5384</v>
      </c>
      <c r="AG265" s="1" t="s">
        <v>5385</v>
      </c>
      <c r="AH265" s="1" t="s">
        <v>165</v>
      </c>
      <c r="AI265" s="1" t="s">
        <v>166</v>
      </c>
      <c r="AJ265" s="1">
        <v>78.2</v>
      </c>
      <c r="AK265" s="1"/>
      <c r="AL265" s="1" t="s">
        <v>5386</v>
      </c>
      <c r="AM265" s="1" t="s">
        <v>5387</v>
      </c>
      <c r="AN265" s="1" t="s">
        <v>101</v>
      </c>
      <c r="AO265" s="1" t="s">
        <v>699</v>
      </c>
      <c r="AP265" s="1">
        <v>82.33</v>
      </c>
      <c r="AQ265" s="1"/>
      <c r="AR265" s="1"/>
      <c r="AS265" s="1"/>
      <c r="AT265" s="1"/>
      <c r="AU265" s="1"/>
      <c r="AV265" s="1"/>
      <c r="AW265" s="1"/>
      <c r="AX265" s="1" t="s">
        <v>5388</v>
      </c>
      <c r="AY265" s="1" t="s">
        <v>5389</v>
      </c>
      <c r="AZ265" s="1" t="s">
        <v>699</v>
      </c>
      <c r="BA265" s="1" t="s">
        <v>202</v>
      </c>
      <c r="BB265" s="1">
        <v>54.6</v>
      </c>
      <c r="BC265" s="1">
        <v>6.21</v>
      </c>
      <c r="BD265" s="1"/>
      <c r="BE265" s="1"/>
      <c r="BF265" s="1"/>
      <c r="BG265" s="1"/>
      <c r="BH265" s="1"/>
      <c r="BI265" s="1"/>
      <c r="BJ265" s="1" t="s">
        <v>5390</v>
      </c>
      <c r="BK265" s="1"/>
      <c r="BL265" s="1"/>
      <c r="BM265" s="1" t="s">
        <v>5391</v>
      </c>
      <c r="BN265" s="1">
        <v>60</v>
      </c>
      <c r="BO265" s="1"/>
      <c r="BP265" s="1" t="str">
        <f>HYPERLINK("https://nconnect.nicmar.ac.in/storage/profile/ProfilePhoto_P25700208_794836.jpg","Download")</f>
        <v>0</v>
      </c>
      <c r="BQ265" s="3"/>
      <c r="BR265" s="3"/>
    </row>
    <row r="266" spans="1:70">
      <c r="A266" s="1" t="s">
        <v>70</v>
      </c>
      <c r="B266" s="1" t="s">
        <v>1269</v>
      </c>
      <c r="C266" s="1" t="s">
        <v>5392</v>
      </c>
      <c r="D266" s="1" t="s">
        <v>5393</v>
      </c>
      <c r="E266" s="1" t="s">
        <v>5394</v>
      </c>
      <c r="F266" s="1" t="s">
        <v>5395</v>
      </c>
      <c r="G266" s="1" t="s">
        <v>5396</v>
      </c>
      <c r="H266" s="1" t="s">
        <v>5397</v>
      </c>
      <c r="I266" s="1" t="s">
        <v>5398</v>
      </c>
      <c r="J266" s="1">
        <v>9372185523</v>
      </c>
      <c r="K266" s="1" t="s">
        <v>79</v>
      </c>
      <c r="L266" s="1" t="s">
        <v>5399</v>
      </c>
      <c r="M266" s="1" t="s">
        <v>81</v>
      </c>
      <c r="N266" s="1" t="s">
        <v>3311</v>
      </c>
      <c r="O266" s="1"/>
      <c r="P266" s="1" t="s">
        <v>1278</v>
      </c>
      <c r="Q266" s="1" t="s">
        <v>5400</v>
      </c>
      <c r="R266" s="1" t="s">
        <v>5401</v>
      </c>
      <c r="S266" s="1">
        <v>9004473416</v>
      </c>
      <c r="T266" s="1" t="s">
        <v>5402</v>
      </c>
      <c r="U266" s="1" t="s">
        <v>5403</v>
      </c>
      <c r="V266" s="1">
        <v>9372032013</v>
      </c>
      <c r="W266" s="1" t="s">
        <v>156</v>
      </c>
      <c r="X266" s="1" t="s">
        <v>5404</v>
      </c>
      <c r="Y266" s="1" t="s">
        <v>5080</v>
      </c>
      <c r="Z266" s="1" t="s">
        <v>92</v>
      </c>
      <c r="AA266" s="1" t="s">
        <v>5404</v>
      </c>
      <c r="AB266" s="1" t="s">
        <v>5080</v>
      </c>
      <c r="AC266" s="1" t="s">
        <v>92</v>
      </c>
      <c r="AD266" s="1">
        <v>8.16</v>
      </c>
      <c r="AE266" s="1" t="s">
        <v>93</v>
      </c>
      <c r="AF266" s="1" t="s">
        <v>3409</v>
      </c>
      <c r="AG266" s="1" t="s">
        <v>5405</v>
      </c>
      <c r="AH266" s="1" t="s">
        <v>161</v>
      </c>
      <c r="AI266" s="1" t="s">
        <v>456</v>
      </c>
      <c r="AJ266" s="1">
        <v>84</v>
      </c>
      <c r="AK266" s="1"/>
      <c r="AL266" s="1"/>
      <c r="AM266" s="1"/>
      <c r="AN266" s="1"/>
      <c r="AO266" s="1"/>
      <c r="AP266" s="1"/>
      <c r="AQ266" s="1"/>
      <c r="AR266" s="1" t="s">
        <v>5406</v>
      </c>
      <c r="AS266" s="1" t="s">
        <v>5407</v>
      </c>
      <c r="AT266" s="1" t="s">
        <v>733</v>
      </c>
      <c r="AU266" s="1" t="s">
        <v>308</v>
      </c>
      <c r="AV266" s="1">
        <v>72.71</v>
      </c>
      <c r="AW266" s="1"/>
      <c r="AX266" s="1" t="s">
        <v>1024</v>
      </c>
      <c r="AY266" s="1" t="s">
        <v>5408</v>
      </c>
      <c r="AZ266" s="1" t="s">
        <v>201</v>
      </c>
      <c r="BA266" s="1" t="s">
        <v>682</v>
      </c>
      <c r="BB266" s="1">
        <v>70</v>
      </c>
      <c r="BC266" s="1">
        <v>7.84</v>
      </c>
      <c r="BD266" s="1"/>
      <c r="BE266" s="1"/>
      <c r="BF266" s="1"/>
      <c r="BG266" s="1"/>
      <c r="BH266" s="1"/>
      <c r="BI266" s="1"/>
      <c r="BJ266" s="1" t="s">
        <v>1383</v>
      </c>
      <c r="BK266" s="1" t="s">
        <v>5409</v>
      </c>
      <c r="BL266" s="1" t="s">
        <v>4933</v>
      </c>
      <c r="BM266" s="1" t="s">
        <v>5410</v>
      </c>
      <c r="BN266" s="1">
        <v>9</v>
      </c>
      <c r="BO266" s="1"/>
      <c r="BP266" s="1" t="str">
        <f>HYPERLINK("https://nconnect.nicmar.ac.in/storage/profile/ProfilePhoto_P25700209_172634.jpg","Download")</f>
        <v>0</v>
      </c>
      <c r="BQ266" s="3"/>
      <c r="BR266" s="3"/>
    </row>
    <row r="267" spans="1:70">
      <c r="A267" s="1" t="s">
        <v>70</v>
      </c>
      <c r="B267" s="1" t="s">
        <v>1269</v>
      </c>
      <c r="C267" s="1" t="s">
        <v>5411</v>
      </c>
      <c r="D267" s="1" t="s">
        <v>5412</v>
      </c>
      <c r="E267" s="1" t="s">
        <v>5413</v>
      </c>
      <c r="F267" s="1" t="s">
        <v>5414</v>
      </c>
      <c r="G267" s="1" t="s">
        <v>5415</v>
      </c>
      <c r="H267" s="1" t="s">
        <v>5416</v>
      </c>
      <c r="I267" s="1" t="s">
        <v>5417</v>
      </c>
      <c r="J267" s="1">
        <v>7666209600</v>
      </c>
      <c r="K267" s="1" t="s">
        <v>79</v>
      </c>
      <c r="L267" s="1" t="s">
        <v>5418</v>
      </c>
      <c r="M267" s="1" t="s">
        <v>81</v>
      </c>
      <c r="N267" s="1" t="s">
        <v>1144</v>
      </c>
      <c r="O267" s="1"/>
      <c r="P267" s="1" t="s">
        <v>1766</v>
      </c>
      <c r="Q267" s="1" t="s">
        <v>5419</v>
      </c>
      <c r="R267" s="1" t="s">
        <v>5413</v>
      </c>
      <c r="S267" s="1">
        <v>9890180702</v>
      </c>
      <c r="T267" s="1" t="s">
        <v>5420</v>
      </c>
      <c r="U267" s="1" t="s">
        <v>5421</v>
      </c>
      <c r="V267" s="1">
        <v>9970131300</v>
      </c>
      <c r="W267" s="1" t="s">
        <v>273</v>
      </c>
      <c r="X267" s="1" t="s">
        <v>5422</v>
      </c>
      <c r="Y267" s="1" t="s">
        <v>2790</v>
      </c>
      <c r="Z267" s="1" t="s">
        <v>92</v>
      </c>
      <c r="AA267" s="1" t="s">
        <v>5422</v>
      </c>
      <c r="AB267" s="1" t="s">
        <v>2790</v>
      </c>
      <c r="AC267" s="1" t="s">
        <v>92</v>
      </c>
      <c r="AD267" s="1">
        <v>7.77</v>
      </c>
      <c r="AE267" s="1" t="s">
        <v>93</v>
      </c>
      <c r="AF267" s="1" t="s">
        <v>5423</v>
      </c>
      <c r="AG267" s="1" t="s">
        <v>5424</v>
      </c>
      <c r="AH267" s="1" t="s">
        <v>101</v>
      </c>
      <c r="AI267" s="1" t="s">
        <v>409</v>
      </c>
      <c r="AJ267" s="1">
        <v>75.6</v>
      </c>
      <c r="AK267" s="1"/>
      <c r="AL267" s="1" t="s">
        <v>5425</v>
      </c>
      <c r="AM267" s="1" t="s">
        <v>5424</v>
      </c>
      <c r="AN267" s="1" t="s">
        <v>699</v>
      </c>
      <c r="AO267" s="1" t="s">
        <v>1131</v>
      </c>
      <c r="AP267" s="1">
        <v>71.67</v>
      </c>
      <c r="AQ267" s="1"/>
      <c r="AR267" s="1"/>
      <c r="AS267" s="1"/>
      <c r="AT267" s="1"/>
      <c r="AU267" s="1"/>
      <c r="AV267" s="1"/>
      <c r="AW267" s="1"/>
      <c r="AX267" s="1" t="s">
        <v>5426</v>
      </c>
      <c r="AY267" s="1" t="s">
        <v>5427</v>
      </c>
      <c r="AZ267" s="1" t="s">
        <v>897</v>
      </c>
      <c r="BA267" s="1" t="s">
        <v>1714</v>
      </c>
      <c r="BB267" s="1">
        <v>70.8</v>
      </c>
      <c r="BC267" s="1">
        <v>7.58</v>
      </c>
      <c r="BD267" s="1"/>
      <c r="BE267" s="1"/>
      <c r="BF267" s="1"/>
      <c r="BG267" s="1"/>
      <c r="BH267" s="1"/>
      <c r="BI267" s="1"/>
      <c r="BJ267" s="1" t="s">
        <v>1383</v>
      </c>
      <c r="BK267" s="1"/>
      <c r="BL267" s="1"/>
      <c r="BM267" s="1" t="s">
        <v>5428</v>
      </c>
      <c r="BN267" s="1">
        <v>29</v>
      </c>
      <c r="BO267" s="1"/>
      <c r="BP267" s="1" t="str">
        <f>HYPERLINK("https://nconnect.nicmar.ac.in/storage/profile/ProfilePhoto_P25700210_974213.jpg","Download")</f>
        <v>0</v>
      </c>
      <c r="BQ267" s="3"/>
      <c r="BR267" s="3"/>
    </row>
    <row r="268" spans="1:70">
      <c r="A268" s="1" t="s">
        <v>70</v>
      </c>
      <c r="B268" s="1" t="s">
        <v>1269</v>
      </c>
      <c r="C268" s="1" t="s">
        <v>5429</v>
      </c>
      <c r="D268" s="1" t="s">
        <v>5430</v>
      </c>
      <c r="E268" s="1" t="s">
        <v>5431</v>
      </c>
      <c r="F268" s="1" t="s">
        <v>4823</v>
      </c>
      <c r="G268" s="1" t="s">
        <v>5432</v>
      </c>
      <c r="H268" s="1" t="s">
        <v>5433</v>
      </c>
      <c r="I268" s="1" t="s">
        <v>5434</v>
      </c>
      <c r="J268" s="1">
        <v>9985961499</v>
      </c>
      <c r="K268" s="1" t="s">
        <v>79</v>
      </c>
      <c r="L268" s="1" t="s">
        <v>5435</v>
      </c>
      <c r="M268" s="1" t="s">
        <v>81</v>
      </c>
      <c r="N268" s="1" t="s">
        <v>5436</v>
      </c>
      <c r="O268" s="1"/>
      <c r="P268" s="1" t="s">
        <v>1323</v>
      </c>
      <c r="Q268" s="1" t="s">
        <v>5437</v>
      </c>
      <c r="R268" s="1" t="s">
        <v>5438</v>
      </c>
      <c r="S268" s="1">
        <v>9581649999</v>
      </c>
      <c r="T268" s="1" t="s">
        <v>4581</v>
      </c>
      <c r="U268" s="1" t="s">
        <v>5439</v>
      </c>
      <c r="V268" s="1">
        <v>9490761499</v>
      </c>
      <c r="W268" s="1" t="s">
        <v>5440</v>
      </c>
      <c r="X268" s="1" t="s">
        <v>5441</v>
      </c>
      <c r="Y268" s="1" t="s">
        <v>1304</v>
      </c>
      <c r="Z268" s="1" t="s">
        <v>276</v>
      </c>
      <c r="AA268" s="1" t="s">
        <v>5441</v>
      </c>
      <c r="AB268" s="1" t="s">
        <v>1304</v>
      </c>
      <c r="AC268" s="1" t="s">
        <v>276</v>
      </c>
      <c r="AD268" s="1">
        <v>8.32</v>
      </c>
      <c r="AE268" s="1" t="s">
        <v>93</v>
      </c>
      <c r="AF268" s="1" t="s">
        <v>5442</v>
      </c>
      <c r="AG268" s="1" t="s">
        <v>5443</v>
      </c>
      <c r="AH268" s="1" t="s">
        <v>101</v>
      </c>
      <c r="AI268" s="1" t="s">
        <v>1065</v>
      </c>
      <c r="AJ268" s="1">
        <v>95</v>
      </c>
      <c r="AK268" s="1">
        <v>9.5</v>
      </c>
      <c r="AL268" s="1" t="s">
        <v>5444</v>
      </c>
      <c r="AM268" s="1" t="s">
        <v>5443</v>
      </c>
      <c r="AN268" s="1" t="s">
        <v>433</v>
      </c>
      <c r="AO268" s="1" t="s">
        <v>1712</v>
      </c>
      <c r="AP268" s="1">
        <v>94.8</v>
      </c>
      <c r="AQ268" s="1"/>
      <c r="AR268" s="1"/>
      <c r="AS268" s="1"/>
      <c r="AT268" s="1"/>
      <c r="AU268" s="1"/>
      <c r="AV268" s="1"/>
      <c r="AW268" s="1"/>
      <c r="AX268" s="1" t="s">
        <v>5445</v>
      </c>
      <c r="AY268" s="1" t="s">
        <v>5446</v>
      </c>
      <c r="AZ268" s="1" t="s">
        <v>897</v>
      </c>
      <c r="BA268" s="1" t="s">
        <v>1408</v>
      </c>
      <c r="BB268" s="1">
        <v>74.4</v>
      </c>
      <c r="BC268" s="1">
        <v>7.44</v>
      </c>
      <c r="BD268" s="1"/>
      <c r="BE268" s="1"/>
      <c r="BF268" s="1"/>
      <c r="BG268" s="1"/>
      <c r="BH268" s="1"/>
      <c r="BI268" s="1"/>
      <c r="BJ268" s="1" t="s">
        <v>5447</v>
      </c>
      <c r="BK268" s="1"/>
      <c r="BL268" s="1"/>
      <c r="BM268" s="1" t="s">
        <v>5448</v>
      </c>
      <c r="BN268" s="1">
        <v>4</v>
      </c>
      <c r="BO268" s="1"/>
      <c r="BP268" s="1" t="str">
        <f>HYPERLINK("https://nconnect.nicmar.ac.in/storage/profile/ProfilePhoto_P25700211_374165.jpg","Download")</f>
        <v>0</v>
      </c>
      <c r="BQ268" s="3"/>
      <c r="BR268" s="3"/>
    </row>
    <row r="269" spans="1:70">
      <c r="A269" s="1" t="s">
        <v>70</v>
      </c>
      <c r="B269" s="1" t="s">
        <v>1269</v>
      </c>
      <c r="C269" s="1" t="s">
        <v>5449</v>
      </c>
      <c r="D269" s="1" t="s">
        <v>5450</v>
      </c>
      <c r="E269" s="1"/>
      <c r="F269" s="1" t="s">
        <v>5451</v>
      </c>
      <c r="G269" s="1" t="s">
        <v>5452</v>
      </c>
      <c r="H269" s="1" t="s">
        <v>5453</v>
      </c>
      <c r="I269" s="1" t="s">
        <v>5454</v>
      </c>
      <c r="J269" s="1">
        <v>7365981078</v>
      </c>
      <c r="K269" s="1" t="s">
        <v>79</v>
      </c>
      <c r="L269" s="1" t="s">
        <v>5455</v>
      </c>
      <c r="M269" s="1" t="s">
        <v>81</v>
      </c>
      <c r="N269" s="1" t="s">
        <v>5456</v>
      </c>
      <c r="O269" s="1"/>
      <c r="P269" s="1" t="s">
        <v>1298</v>
      </c>
      <c r="Q269" s="1" t="s">
        <v>5457</v>
      </c>
      <c r="R269" s="1" t="s">
        <v>5458</v>
      </c>
      <c r="S269" s="1">
        <v>9475095594</v>
      </c>
      <c r="T269" s="1" t="s">
        <v>5459</v>
      </c>
      <c r="U269" s="1" t="s">
        <v>5460</v>
      </c>
      <c r="V269" s="1">
        <v>9474163930</v>
      </c>
      <c r="W269" s="1" t="s">
        <v>716</v>
      </c>
      <c r="X269" s="1" t="s">
        <v>5461</v>
      </c>
      <c r="Y269" s="1" t="s">
        <v>5462</v>
      </c>
      <c r="Z269" s="1" t="s">
        <v>783</v>
      </c>
      <c r="AA269" s="1" t="s">
        <v>5461</v>
      </c>
      <c r="AB269" s="1" t="s">
        <v>5462</v>
      </c>
      <c r="AC269" s="1" t="s">
        <v>783</v>
      </c>
      <c r="AD269" s="1">
        <v>8.52</v>
      </c>
      <c r="AE269" s="1" t="s">
        <v>93</v>
      </c>
      <c r="AF269" s="1" t="s">
        <v>5463</v>
      </c>
      <c r="AG269" s="1" t="s">
        <v>5464</v>
      </c>
      <c r="AH269" s="1" t="s">
        <v>786</v>
      </c>
      <c r="AI269" s="1" t="s">
        <v>1332</v>
      </c>
      <c r="AJ269" s="1">
        <v>90.71</v>
      </c>
      <c r="AK269" s="1"/>
      <c r="AL269" s="1" t="s">
        <v>5463</v>
      </c>
      <c r="AM269" s="1" t="s">
        <v>4091</v>
      </c>
      <c r="AN269" s="1" t="s">
        <v>281</v>
      </c>
      <c r="AO269" s="1" t="s">
        <v>308</v>
      </c>
      <c r="AP269" s="1">
        <v>73.8</v>
      </c>
      <c r="AQ269" s="1"/>
      <c r="AR269" s="1"/>
      <c r="AS269" s="1"/>
      <c r="AT269" s="1"/>
      <c r="AU269" s="1"/>
      <c r="AV269" s="1"/>
      <c r="AW269" s="1"/>
      <c r="AX269" s="1" t="s">
        <v>2078</v>
      </c>
      <c r="AY269" s="1" t="s">
        <v>5465</v>
      </c>
      <c r="AZ269" s="1" t="s">
        <v>310</v>
      </c>
      <c r="BA269" s="1" t="s">
        <v>174</v>
      </c>
      <c r="BB269" s="1">
        <v>80.9</v>
      </c>
      <c r="BC269" s="1">
        <v>8.84</v>
      </c>
      <c r="BD269" s="1"/>
      <c r="BE269" s="1"/>
      <c r="BF269" s="1"/>
      <c r="BG269" s="1"/>
      <c r="BH269" s="1"/>
      <c r="BI269" s="1"/>
      <c r="BJ269" s="1" t="s">
        <v>5466</v>
      </c>
      <c r="BK269" s="1" t="s">
        <v>5467</v>
      </c>
      <c r="BL269" s="1" t="s">
        <v>2305</v>
      </c>
      <c r="BM269" s="1" t="s">
        <v>5468</v>
      </c>
      <c r="BN269" s="1">
        <v>13</v>
      </c>
      <c r="BO269" s="1" t="s">
        <v>5469</v>
      </c>
      <c r="BP269" s="1" t="str">
        <f>HYPERLINK("https://nconnect.nicmar.ac.in/storage/profile/ProfilePhoto_P25700212_349562.jpg","Download")</f>
        <v>0</v>
      </c>
      <c r="BQ269" s="3"/>
      <c r="BR269" s="3"/>
    </row>
    <row r="270" spans="1:70">
      <c r="A270" s="1" t="s">
        <v>70</v>
      </c>
      <c r="B270" s="1" t="s">
        <v>1269</v>
      </c>
      <c r="C270" s="1" t="s">
        <v>5470</v>
      </c>
      <c r="D270" s="1" t="s">
        <v>5471</v>
      </c>
      <c r="E270" s="1" t="s">
        <v>5472</v>
      </c>
      <c r="F270" s="1" t="s">
        <v>5473</v>
      </c>
      <c r="G270" s="1" t="s">
        <v>5474</v>
      </c>
      <c r="H270" s="1" t="s">
        <v>5475</v>
      </c>
      <c r="I270" s="1" t="s">
        <v>5476</v>
      </c>
      <c r="J270" s="1">
        <v>9325432369</v>
      </c>
      <c r="K270" s="1" t="s">
        <v>79</v>
      </c>
      <c r="L270" s="1" t="s">
        <v>5477</v>
      </c>
      <c r="M270" s="1" t="s">
        <v>81</v>
      </c>
      <c r="N270" s="1" t="s">
        <v>5478</v>
      </c>
      <c r="O270" s="1"/>
      <c r="P270" s="1" t="s">
        <v>1298</v>
      </c>
      <c r="Q270" s="1" t="s">
        <v>5479</v>
      </c>
      <c r="R270" s="1" t="s">
        <v>5480</v>
      </c>
      <c r="S270" s="1">
        <v>9823134286</v>
      </c>
      <c r="T270" s="1" t="s">
        <v>842</v>
      </c>
      <c r="U270" s="1" t="s">
        <v>5481</v>
      </c>
      <c r="V270" s="1">
        <v>9764117117</v>
      </c>
      <c r="W270" s="1" t="s">
        <v>156</v>
      </c>
      <c r="X270" s="1" t="s">
        <v>5482</v>
      </c>
      <c r="Y270" s="1" t="s">
        <v>191</v>
      </c>
      <c r="Z270" s="1" t="s">
        <v>92</v>
      </c>
      <c r="AA270" s="1" t="s">
        <v>5482</v>
      </c>
      <c r="AB270" s="1" t="s">
        <v>191</v>
      </c>
      <c r="AC270" s="1" t="s">
        <v>92</v>
      </c>
      <c r="AD270" s="1">
        <v>8.82</v>
      </c>
      <c r="AE270" s="1" t="s">
        <v>93</v>
      </c>
      <c r="AF270" s="1" t="s">
        <v>5483</v>
      </c>
      <c r="AG270" s="1" t="s">
        <v>5484</v>
      </c>
      <c r="AH270" s="1" t="s">
        <v>1307</v>
      </c>
      <c r="AI270" s="1" t="s">
        <v>308</v>
      </c>
      <c r="AJ270" s="1">
        <v>76.8</v>
      </c>
      <c r="AK270" s="1"/>
      <c r="AL270" s="1" t="s">
        <v>5485</v>
      </c>
      <c r="AM270" s="1" t="s">
        <v>160</v>
      </c>
      <c r="AN270" s="1" t="s">
        <v>681</v>
      </c>
      <c r="AO270" s="1" t="s">
        <v>436</v>
      </c>
      <c r="AP270" s="1">
        <v>82</v>
      </c>
      <c r="AQ270" s="1"/>
      <c r="AR270" s="1"/>
      <c r="AS270" s="1"/>
      <c r="AT270" s="1"/>
      <c r="AU270" s="1"/>
      <c r="AV270" s="1"/>
      <c r="AW270" s="1"/>
      <c r="AX270" s="1" t="s">
        <v>361</v>
      </c>
      <c r="AY270" s="1" t="s">
        <v>5486</v>
      </c>
      <c r="AZ270" s="1" t="s">
        <v>5487</v>
      </c>
      <c r="BA270" s="1" t="s">
        <v>1714</v>
      </c>
      <c r="BB270" s="1">
        <v>77.42</v>
      </c>
      <c r="BC270" s="1">
        <v>8.15</v>
      </c>
      <c r="BD270" s="1"/>
      <c r="BE270" s="1"/>
      <c r="BF270" s="1"/>
      <c r="BG270" s="1"/>
      <c r="BH270" s="1"/>
      <c r="BI270" s="1"/>
      <c r="BJ270" s="1" t="s">
        <v>1715</v>
      </c>
      <c r="BK270" s="1"/>
      <c r="BL270" s="1"/>
      <c r="BM270" s="1" t="s">
        <v>5488</v>
      </c>
      <c r="BN270" s="1">
        <v>4</v>
      </c>
      <c r="BO270" s="1"/>
      <c r="BP270" s="1" t="str">
        <f>HYPERLINK("https://nconnect.nicmar.ac.in/storage/profile/ProfilePhoto_P25700213_341679.jpg","Download")</f>
        <v>0</v>
      </c>
      <c r="BQ270" s="3"/>
      <c r="BR270" s="3"/>
    </row>
    <row r="271" spans="1:70">
      <c r="A271" s="1" t="s">
        <v>70</v>
      </c>
      <c r="B271" s="1" t="s">
        <v>1269</v>
      </c>
      <c r="C271" s="1" t="s">
        <v>5489</v>
      </c>
      <c r="D271" s="1" t="s">
        <v>5490</v>
      </c>
      <c r="E271" s="1" t="s">
        <v>5491</v>
      </c>
      <c r="F271" s="1" t="s">
        <v>5492</v>
      </c>
      <c r="G271" s="1" t="s">
        <v>5493</v>
      </c>
      <c r="H271" s="1" t="s">
        <v>5494</v>
      </c>
      <c r="I271" s="1" t="s">
        <v>5495</v>
      </c>
      <c r="J271" s="1">
        <v>7558763753</v>
      </c>
      <c r="K271" s="1" t="s">
        <v>79</v>
      </c>
      <c r="L271" s="1" t="s">
        <v>5496</v>
      </c>
      <c r="M271" s="1" t="s">
        <v>81</v>
      </c>
      <c r="N271" s="1" t="s">
        <v>1765</v>
      </c>
      <c r="O271" s="1"/>
      <c r="P271" s="1" t="s">
        <v>1278</v>
      </c>
      <c r="Q271" s="1" t="s">
        <v>5497</v>
      </c>
      <c r="R271" s="1" t="s">
        <v>5498</v>
      </c>
      <c r="S271" s="1">
        <v>9881388685</v>
      </c>
      <c r="T271" s="1" t="s">
        <v>5499</v>
      </c>
      <c r="U271" s="1" t="s">
        <v>5500</v>
      </c>
      <c r="V271" s="1">
        <v>8421519178</v>
      </c>
      <c r="W271" s="1" t="s">
        <v>156</v>
      </c>
      <c r="X271" s="1" t="s">
        <v>5501</v>
      </c>
      <c r="Y271" s="1" t="s">
        <v>158</v>
      </c>
      <c r="Z271" s="1" t="s">
        <v>92</v>
      </c>
      <c r="AA271" s="1" t="s">
        <v>5501</v>
      </c>
      <c r="AB271" s="1" t="s">
        <v>158</v>
      </c>
      <c r="AC271" s="1" t="s">
        <v>92</v>
      </c>
      <c r="AD271" s="1">
        <v>7.98</v>
      </c>
      <c r="AE271" s="1" t="s">
        <v>93</v>
      </c>
      <c r="AF271" s="1" t="s">
        <v>5502</v>
      </c>
      <c r="AG271" s="1" t="s">
        <v>160</v>
      </c>
      <c r="AH271" s="1" t="s">
        <v>195</v>
      </c>
      <c r="AI271" s="1" t="s">
        <v>281</v>
      </c>
      <c r="AJ271" s="1">
        <v>83.6</v>
      </c>
      <c r="AK271" s="1"/>
      <c r="AL271" s="1" t="s">
        <v>5503</v>
      </c>
      <c r="AM271" s="1" t="s">
        <v>160</v>
      </c>
      <c r="AN271" s="1" t="s">
        <v>359</v>
      </c>
      <c r="AO271" s="1" t="s">
        <v>5504</v>
      </c>
      <c r="AP271" s="1">
        <v>62.92</v>
      </c>
      <c r="AQ271" s="1"/>
      <c r="AR271" s="1"/>
      <c r="AS271" s="1"/>
      <c r="AT271" s="1"/>
      <c r="AU271" s="1"/>
      <c r="AV271" s="1"/>
      <c r="AW271" s="1"/>
      <c r="AX271" s="1" t="s">
        <v>5322</v>
      </c>
      <c r="AY271" s="1" t="s">
        <v>5505</v>
      </c>
      <c r="AZ271" s="1" t="s">
        <v>504</v>
      </c>
      <c r="BA271" s="1" t="s">
        <v>507</v>
      </c>
      <c r="BB271" s="1">
        <v>69.7</v>
      </c>
      <c r="BC271" s="1"/>
      <c r="BD271" s="1"/>
      <c r="BE271" s="1"/>
      <c r="BF271" s="1"/>
      <c r="BG271" s="1"/>
      <c r="BH271" s="1"/>
      <c r="BI271" s="1"/>
      <c r="BJ271" s="1" t="s">
        <v>5506</v>
      </c>
      <c r="BK271" s="1" t="s">
        <v>5507</v>
      </c>
      <c r="BL271" s="1" t="s">
        <v>287</v>
      </c>
      <c r="BM271" s="1" t="s">
        <v>5508</v>
      </c>
      <c r="BN271" s="1">
        <v>72</v>
      </c>
      <c r="BO271" s="1" t="s">
        <v>5509</v>
      </c>
      <c r="BP271" s="1" t="str">
        <f>HYPERLINK("https://nconnect.nicmar.ac.in/storage/profile/ProfilePhoto_P25700214_983516.jpg","Download")</f>
        <v>0</v>
      </c>
      <c r="BQ271" s="3"/>
      <c r="BR271" s="3"/>
    </row>
    <row r="272" spans="1:70">
      <c r="A272" s="1" t="s">
        <v>70</v>
      </c>
      <c r="B272" s="1" t="s">
        <v>1269</v>
      </c>
      <c r="C272" s="1" t="s">
        <v>5510</v>
      </c>
      <c r="D272" s="1" t="s">
        <v>5511</v>
      </c>
      <c r="E272" s="1"/>
      <c r="F272" s="1" t="s">
        <v>5512</v>
      </c>
      <c r="G272" s="1" t="s">
        <v>5513</v>
      </c>
      <c r="H272" s="1" t="s">
        <v>5514</v>
      </c>
      <c r="I272" s="1" t="s">
        <v>5515</v>
      </c>
      <c r="J272" s="1">
        <v>7044064498</v>
      </c>
      <c r="K272" s="1" t="s">
        <v>79</v>
      </c>
      <c r="L272" s="1" t="s">
        <v>5516</v>
      </c>
      <c r="M272" s="1" t="s">
        <v>81</v>
      </c>
      <c r="N272" s="1" t="s">
        <v>5517</v>
      </c>
      <c r="O272" s="1"/>
      <c r="P272" s="1" t="s">
        <v>1298</v>
      </c>
      <c r="Q272" s="1" t="s">
        <v>5518</v>
      </c>
      <c r="R272" s="1" t="s">
        <v>5519</v>
      </c>
      <c r="S272" s="1">
        <v>9830237334</v>
      </c>
      <c r="T272" s="1" t="s">
        <v>842</v>
      </c>
      <c r="U272" s="1" t="s">
        <v>5520</v>
      </c>
      <c r="V272" s="1">
        <v>7439245783</v>
      </c>
      <c r="W272" s="1" t="s">
        <v>156</v>
      </c>
      <c r="X272" s="1" t="s">
        <v>5521</v>
      </c>
      <c r="Y272" s="1" t="s">
        <v>4088</v>
      </c>
      <c r="Z272" s="1" t="s">
        <v>783</v>
      </c>
      <c r="AA272" s="1" t="s">
        <v>5521</v>
      </c>
      <c r="AB272" s="1" t="s">
        <v>4088</v>
      </c>
      <c r="AC272" s="1" t="s">
        <v>783</v>
      </c>
      <c r="AD272" s="1">
        <v>7.98</v>
      </c>
      <c r="AE272" s="1" t="s">
        <v>93</v>
      </c>
      <c r="AF272" s="1" t="s">
        <v>5522</v>
      </c>
      <c r="AG272" s="1" t="s">
        <v>5523</v>
      </c>
      <c r="AH272" s="1" t="s">
        <v>503</v>
      </c>
      <c r="AI272" s="1" t="s">
        <v>527</v>
      </c>
      <c r="AJ272" s="1">
        <v>92.4</v>
      </c>
      <c r="AK272" s="1"/>
      <c r="AL272" s="1" t="s">
        <v>5522</v>
      </c>
      <c r="AM272" s="1" t="s">
        <v>5523</v>
      </c>
      <c r="AN272" s="1" t="s">
        <v>279</v>
      </c>
      <c r="AO272" s="1" t="s">
        <v>166</v>
      </c>
      <c r="AP272" s="1">
        <v>82.75</v>
      </c>
      <c r="AQ272" s="1"/>
      <c r="AR272" s="1"/>
      <c r="AS272" s="1"/>
      <c r="AT272" s="1"/>
      <c r="AU272" s="1"/>
      <c r="AV272" s="1"/>
      <c r="AW272" s="1"/>
      <c r="AX272" s="1" t="s">
        <v>5524</v>
      </c>
      <c r="AY272" s="1" t="s">
        <v>5524</v>
      </c>
      <c r="AZ272" s="1" t="s">
        <v>636</v>
      </c>
      <c r="BA272" s="1" t="s">
        <v>682</v>
      </c>
      <c r="BB272" s="1">
        <v>80.8</v>
      </c>
      <c r="BC272" s="1"/>
      <c r="BD272" s="1"/>
      <c r="BE272" s="1"/>
      <c r="BF272" s="1"/>
      <c r="BG272" s="1"/>
      <c r="BH272" s="1"/>
      <c r="BI272" s="1"/>
      <c r="BJ272" s="1" t="s">
        <v>5525</v>
      </c>
      <c r="BK272" s="1" t="s">
        <v>5526</v>
      </c>
      <c r="BL272" s="1" t="s">
        <v>1289</v>
      </c>
      <c r="BM272" s="1" t="s">
        <v>5527</v>
      </c>
      <c r="BN272" s="1">
        <v>27</v>
      </c>
      <c r="BO272" s="1" t="s">
        <v>5528</v>
      </c>
      <c r="BP272" s="1" t="str">
        <f>HYPERLINK("https://nconnect.nicmar.ac.in/storage/profile/ProfilePhoto_P25700215_176495.jpg","Download")</f>
        <v>0</v>
      </c>
      <c r="BQ272" s="3"/>
      <c r="BR272" s="3"/>
    </row>
    <row r="273" spans="1:70">
      <c r="A273" s="1" t="s">
        <v>70</v>
      </c>
      <c r="B273" s="1" t="s">
        <v>1269</v>
      </c>
      <c r="C273" s="1" t="s">
        <v>5529</v>
      </c>
      <c r="D273" s="1" t="s">
        <v>5530</v>
      </c>
      <c r="E273" s="1"/>
      <c r="F273" s="1" t="s">
        <v>5531</v>
      </c>
      <c r="G273" s="1" t="s">
        <v>5532</v>
      </c>
      <c r="H273" s="1" t="s">
        <v>5533</v>
      </c>
      <c r="I273" s="1" t="s">
        <v>5534</v>
      </c>
      <c r="J273" s="1">
        <v>7249269448</v>
      </c>
      <c r="K273" s="1" t="s">
        <v>148</v>
      </c>
      <c r="L273" s="1" t="s">
        <v>5535</v>
      </c>
      <c r="M273" s="1" t="s">
        <v>81</v>
      </c>
      <c r="N273" s="1" t="s">
        <v>5536</v>
      </c>
      <c r="O273" s="1"/>
      <c r="P273" s="1" t="s">
        <v>1278</v>
      </c>
      <c r="Q273" s="1" t="s">
        <v>5537</v>
      </c>
      <c r="R273" s="1" t="s">
        <v>5538</v>
      </c>
      <c r="S273" s="1">
        <v>9922586983</v>
      </c>
      <c r="T273" s="1" t="s">
        <v>4581</v>
      </c>
      <c r="U273" s="1" t="s">
        <v>5539</v>
      </c>
      <c r="V273" s="1">
        <v>9422331475</v>
      </c>
      <c r="W273" s="1" t="s">
        <v>472</v>
      </c>
      <c r="X273" s="1" t="s">
        <v>5540</v>
      </c>
      <c r="Y273" s="1" t="s">
        <v>405</v>
      </c>
      <c r="Z273" s="1" t="s">
        <v>92</v>
      </c>
      <c r="AA273" s="1" t="s">
        <v>5540</v>
      </c>
      <c r="AB273" s="1" t="s">
        <v>405</v>
      </c>
      <c r="AC273" s="1" t="s">
        <v>92</v>
      </c>
      <c r="AD273" s="1" t="s">
        <v>93</v>
      </c>
      <c r="AE273" s="1" t="s">
        <v>93</v>
      </c>
      <c r="AF273" s="1" t="s">
        <v>5541</v>
      </c>
      <c r="AG273" s="1" t="s">
        <v>160</v>
      </c>
      <c r="AH273" s="1" t="s">
        <v>101</v>
      </c>
      <c r="AI273" s="1" t="s">
        <v>433</v>
      </c>
      <c r="AJ273" s="1">
        <v>77</v>
      </c>
      <c r="AK273" s="1"/>
      <c r="AL273" s="1"/>
      <c r="AM273" s="1"/>
      <c r="AN273" s="1"/>
      <c r="AO273" s="1"/>
      <c r="AP273" s="1"/>
      <c r="AQ273" s="1"/>
      <c r="AR273" s="1" t="s">
        <v>98</v>
      </c>
      <c r="AS273" s="1" t="s">
        <v>5542</v>
      </c>
      <c r="AT273" s="1" t="s">
        <v>310</v>
      </c>
      <c r="AU273" s="1" t="s">
        <v>105</v>
      </c>
      <c r="AV273" s="1">
        <v>81.7</v>
      </c>
      <c r="AW273" s="1"/>
      <c r="AX273" s="1" t="s">
        <v>5543</v>
      </c>
      <c r="AY273" s="1" t="s">
        <v>5544</v>
      </c>
      <c r="AZ273" s="1" t="s">
        <v>2693</v>
      </c>
      <c r="BA273" s="1" t="s">
        <v>1714</v>
      </c>
      <c r="BB273" s="1">
        <v>73.2</v>
      </c>
      <c r="BC273" s="1">
        <v>8.07</v>
      </c>
      <c r="BD273" s="1"/>
      <c r="BE273" s="1"/>
      <c r="BF273" s="1"/>
      <c r="BG273" s="1"/>
      <c r="BH273" s="1"/>
      <c r="BI273" s="1"/>
      <c r="BJ273" s="1" t="s">
        <v>5545</v>
      </c>
      <c r="BK273" s="1"/>
      <c r="BL273" s="1"/>
      <c r="BM273" s="1" t="s">
        <v>5546</v>
      </c>
      <c r="BN273" s="1">
        <v>34</v>
      </c>
      <c r="BO273" s="1"/>
      <c r="BP273" s="1" t="str">
        <f>HYPERLINK("https://nconnect.nicmar.ac.in/storage/profile/ProfilePhoto_P25700216_187954.jpg","Download")</f>
        <v>0</v>
      </c>
      <c r="BQ273" s="3"/>
      <c r="BR273" s="3"/>
    </row>
    <row r="274" spans="1:70">
      <c r="A274" s="1" t="s">
        <v>70</v>
      </c>
      <c r="B274" s="1" t="s">
        <v>1269</v>
      </c>
      <c r="C274" s="1" t="s">
        <v>5547</v>
      </c>
      <c r="D274" s="1" t="s">
        <v>5548</v>
      </c>
      <c r="E274" s="1"/>
      <c r="F274" s="1" t="s">
        <v>2658</v>
      </c>
      <c r="G274" s="1" t="s">
        <v>5549</v>
      </c>
      <c r="H274" s="1" t="s">
        <v>5550</v>
      </c>
      <c r="I274" s="1" t="s">
        <v>5551</v>
      </c>
      <c r="J274" s="1">
        <v>9886180610</v>
      </c>
      <c r="K274" s="1" t="s">
        <v>148</v>
      </c>
      <c r="L274" s="1" t="s">
        <v>5552</v>
      </c>
      <c r="M274" s="1" t="s">
        <v>81</v>
      </c>
      <c r="N274" s="1" t="s">
        <v>2046</v>
      </c>
      <c r="O274" s="1"/>
      <c r="P274" s="1" t="s">
        <v>1278</v>
      </c>
      <c r="Q274" s="1" t="s">
        <v>5553</v>
      </c>
      <c r="R274" s="1" t="s">
        <v>5554</v>
      </c>
      <c r="S274" s="1">
        <v>9986112113</v>
      </c>
      <c r="T274" s="1" t="s">
        <v>496</v>
      </c>
      <c r="U274" s="1" t="s">
        <v>5555</v>
      </c>
      <c r="V274" s="1">
        <v>9986040772</v>
      </c>
      <c r="W274" s="1" t="s">
        <v>1351</v>
      </c>
      <c r="X274" s="1" t="s">
        <v>5556</v>
      </c>
      <c r="Y274" s="1" t="s">
        <v>1083</v>
      </c>
      <c r="Z274" s="1" t="s">
        <v>1084</v>
      </c>
      <c r="AA274" s="1" t="s">
        <v>5556</v>
      </c>
      <c r="AB274" s="1" t="s">
        <v>1083</v>
      </c>
      <c r="AC274" s="1" t="s">
        <v>1084</v>
      </c>
      <c r="AD274" s="1">
        <v>9.13</v>
      </c>
      <c r="AE274" s="1" t="s">
        <v>93</v>
      </c>
      <c r="AF274" s="1" t="s">
        <v>5557</v>
      </c>
      <c r="AG274" s="1" t="s">
        <v>5558</v>
      </c>
      <c r="AH274" s="1" t="s">
        <v>2420</v>
      </c>
      <c r="AI274" s="1" t="s">
        <v>165</v>
      </c>
      <c r="AJ274" s="1">
        <v>87.4</v>
      </c>
      <c r="AK274" s="1">
        <v>9.2</v>
      </c>
      <c r="AL274" s="1" t="s">
        <v>5559</v>
      </c>
      <c r="AM274" s="1" t="s">
        <v>4526</v>
      </c>
      <c r="AN274" s="1" t="s">
        <v>165</v>
      </c>
      <c r="AO274" s="1" t="s">
        <v>1065</v>
      </c>
      <c r="AP274" s="1">
        <v>80.33</v>
      </c>
      <c r="AQ274" s="1">
        <v>0</v>
      </c>
      <c r="AR274" s="1"/>
      <c r="AS274" s="1"/>
      <c r="AT274" s="1"/>
      <c r="AU274" s="1"/>
      <c r="AV274" s="1"/>
      <c r="AW274" s="1"/>
      <c r="AX274" s="1" t="s">
        <v>1088</v>
      </c>
      <c r="AY274" s="1" t="s">
        <v>5560</v>
      </c>
      <c r="AZ274" s="1" t="s">
        <v>201</v>
      </c>
      <c r="BA274" s="1" t="s">
        <v>229</v>
      </c>
      <c r="BB274" s="1">
        <v>84.2</v>
      </c>
      <c r="BC274" s="1">
        <v>9.17</v>
      </c>
      <c r="BD274" s="1"/>
      <c r="BE274" s="1"/>
      <c r="BF274" s="1"/>
      <c r="BG274" s="1"/>
      <c r="BH274" s="1"/>
      <c r="BI274" s="1"/>
      <c r="BJ274" s="1" t="s">
        <v>5561</v>
      </c>
      <c r="BK274" s="1" t="s">
        <v>5562</v>
      </c>
      <c r="BL274" s="1" t="s">
        <v>4933</v>
      </c>
      <c r="BM274" s="1" t="s">
        <v>5563</v>
      </c>
      <c r="BN274" s="1">
        <v>12</v>
      </c>
      <c r="BO274" s="1"/>
      <c r="BP274" s="1" t="str">
        <f>HYPERLINK("https://nconnect.nicmar.ac.in/storage/profile/ProfilePhoto_P25700217_691537.jpg","Download")</f>
        <v>0</v>
      </c>
      <c r="BQ274" s="3"/>
      <c r="BR274" s="3"/>
    </row>
    <row r="275" spans="1:70">
      <c r="A275" s="1" t="s">
        <v>70</v>
      </c>
      <c r="B275" s="1" t="s">
        <v>1269</v>
      </c>
      <c r="C275" s="1" t="s">
        <v>5564</v>
      </c>
      <c r="D275" s="1" t="s">
        <v>5071</v>
      </c>
      <c r="E275" s="1" t="s">
        <v>5565</v>
      </c>
      <c r="F275" s="1" t="s">
        <v>2191</v>
      </c>
      <c r="G275" s="1" t="s">
        <v>5566</v>
      </c>
      <c r="H275" s="1" t="s">
        <v>5567</v>
      </c>
      <c r="I275" s="1" t="s">
        <v>5568</v>
      </c>
      <c r="J275" s="1">
        <v>9449388363</v>
      </c>
      <c r="K275" s="1" t="s">
        <v>79</v>
      </c>
      <c r="L275" s="1" t="s">
        <v>5569</v>
      </c>
      <c r="M275" s="1" t="s">
        <v>81</v>
      </c>
      <c r="N275" s="1" t="s">
        <v>5187</v>
      </c>
      <c r="O275" s="1"/>
      <c r="P275" s="1" t="s">
        <v>1278</v>
      </c>
      <c r="Q275" s="1" t="s">
        <v>5570</v>
      </c>
      <c r="R275" s="1" t="s">
        <v>5571</v>
      </c>
      <c r="S275" s="1">
        <v>9448039294</v>
      </c>
      <c r="T275" s="1" t="s">
        <v>87</v>
      </c>
      <c r="U275" s="1" t="s">
        <v>5572</v>
      </c>
      <c r="V275" s="1">
        <v>9449371589</v>
      </c>
      <c r="W275" s="1" t="s">
        <v>273</v>
      </c>
      <c r="X275" s="1" t="s">
        <v>5573</v>
      </c>
      <c r="Y275" s="1" t="s">
        <v>4854</v>
      </c>
      <c r="Z275" s="1" t="s">
        <v>1084</v>
      </c>
      <c r="AA275" s="1" t="s">
        <v>5573</v>
      </c>
      <c r="AB275" s="1" t="s">
        <v>4854</v>
      </c>
      <c r="AC275" s="1" t="s">
        <v>1084</v>
      </c>
      <c r="AD275" s="1">
        <v>7.98</v>
      </c>
      <c r="AE275" s="1" t="s">
        <v>93</v>
      </c>
      <c r="AF275" s="1" t="s">
        <v>5574</v>
      </c>
      <c r="AG275" s="1" t="s">
        <v>5575</v>
      </c>
      <c r="AH275" s="1" t="s">
        <v>479</v>
      </c>
      <c r="AI275" s="1" t="s">
        <v>166</v>
      </c>
      <c r="AJ275" s="1">
        <v>60.2</v>
      </c>
      <c r="AK275" s="1"/>
      <c r="AL275" s="1" t="s">
        <v>5576</v>
      </c>
      <c r="AM275" s="1" t="s">
        <v>5577</v>
      </c>
      <c r="AN275" s="1" t="s">
        <v>310</v>
      </c>
      <c r="AO275" s="1" t="s">
        <v>173</v>
      </c>
      <c r="AP275" s="1">
        <v>82.5</v>
      </c>
      <c r="AQ275" s="1"/>
      <c r="AR275" s="1"/>
      <c r="AS275" s="1"/>
      <c r="AT275" s="1"/>
      <c r="AU275" s="1"/>
      <c r="AV275" s="1"/>
      <c r="AW275" s="1"/>
      <c r="AX275" s="1" t="s">
        <v>5578</v>
      </c>
      <c r="AY275" s="1" t="s">
        <v>5579</v>
      </c>
      <c r="AZ275" s="1" t="s">
        <v>2463</v>
      </c>
      <c r="BA275" s="1" t="s">
        <v>1939</v>
      </c>
      <c r="BB275" s="1">
        <v>61.9</v>
      </c>
      <c r="BC275" s="1">
        <v>6.93</v>
      </c>
      <c r="BD275" s="1"/>
      <c r="BE275" s="1"/>
      <c r="BF275" s="1"/>
      <c r="BG275" s="1"/>
      <c r="BH275" s="1"/>
      <c r="BI275" s="1"/>
      <c r="BJ275" s="1" t="s">
        <v>364</v>
      </c>
      <c r="BK275" s="1" t="s">
        <v>5580</v>
      </c>
      <c r="BL275" s="1" t="s">
        <v>1289</v>
      </c>
      <c r="BM275" s="1" t="s">
        <v>5581</v>
      </c>
      <c r="BN275" s="1">
        <v>13</v>
      </c>
      <c r="BO275" s="1"/>
      <c r="BP275" s="1" t="str">
        <f>HYPERLINK("https://nconnect.nicmar.ac.in/storage/profile/ProfilePhoto_P25700218_745321.jpg","Download")</f>
        <v>0</v>
      </c>
      <c r="BQ275" s="3"/>
      <c r="BR275" s="3"/>
    </row>
    <row r="276" spans="1:70">
      <c r="A276" s="1" t="s">
        <v>70</v>
      </c>
      <c r="B276" s="1" t="s">
        <v>1269</v>
      </c>
      <c r="C276" s="1" t="s">
        <v>5582</v>
      </c>
      <c r="D276" s="1" t="s">
        <v>5583</v>
      </c>
      <c r="E276" s="1" t="s">
        <v>2289</v>
      </c>
      <c r="F276" s="1" t="s">
        <v>292</v>
      </c>
      <c r="G276" s="1" t="s">
        <v>5584</v>
      </c>
      <c r="H276" s="1" t="s">
        <v>5585</v>
      </c>
      <c r="I276" s="1" t="s">
        <v>5586</v>
      </c>
      <c r="J276" s="1">
        <v>8104723092</v>
      </c>
      <c r="K276" s="1" t="s">
        <v>79</v>
      </c>
      <c r="L276" s="1" t="s">
        <v>5587</v>
      </c>
      <c r="M276" s="1" t="s">
        <v>81</v>
      </c>
      <c r="N276" s="1" t="s">
        <v>2295</v>
      </c>
      <c r="O276" s="1"/>
      <c r="P276" s="1" t="s">
        <v>1323</v>
      </c>
      <c r="Q276" s="1" t="s">
        <v>5588</v>
      </c>
      <c r="R276" s="1" t="s">
        <v>5589</v>
      </c>
      <c r="S276" s="1">
        <v>9930730964</v>
      </c>
      <c r="T276" s="1" t="s">
        <v>120</v>
      </c>
      <c r="U276" s="1" t="s">
        <v>5590</v>
      </c>
      <c r="V276" s="1">
        <v>9769768556</v>
      </c>
      <c r="W276" s="1" t="s">
        <v>89</v>
      </c>
      <c r="X276" s="1" t="s">
        <v>5591</v>
      </c>
      <c r="Y276" s="1" t="s">
        <v>995</v>
      </c>
      <c r="Z276" s="1" t="s">
        <v>92</v>
      </c>
      <c r="AA276" s="1" t="s">
        <v>5592</v>
      </c>
      <c r="AB276" s="1" t="s">
        <v>1623</v>
      </c>
      <c r="AC276" s="1" t="s">
        <v>92</v>
      </c>
      <c r="AD276" s="1">
        <v>8.52</v>
      </c>
      <c r="AE276" s="1" t="s">
        <v>93</v>
      </c>
      <c r="AF276" s="1" t="s">
        <v>5593</v>
      </c>
      <c r="AG276" s="1" t="s">
        <v>160</v>
      </c>
      <c r="AH276" s="1" t="s">
        <v>101</v>
      </c>
      <c r="AI276" s="1" t="s">
        <v>409</v>
      </c>
      <c r="AJ276" s="1">
        <v>63.2</v>
      </c>
      <c r="AK276" s="1"/>
      <c r="AL276" s="1"/>
      <c r="AM276" s="1"/>
      <c r="AN276" s="1"/>
      <c r="AO276" s="1"/>
      <c r="AP276" s="1"/>
      <c r="AQ276" s="1"/>
      <c r="AR276" s="1" t="s">
        <v>434</v>
      </c>
      <c r="AS276" s="1" t="s">
        <v>5594</v>
      </c>
      <c r="AT276" s="1" t="s">
        <v>310</v>
      </c>
      <c r="AU276" s="1" t="s">
        <v>105</v>
      </c>
      <c r="AV276" s="1">
        <v>83.3</v>
      </c>
      <c r="AW276" s="1"/>
      <c r="AX276" s="1" t="s">
        <v>253</v>
      </c>
      <c r="AY276" s="1" t="s">
        <v>4455</v>
      </c>
      <c r="AZ276" s="1" t="s">
        <v>2693</v>
      </c>
      <c r="BA276" s="1" t="s">
        <v>1584</v>
      </c>
      <c r="BB276" s="1">
        <v>68</v>
      </c>
      <c r="BC276" s="1">
        <v>7.51</v>
      </c>
      <c r="BD276" s="1"/>
      <c r="BE276" s="1"/>
      <c r="BF276" s="1"/>
      <c r="BG276" s="1"/>
      <c r="BH276" s="1"/>
      <c r="BI276" s="1"/>
      <c r="BJ276" s="1" t="s">
        <v>364</v>
      </c>
      <c r="BK276" s="1"/>
      <c r="BL276" s="1"/>
      <c r="BM276" s="1" t="s">
        <v>5595</v>
      </c>
      <c r="BN276" s="1">
        <v>35</v>
      </c>
      <c r="BO276" s="1"/>
      <c r="BP276" s="1" t="str">
        <f>HYPERLINK("https://nconnect.nicmar.ac.in/storage/profile/ProfilePhoto_P25700219_247813.jpg","Download")</f>
        <v>0</v>
      </c>
      <c r="BQ276" s="3"/>
      <c r="BR276" s="3"/>
    </row>
    <row r="277" spans="1:70">
      <c r="A277" s="1" t="s">
        <v>70</v>
      </c>
      <c r="B277" s="1" t="s">
        <v>1269</v>
      </c>
      <c r="C277" s="1" t="s">
        <v>5596</v>
      </c>
      <c r="D277" s="1" t="s">
        <v>5597</v>
      </c>
      <c r="E277" s="1"/>
      <c r="F277" s="1" t="s">
        <v>5598</v>
      </c>
      <c r="G277" s="1" t="s">
        <v>5599</v>
      </c>
      <c r="H277" s="1" t="s">
        <v>5600</v>
      </c>
      <c r="I277" s="1" t="s">
        <v>5601</v>
      </c>
      <c r="J277" s="1">
        <v>9581678604</v>
      </c>
      <c r="K277" s="1" t="s">
        <v>79</v>
      </c>
      <c r="L277" s="1" t="s">
        <v>5602</v>
      </c>
      <c r="M277" s="1" t="s">
        <v>81</v>
      </c>
      <c r="N277" s="1" t="s">
        <v>5603</v>
      </c>
      <c r="O277" s="1"/>
      <c r="P277" s="1" t="s">
        <v>1323</v>
      </c>
      <c r="Q277" s="1" t="s">
        <v>5604</v>
      </c>
      <c r="R277" s="1" t="s">
        <v>5605</v>
      </c>
      <c r="S277" s="1">
        <v>9885118637</v>
      </c>
      <c r="T277" s="1" t="s">
        <v>5606</v>
      </c>
      <c r="U277" s="1" t="s">
        <v>5607</v>
      </c>
      <c r="V277" s="1">
        <v>7013775932</v>
      </c>
      <c r="W277" s="1" t="s">
        <v>156</v>
      </c>
      <c r="X277" s="1" t="s">
        <v>5608</v>
      </c>
      <c r="Y277" s="1" t="s">
        <v>1513</v>
      </c>
      <c r="Z277" s="1" t="s">
        <v>276</v>
      </c>
      <c r="AA277" s="1" t="s">
        <v>5608</v>
      </c>
      <c r="AB277" s="1" t="s">
        <v>1513</v>
      </c>
      <c r="AC277" s="1" t="s">
        <v>276</v>
      </c>
      <c r="AD277" s="1">
        <v>7.93</v>
      </c>
      <c r="AE277" s="1" t="s">
        <v>93</v>
      </c>
      <c r="AF277" s="1" t="s">
        <v>5609</v>
      </c>
      <c r="AG277" s="1" t="s">
        <v>5610</v>
      </c>
      <c r="AH277" s="1" t="s">
        <v>101</v>
      </c>
      <c r="AI277" s="1" t="s">
        <v>308</v>
      </c>
      <c r="AJ277" s="1">
        <v>95</v>
      </c>
      <c r="AK277" s="1">
        <v>9.5</v>
      </c>
      <c r="AL277" s="1" t="s">
        <v>612</v>
      </c>
      <c r="AM277" s="1" t="s">
        <v>5611</v>
      </c>
      <c r="AN277" s="1" t="s">
        <v>433</v>
      </c>
      <c r="AO277" s="1" t="s">
        <v>506</v>
      </c>
      <c r="AP277" s="1">
        <v>78.4</v>
      </c>
      <c r="AQ277" s="1">
        <v>7.84</v>
      </c>
      <c r="AR277" s="1"/>
      <c r="AS277" s="1"/>
      <c r="AT277" s="1"/>
      <c r="AU277" s="1"/>
      <c r="AV277" s="1"/>
      <c r="AW277" s="1"/>
      <c r="AX277" s="1" t="s">
        <v>1359</v>
      </c>
      <c r="AY277" s="1" t="s">
        <v>5612</v>
      </c>
      <c r="AZ277" s="1" t="s">
        <v>1051</v>
      </c>
      <c r="BA277" s="1" t="s">
        <v>1584</v>
      </c>
      <c r="BB277" s="1">
        <v>78.2</v>
      </c>
      <c r="BC277" s="1">
        <v>7.82</v>
      </c>
      <c r="BD277" s="1"/>
      <c r="BE277" s="1"/>
      <c r="BF277" s="1"/>
      <c r="BG277" s="1"/>
      <c r="BH277" s="1"/>
      <c r="BI277" s="1"/>
      <c r="BJ277" s="1" t="s">
        <v>364</v>
      </c>
      <c r="BK277" s="1"/>
      <c r="BL277" s="1"/>
      <c r="BM277" s="1" t="s">
        <v>5613</v>
      </c>
      <c r="BN277" s="1">
        <v>13</v>
      </c>
      <c r="BO277" s="1"/>
      <c r="BP277" s="1" t="str">
        <f>HYPERLINK("https://nconnect.nicmar.ac.in/storage/profile/ProfilePhoto_P25700220_175482.jpg","Download")</f>
        <v>0</v>
      </c>
      <c r="BQ277" s="3"/>
      <c r="BR277" s="3"/>
    </row>
    <row r="278" spans="1:70">
      <c r="A278" s="1" t="s">
        <v>70</v>
      </c>
      <c r="B278" s="1" t="s">
        <v>1269</v>
      </c>
      <c r="C278" s="1" t="s">
        <v>5614</v>
      </c>
      <c r="D278" s="1" t="s">
        <v>5615</v>
      </c>
      <c r="E278" s="1"/>
      <c r="F278" s="1" t="s">
        <v>1226</v>
      </c>
      <c r="G278" s="1" t="s">
        <v>5616</v>
      </c>
      <c r="H278" s="1" t="s">
        <v>5617</v>
      </c>
      <c r="I278" s="1" t="s">
        <v>5618</v>
      </c>
      <c r="J278" s="1">
        <v>7838679369</v>
      </c>
      <c r="K278" s="1" t="s">
        <v>79</v>
      </c>
      <c r="L278" s="1" t="s">
        <v>5619</v>
      </c>
      <c r="M278" s="1" t="s">
        <v>81</v>
      </c>
      <c r="N278" s="1" t="s">
        <v>493</v>
      </c>
      <c r="O278" s="1"/>
      <c r="P278" s="1" t="s">
        <v>1278</v>
      </c>
      <c r="Q278" s="1" t="s">
        <v>5620</v>
      </c>
      <c r="R278" s="1" t="s">
        <v>5621</v>
      </c>
      <c r="S278" s="1">
        <v>9717364227</v>
      </c>
      <c r="T278" s="1" t="s">
        <v>120</v>
      </c>
      <c r="U278" s="1" t="s">
        <v>5622</v>
      </c>
      <c r="V278" s="1">
        <v>9873513198</v>
      </c>
      <c r="W278" s="1" t="s">
        <v>651</v>
      </c>
      <c r="X278" s="1" t="s">
        <v>5623</v>
      </c>
      <c r="Y278" s="1" t="s">
        <v>1957</v>
      </c>
      <c r="Z278" s="1" t="s">
        <v>1355</v>
      </c>
      <c r="AA278" s="1" t="s">
        <v>5623</v>
      </c>
      <c r="AB278" s="1" t="s">
        <v>1957</v>
      </c>
      <c r="AC278" s="1" t="s">
        <v>1355</v>
      </c>
      <c r="AD278" s="1">
        <v>8.92</v>
      </c>
      <c r="AE278" s="1" t="s">
        <v>93</v>
      </c>
      <c r="AF278" s="1" t="s">
        <v>501</v>
      </c>
      <c r="AG278" s="1" t="s">
        <v>5624</v>
      </c>
      <c r="AH278" s="1" t="s">
        <v>279</v>
      </c>
      <c r="AI278" s="1" t="s">
        <v>165</v>
      </c>
      <c r="AJ278" s="1">
        <v>95</v>
      </c>
      <c r="AK278" s="1">
        <v>10</v>
      </c>
      <c r="AL278" s="1" t="s">
        <v>501</v>
      </c>
      <c r="AM278" s="1" t="s">
        <v>5624</v>
      </c>
      <c r="AN278" s="1" t="s">
        <v>1307</v>
      </c>
      <c r="AO278" s="1" t="s">
        <v>308</v>
      </c>
      <c r="AP278" s="1">
        <v>86.66</v>
      </c>
      <c r="AQ278" s="1"/>
      <c r="AR278" s="1"/>
      <c r="AS278" s="1"/>
      <c r="AT278" s="1"/>
      <c r="AU278" s="1"/>
      <c r="AV278" s="1"/>
      <c r="AW278" s="1"/>
      <c r="AX278" s="1" t="s">
        <v>5625</v>
      </c>
      <c r="AY278" s="1" t="s">
        <v>5626</v>
      </c>
      <c r="AZ278" s="1" t="s">
        <v>310</v>
      </c>
      <c r="BA278" s="1" t="s">
        <v>386</v>
      </c>
      <c r="BB278" s="1">
        <v>88.1</v>
      </c>
      <c r="BC278" s="1"/>
      <c r="BD278" s="1"/>
      <c r="BE278" s="1"/>
      <c r="BF278" s="1"/>
      <c r="BG278" s="1"/>
      <c r="BH278" s="1"/>
      <c r="BI278" s="1"/>
      <c r="BJ278" s="1" t="s">
        <v>2835</v>
      </c>
      <c r="BK278" s="1"/>
      <c r="BL278" s="1"/>
      <c r="BM278" s="1" t="s">
        <v>5627</v>
      </c>
      <c r="BN278" s="1">
        <v>41</v>
      </c>
      <c r="BO278" s="1" t="s">
        <v>5628</v>
      </c>
      <c r="BP278" s="1" t="str">
        <f>HYPERLINK("https://nconnect.nicmar.ac.in/storage/profile/ProfilePhoto_P25700222_137948.jpg","Download")</f>
        <v>0</v>
      </c>
      <c r="BQ278" s="3"/>
      <c r="BR278" s="3"/>
    </row>
    <row r="279" spans="1:70">
      <c r="A279" s="1" t="s">
        <v>70</v>
      </c>
      <c r="B279" s="1" t="s">
        <v>1269</v>
      </c>
      <c r="C279" s="1" t="s">
        <v>5629</v>
      </c>
      <c r="D279" s="1" t="s">
        <v>643</v>
      </c>
      <c r="E279" s="1" t="s">
        <v>5472</v>
      </c>
      <c r="F279" s="1" t="s">
        <v>5630</v>
      </c>
      <c r="G279" s="1" t="s">
        <v>5631</v>
      </c>
      <c r="H279" s="1" t="s">
        <v>5632</v>
      </c>
      <c r="I279" s="1" t="s">
        <v>5633</v>
      </c>
      <c r="J279" s="1">
        <v>8669887387</v>
      </c>
      <c r="K279" s="1" t="s">
        <v>79</v>
      </c>
      <c r="L279" s="1" t="s">
        <v>5634</v>
      </c>
      <c r="M279" s="1" t="s">
        <v>81</v>
      </c>
      <c r="N279" s="1" t="s">
        <v>4300</v>
      </c>
      <c r="O279" s="1"/>
      <c r="P279" s="1" t="s">
        <v>1278</v>
      </c>
      <c r="Q279" s="1" t="s">
        <v>5635</v>
      </c>
      <c r="R279" s="1" t="s">
        <v>5636</v>
      </c>
      <c r="S279" s="1">
        <v>8669887387</v>
      </c>
      <c r="T279" s="1" t="s">
        <v>5637</v>
      </c>
      <c r="U279" s="1" t="s">
        <v>5638</v>
      </c>
      <c r="V279" s="1">
        <v>7558383260</v>
      </c>
      <c r="W279" s="1" t="s">
        <v>156</v>
      </c>
      <c r="X279" s="1" t="s">
        <v>5639</v>
      </c>
      <c r="Y279" s="1" t="s">
        <v>523</v>
      </c>
      <c r="Z279" s="1" t="s">
        <v>92</v>
      </c>
      <c r="AA279" s="1" t="s">
        <v>5639</v>
      </c>
      <c r="AB279" s="1" t="s">
        <v>523</v>
      </c>
      <c r="AC279" s="1" t="s">
        <v>92</v>
      </c>
      <c r="AD279" s="1">
        <v>8.17</v>
      </c>
      <c r="AE279" s="1" t="s">
        <v>93</v>
      </c>
      <c r="AF279" s="1" t="s">
        <v>5640</v>
      </c>
      <c r="AG279" s="1" t="s">
        <v>160</v>
      </c>
      <c r="AH279" s="1" t="s">
        <v>96</v>
      </c>
      <c r="AI279" s="1" t="s">
        <v>97</v>
      </c>
      <c r="AJ279" s="1">
        <v>88.8</v>
      </c>
      <c r="AK279" s="1"/>
      <c r="AL279" s="1" t="s">
        <v>5641</v>
      </c>
      <c r="AM279" s="1" t="s">
        <v>160</v>
      </c>
      <c r="AN279" s="1" t="s">
        <v>162</v>
      </c>
      <c r="AO279" s="1" t="s">
        <v>1332</v>
      </c>
      <c r="AP279" s="1">
        <v>61.54</v>
      </c>
      <c r="AQ279" s="1"/>
      <c r="AR279" s="1"/>
      <c r="AS279" s="1"/>
      <c r="AT279" s="1"/>
      <c r="AU279" s="1"/>
      <c r="AV279" s="1"/>
      <c r="AW279" s="1"/>
      <c r="AX279" s="1" t="s">
        <v>361</v>
      </c>
      <c r="AY279" s="1" t="s">
        <v>5642</v>
      </c>
      <c r="AZ279" s="1" t="s">
        <v>165</v>
      </c>
      <c r="BA279" s="1" t="s">
        <v>174</v>
      </c>
      <c r="BB279" s="1">
        <v>71.21</v>
      </c>
      <c r="BC279" s="1">
        <v>7.8</v>
      </c>
      <c r="BD279" s="1"/>
      <c r="BE279" s="1"/>
      <c r="BF279" s="1"/>
      <c r="BG279" s="1"/>
      <c r="BH279" s="1"/>
      <c r="BI279" s="1"/>
      <c r="BJ279" s="1" t="s">
        <v>5643</v>
      </c>
      <c r="BK279" s="1" t="s">
        <v>5644</v>
      </c>
      <c r="BL279" s="1" t="s">
        <v>5645</v>
      </c>
      <c r="BM279" s="1" t="s">
        <v>5646</v>
      </c>
      <c r="BN279" s="1">
        <v>24</v>
      </c>
      <c r="BO279" s="1"/>
      <c r="BP279" s="1" t="str">
        <f>HYPERLINK("https://nconnect.nicmar.ac.in/storage/profile/ProfilePhoto_P25700223_327691.jpg","Download")</f>
        <v>0</v>
      </c>
      <c r="BQ279" s="3"/>
      <c r="BR279" s="3"/>
    </row>
    <row r="280" spans="1:70">
      <c r="A280" s="1" t="s">
        <v>70</v>
      </c>
      <c r="B280" s="1" t="s">
        <v>1269</v>
      </c>
      <c r="C280" s="1" t="s">
        <v>5647</v>
      </c>
      <c r="D280" s="1" t="s">
        <v>2696</v>
      </c>
      <c r="E280" s="1" t="s">
        <v>5648</v>
      </c>
      <c r="F280" s="1" t="s">
        <v>5649</v>
      </c>
      <c r="G280" s="1" t="s">
        <v>5650</v>
      </c>
      <c r="H280" s="1" t="s">
        <v>5651</v>
      </c>
      <c r="I280" s="1" t="s">
        <v>5652</v>
      </c>
      <c r="J280" s="1">
        <v>7020212917</v>
      </c>
      <c r="K280" s="1" t="s">
        <v>79</v>
      </c>
      <c r="L280" s="1" t="s">
        <v>5653</v>
      </c>
      <c r="M280" s="1" t="s">
        <v>81</v>
      </c>
      <c r="N280" s="1" t="s">
        <v>5654</v>
      </c>
      <c r="O280" s="1"/>
      <c r="P280" s="1" t="s">
        <v>1323</v>
      </c>
      <c r="Q280" s="1" t="s">
        <v>5655</v>
      </c>
      <c r="R280" s="1" t="s">
        <v>5656</v>
      </c>
      <c r="S280" s="1">
        <v>9860551989</v>
      </c>
      <c r="T280" s="1" t="s">
        <v>5657</v>
      </c>
      <c r="U280" s="1" t="s">
        <v>5658</v>
      </c>
      <c r="V280" s="1">
        <v>9860551989</v>
      </c>
      <c r="W280" s="1" t="s">
        <v>5659</v>
      </c>
      <c r="X280" s="1" t="s">
        <v>5660</v>
      </c>
      <c r="Y280" s="1" t="s">
        <v>191</v>
      </c>
      <c r="Z280" s="1" t="s">
        <v>92</v>
      </c>
      <c r="AA280" s="1" t="s">
        <v>5661</v>
      </c>
      <c r="AB280" s="1" t="s">
        <v>91</v>
      </c>
      <c r="AC280" s="1" t="s">
        <v>92</v>
      </c>
      <c r="AD280" s="1">
        <v>7.52</v>
      </c>
      <c r="AE280" s="1" t="s">
        <v>93</v>
      </c>
      <c r="AF280" s="1" t="s">
        <v>5662</v>
      </c>
      <c r="AG280" s="1" t="s">
        <v>160</v>
      </c>
      <c r="AH280" s="1" t="s">
        <v>97</v>
      </c>
      <c r="AI280" s="1" t="s">
        <v>456</v>
      </c>
      <c r="AJ280" s="1">
        <v>68.8</v>
      </c>
      <c r="AK280" s="1">
        <v>0</v>
      </c>
      <c r="AL280" s="1" t="s">
        <v>5663</v>
      </c>
      <c r="AM280" s="1" t="s">
        <v>3539</v>
      </c>
      <c r="AN280" s="1" t="s">
        <v>1332</v>
      </c>
      <c r="AO280" s="1" t="s">
        <v>457</v>
      </c>
      <c r="AP280" s="1">
        <v>80.46</v>
      </c>
      <c r="AQ280" s="1">
        <v>0</v>
      </c>
      <c r="AR280" s="1"/>
      <c r="AS280" s="1"/>
      <c r="AT280" s="1"/>
      <c r="AU280" s="1"/>
      <c r="AV280" s="1"/>
      <c r="AW280" s="1"/>
      <c r="AX280" s="1" t="s">
        <v>5664</v>
      </c>
      <c r="AY280" s="1" t="s">
        <v>5665</v>
      </c>
      <c r="AZ280" s="1" t="s">
        <v>101</v>
      </c>
      <c r="BA280" s="1" t="s">
        <v>105</v>
      </c>
      <c r="BB280" s="1">
        <v>80.8</v>
      </c>
      <c r="BC280" s="1">
        <v>8.58</v>
      </c>
      <c r="BD280" s="1"/>
      <c r="BE280" s="1"/>
      <c r="BF280" s="1"/>
      <c r="BG280" s="1"/>
      <c r="BH280" s="1"/>
      <c r="BI280" s="1"/>
      <c r="BJ280" s="1" t="s">
        <v>1383</v>
      </c>
      <c r="BK280" s="1"/>
      <c r="BL280" s="1"/>
      <c r="BM280" s="1" t="s">
        <v>5666</v>
      </c>
      <c r="BN280" s="1">
        <v>77</v>
      </c>
      <c r="BO280" s="1"/>
      <c r="BP280" s="1" t="str">
        <f>HYPERLINK("https://nconnect.nicmar.ac.in/storage/profile/ProfilePhoto_P25700224_261739.jpg","Download")</f>
        <v>0</v>
      </c>
      <c r="BQ280" s="3"/>
      <c r="BR280" s="3"/>
    </row>
    <row r="281" spans="1:70">
      <c r="A281" s="1" t="s">
        <v>70</v>
      </c>
      <c r="B281" s="1" t="s">
        <v>1269</v>
      </c>
      <c r="C281" s="1" t="s">
        <v>5667</v>
      </c>
      <c r="D281" s="1" t="s">
        <v>5668</v>
      </c>
      <c r="E281" s="1"/>
      <c r="F281" s="1" t="s">
        <v>2797</v>
      </c>
      <c r="G281" s="1" t="s">
        <v>5669</v>
      </c>
      <c r="H281" s="1" t="s">
        <v>5670</v>
      </c>
      <c r="I281" s="1" t="s">
        <v>5671</v>
      </c>
      <c r="J281" s="1">
        <v>7025870364</v>
      </c>
      <c r="K281" s="1" t="s">
        <v>148</v>
      </c>
      <c r="L281" s="1" t="s">
        <v>5672</v>
      </c>
      <c r="M281" s="1" t="s">
        <v>81</v>
      </c>
      <c r="N281" s="1" t="s">
        <v>5673</v>
      </c>
      <c r="O281" s="1"/>
      <c r="P281" s="1" t="s">
        <v>1323</v>
      </c>
      <c r="Q281" s="1" t="s">
        <v>5674</v>
      </c>
      <c r="R281" s="1" t="s">
        <v>5675</v>
      </c>
      <c r="S281" s="1">
        <v>9744453264</v>
      </c>
      <c r="T281" s="1" t="s">
        <v>5676</v>
      </c>
      <c r="U281" s="1" t="s">
        <v>5677</v>
      </c>
      <c r="V281" s="1">
        <v>9562979284</v>
      </c>
      <c r="W281" s="1" t="s">
        <v>273</v>
      </c>
      <c r="X281" s="1" t="s">
        <v>5678</v>
      </c>
      <c r="Y281" s="1" t="s">
        <v>5679</v>
      </c>
      <c r="Z281" s="1" t="s">
        <v>125</v>
      </c>
      <c r="AA281" s="1" t="s">
        <v>5678</v>
      </c>
      <c r="AB281" s="1" t="s">
        <v>5679</v>
      </c>
      <c r="AC281" s="1" t="s">
        <v>125</v>
      </c>
      <c r="AD281" s="1">
        <v>9.02</v>
      </c>
      <c r="AE281" s="1" t="s">
        <v>93</v>
      </c>
      <c r="AF281" s="1" t="s">
        <v>5680</v>
      </c>
      <c r="AG281" s="1" t="s">
        <v>5681</v>
      </c>
      <c r="AH281" s="1" t="s">
        <v>479</v>
      </c>
      <c r="AI281" s="1" t="s">
        <v>166</v>
      </c>
      <c r="AJ281" s="1">
        <v>90</v>
      </c>
      <c r="AK281" s="1">
        <v>0</v>
      </c>
      <c r="AL281" s="1" t="s">
        <v>5680</v>
      </c>
      <c r="AM281" s="1" t="s">
        <v>5681</v>
      </c>
      <c r="AN281" s="1" t="s">
        <v>308</v>
      </c>
      <c r="AO281" s="1" t="s">
        <v>173</v>
      </c>
      <c r="AP281" s="1">
        <v>93.92</v>
      </c>
      <c r="AQ281" s="1">
        <v>0</v>
      </c>
      <c r="AR281" s="1"/>
      <c r="AS281" s="1"/>
      <c r="AT281" s="1"/>
      <c r="AU281" s="1"/>
      <c r="AV281" s="1"/>
      <c r="AW281" s="1"/>
      <c r="AX281" s="1" t="s">
        <v>132</v>
      </c>
      <c r="AY281" s="1" t="s">
        <v>5682</v>
      </c>
      <c r="AZ281" s="1" t="s">
        <v>2463</v>
      </c>
      <c r="BA281" s="1" t="s">
        <v>202</v>
      </c>
      <c r="BB281" s="1">
        <v>90.8</v>
      </c>
      <c r="BC281" s="1">
        <v>9.08</v>
      </c>
      <c r="BD281" s="1"/>
      <c r="BE281" s="1"/>
      <c r="BF281" s="1"/>
      <c r="BG281" s="1"/>
      <c r="BH281" s="1"/>
      <c r="BI281" s="1"/>
      <c r="BJ281" s="1" t="s">
        <v>5683</v>
      </c>
      <c r="BK281" s="1" t="s">
        <v>5684</v>
      </c>
      <c r="BL281" s="1" t="s">
        <v>1920</v>
      </c>
      <c r="BM281" s="1" t="s">
        <v>5685</v>
      </c>
      <c r="BN281" s="1">
        <v>12</v>
      </c>
      <c r="BO281" s="1" t="s">
        <v>5686</v>
      </c>
      <c r="BP281" s="1" t="str">
        <f>HYPERLINK("https://nconnect.nicmar.ac.in/storage/profile/ProfilePhoto_P25700225_983512.jpg","Download")</f>
        <v>0</v>
      </c>
      <c r="BQ281" s="3"/>
      <c r="BR281" s="3"/>
    </row>
    <row r="282" spans="1:70">
      <c r="A282" s="1" t="s">
        <v>70</v>
      </c>
      <c r="B282" s="1" t="s">
        <v>1269</v>
      </c>
      <c r="C282" s="1" t="s">
        <v>5687</v>
      </c>
      <c r="D282" s="1" t="s">
        <v>834</v>
      </c>
      <c r="E282" s="1" t="s">
        <v>5688</v>
      </c>
      <c r="F282" s="1" t="s">
        <v>2151</v>
      </c>
      <c r="G282" s="1" t="s">
        <v>5689</v>
      </c>
      <c r="H282" s="1" t="s">
        <v>5690</v>
      </c>
      <c r="I282" s="1" t="s">
        <v>5691</v>
      </c>
      <c r="J282" s="1">
        <v>7004652048</v>
      </c>
      <c r="K282" s="1" t="s">
        <v>148</v>
      </c>
      <c r="L282" s="1" t="s">
        <v>5692</v>
      </c>
      <c r="M282" s="1" t="s">
        <v>81</v>
      </c>
      <c r="N282" s="1" t="s">
        <v>5056</v>
      </c>
      <c r="O282" s="1"/>
      <c r="P282" s="1" t="s">
        <v>1298</v>
      </c>
      <c r="Q282" s="1" t="s">
        <v>5693</v>
      </c>
      <c r="R282" s="1" t="s">
        <v>5694</v>
      </c>
      <c r="S282" s="1">
        <v>9386381598</v>
      </c>
      <c r="T282" s="1" t="s">
        <v>1398</v>
      </c>
      <c r="U282" s="1" t="s">
        <v>5695</v>
      </c>
      <c r="V282" s="1">
        <v>9835041874</v>
      </c>
      <c r="W282" s="1" t="s">
        <v>156</v>
      </c>
      <c r="X282" s="1" t="s">
        <v>5696</v>
      </c>
      <c r="Y282" s="1" t="s">
        <v>845</v>
      </c>
      <c r="Z282" s="1" t="s">
        <v>846</v>
      </c>
      <c r="AA282" s="1" t="s">
        <v>5696</v>
      </c>
      <c r="AB282" s="1" t="s">
        <v>845</v>
      </c>
      <c r="AC282" s="1" t="s">
        <v>846</v>
      </c>
      <c r="AD282" s="1">
        <v>8.31</v>
      </c>
      <c r="AE282" s="1" t="s">
        <v>93</v>
      </c>
      <c r="AF282" s="1" t="s">
        <v>5697</v>
      </c>
      <c r="AG282" s="1" t="s">
        <v>5698</v>
      </c>
      <c r="AH282" s="1" t="s">
        <v>4564</v>
      </c>
      <c r="AI282" s="1" t="s">
        <v>1197</v>
      </c>
      <c r="AJ282" s="1">
        <v>79.8</v>
      </c>
      <c r="AK282" s="1">
        <v>8.4</v>
      </c>
      <c r="AL282" s="1" t="s">
        <v>5699</v>
      </c>
      <c r="AM282" s="1" t="s">
        <v>5700</v>
      </c>
      <c r="AN282" s="1" t="s">
        <v>337</v>
      </c>
      <c r="AO282" s="1" t="s">
        <v>5701</v>
      </c>
      <c r="AP282" s="1">
        <v>75</v>
      </c>
      <c r="AQ282" s="1"/>
      <c r="AR282" s="1"/>
      <c r="AS282" s="1"/>
      <c r="AT282" s="1"/>
      <c r="AU282" s="1"/>
      <c r="AV282" s="1"/>
      <c r="AW282" s="1"/>
      <c r="AX282" s="1" t="s">
        <v>2078</v>
      </c>
      <c r="AY282" s="1" t="s">
        <v>5702</v>
      </c>
      <c r="AZ282" s="1" t="s">
        <v>383</v>
      </c>
      <c r="BA282" s="1" t="s">
        <v>506</v>
      </c>
      <c r="BB282" s="1">
        <v>78.5</v>
      </c>
      <c r="BC282" s="1">
        <v>8.6</v>
      </c>
      <c r="BD282" s="1"/>
      <c r="BE282" s="1"/>
      <c r="BF282" s="1"/>
      <c r="BG282" s="1"/>
      <c r="BH282" s="1"/>
      <c r="BI282" s="1"/>
      <c r="BJ282" s="1" t="s">
        <v>5703</v>
      </c>
      <c r="BK282" s="1" t="s">
        <v>5704</v>
      </c>
      <c r="BL282" s="1" t="s">
        <v>5705</v>
      </c>
      <c r="BM282" s="1" t="s">
        <v>5706</v>
      </c>
      <c r="BN282" s="1">
        <v>7</v>
      </c>
      <c r="BO282" s="1" t="s">
        <v>5707</v>
      </c>
      <c r="BP282" s="1" t="str">
        <f>HYPERLINK("https://nconnect.nicmar.ac.in/storage/profile/ProfilePhoto_P25700227_241753.jpg","Download")</f>
        <v>0</v>
      </c>
      <c r="BQ282" s="3"/>
      <c r="BR282" s="3"/>
    </row>
    <row r="283" spans="1:70">
      <c r="A283" s="1" t="s">
        <v>70</v>
      </c>
      <c r="B283" s="1" t="s">
        <v>1269</v>
      </c>
      <c r="C283" s="1" t="s">
        <v>5708</v>
      </c>
      <c r="D283" s="1" t="s">
        <v>5709</v>
      </c>
      <c r="E283" s="1"/>
      <c r="F283" s="1" t="s">
        <v>345</v>
      </c>
      <c r="G283" s="1" t="s">
        <v>5710</v>
      </c>
      <c r="H283" s="1" t="s">
        <v>5711</v>
      </c>
      <c r="I283" s="1" t="s">
        <v>5712</v>
      </c>
      <c r="J283" s="1">
        <v>6397491448</v>
      </c>
      <c r="K283" s="1" t="s">
        <v>79</v>
      </c>
      <c r="L283" s="1" t="s">
        <v>5713</v>
      </c>
      <c r="M283" s="1" t="s">
        <v>81</v>
      </c>
      <c r="N283" s="1" t="s">
        <v>5056</v>
      </c>
      <c r="O283" s="1"/>
      <c r="P283" s="1" t="s">
        <v>1323</v>
      </c>
      <c r="Q283" s="1" t="s">
        <v>5714</v>
      </c>
      <c r="R283" s="1" t="s">
        <v>5715</v>
      </c>
      <c r="S283" s="1">
        <v>6260257146</v>
      </c>
      <c r="T283" s="1" t="s">
        <v>863</v>
      </c>
      <c r="U283" s="1" t="s">
        <v>5716</v>
      </c>
      <c r="V283" s="1">
        <v>8218895451</v>
      </c>
      <c r="W283" s="1" t="s">
        <v>156</v>
      </c>
      <c r="X283" s="1" t="s">
        <v>5717</v>
      </c>
      <c r="Y283" s="1" t="s">
        <v>191</v>
      </c>
      <c r="Z283" s="1" t="s">
        <v>92</v>
      </c>
      <c r="AA283" s="1" t="s">
        <v>5718</v>
      </c>
      <c r="AB283" s="1" t="s">
        <v>5719</v>
      </c>
      <c r="AC283" s="1" t="s">
        <v>1355</v>
      </c>
      <c r="AD283" s="1">
        <v>9.0</v>
      </c>
      <c r="AE283" s="1" t="s">
        <v>93</v>
      </c>
      <c r="AF283" s="1" t="s">
        <v>5720</v>
      </c>
      <c r="AG283" s="1" t="s">
        <v>5721</v>
      </c>
      <c r="AH283" s="1" t="s">
        <v>97</v>
      </c>
      <c r="AI283" s="1" t="s">
        <v>527</v>
      </c>
      <c r="AJ283" s="1">
        <v>87.4</v>
      </c>
      <c r="AK283" s="1">
        <v>9.2</v>
      </c>
      <c r="AL283" s="1" t="s">
        <v>5720</v>
      </c>
      <c r="AM283" s="1" t="s">
        <v>5721</v>
      </c>
      <c r="AN283" s="1" t="s">
        <v>195</v>
      </c>
      <c r="AO283" s="1" t="s">
        <v>166</v>
      </c>
      <c r="AP283" s="1">
        <v>85.2</v>
      </c>
      <c r="AQ283" s="1"/>
      <c r="AR283" s="1"/>
      <c r="AS283" s="1"/>
      <c r="AT283" s="1"/>
      <c r="AU283" s="1"/>
      <c r="AV283" s="1"/>
      <c r="AW283" s="1"/>
      <c r="AX283" s="1" t="s">
        <v>5722</v>
      </c>
      <c r="AY283" s="1" t="s">
        <v>5723</v>
      </c>
      <c r="AZ283" s="1" t="s">
        <v>412</v>
      </c>
      <c r="BA283" s="1" t="s">
        <v>413</v>
      </c>
      <c r="BB283" s="1">
        <v>94.2</v>
      </c>
      <c r="BC283" s="1">
        <v>9.42</v>
      </c>
      <c r="BD283" s="1"/>
      <c r="BE283" s="1"/>
      <c r="BF283" s="1"/>
      <c r="BG283" s="1"/>
      <c r="BH283" s="1"/>
      <c r="BI283" s="1"/>
      <c r="BJ283" s="1" t="s">
        <v>1383</v>
      </c>
      <c r="BK283" s="1"/>
      <c r="BL283" s="1"/>
      <c r="BM283" s="1" t="s">
        <v>5724</v>
      </c>
      <c r="BN283" s="1">
        <v>12</v>
      </c>
      <c r="BO283" s="1"/>
      <c r="BP283" s="1" t="str">
        <f>HYPERLINK("https://nconnect.nicmar.ac.in/storage/profile/ProfilePhoto_P25700228_279168.jpg","Download")</f>
        <v>0</v>
      </c>
      <c r="BQ283" s="3"/>
      <c r="BR283" s="3"/>
    </row>
    <row r="284" spans="1:70">
      <c r="A284" s="1" t="s">
        <v>70</v>
      </c>
      <c r="B284" s="1" t="s">
        <v>1269</v>
      </c>
      <c r="C284" s="1" t="s">
        <v>5725</v>
      </c>
      <c r="D284" s="1" t="s">
        <v>2150</v>
      </c>
      <c r="E284" s="1" t="s">
        <v>756</v>
      </c>
      <c r="F284" s="1" t="s">
        <v>5726</v>
      </c>
      <c r="G284" s="1" t="s">
        <v>5727</v>
      </c>
      <c r="H284" s="1" t="s">
        <v>5728</v>
      </c>
      <c r="I284" s="1" t="s">
        <v>5729</v>
      </c>
      <c r="J284" s="1">
        <v>8850605554</v>
      </c>
      <c r="K284" s="1" t="s">
        <v>79</v>
      </c>
      <c r="L284" s="1" t="s">
        <v>5730</v>
      </c>
      <c r="M284" s="1" t="s">
        <v>81</v>
      </c>
      <c r="N284" s="1" t="s">
        <v>5731</v>
      </c>
      <c r="O284" s="1"/>
      <c r="P284" s="1" t="s">
        <v>1323</v>
      </c>
      <c r="Q284" s="1" t="s">
        <v>5732</v>
      </c>
      <c r="R284" s="1" t="s">
        <v>5733</v>
      </c>
      <c r="S284" s="1">
        <v>9969579719</v>
      </c>
      <c r="T284" s="1" t="s">
        <v>674</v>
      </c>
      <c r="U284" s="1" t="s">
        <v>5734</v>
      </c>
      <c r="V284" s="1">
        <v>9987624270</v>
      </c>
      <c r="W284" s="1" t="s">
        <v>976</v>
      </c>
      <c r="X284" s="1" t="s">
        <v>5735</v>
      </c>
      <c r="Y284" s="1" t="s">
        <v>1623</v>
      </c>
      <c r="Z284" s="1" t="s">
        <v>92</v>
      </c>
      <c r="AA284" s="1" t="s">
        <v>5736</v>
      </c>
      <c r="AB284" s="1" t="s">
        <v>1623</v>
      </c>
      <c r="AC284" s="1" t="s">
        <v>92</v>
      </c>
      <c r="AD284" s="1">
        <v>7.98</v>
      </c>
      <c r="AE284" s="1" t="s">
        <v>93</v>
      </c>
      <c r="AF284" s="1" t="s">
        <v>5737</v>
      </c>
      <c r="AG284" s="1" t="s">
        <v>5738</v>
      </c>
      <c r="AH284" s="1" t="s">
        <v>733</v>
      </c>
      <c r="AI284" s="1" t="s">
        <v>479</v>
      </c>
      <c r="AJ284" s="1">
        <v>76.6</v>
      </c>
      <c r="AK284" s="1">
        <v>0</v>
      </c>
      <c r="AL284" s="1" t="s">
        <v>5739</v>
      </c>
      <c r="AM284" s="1" t="s">
        <v>5738</v>
      </c>
      <c r="AN284" s="1" t="s">
        <v>383</v>
      </c>
      <c r="AO284" s="1" t="s">
        <v>198</v>
      </c>
      <c r="AP284" s="1">
        <v>61.38</v>
      </c>
      <c r="AQ284" s="1">
        <v>0</v>
      </c>
      <c r="AR284" s="1"/>
      <c r="AS284" s="1"/>
      <c r="AT284" s="1"/>
      <c r="AU284" s="1"/>
      <c r="AV284" s="1"/>
      <c r="AW284" s="1"/>
      <c r="AX284" s="1" t="s">
        <v>253</v>
      </c>
      <c r="AY284" s="1" t="s">
        <v>5740</v>
      </c>
      <c r="AZ284" s="1" t="s">
        <v>310</v>
      </c>
      <c r="BA284" s="1" t="s">
        <v>174</v>
      </c>
      <c r="BB284" s="1">
        <v>73.65</v>
      </c>
      <c r="BC284" s="1">
        <v>8.26</v>
      </c>
      <c r="BD284" s="1"/>
      <c r="BE284" s="1"/>
      <c r="BF284" s="1"/>
      <c r="BG284" s="1"/>
      <c r="BH284" s="1"/>
      <c r="BI284" s="1"/>
      <c r="BJ284" s="1" t="s">
        <v>5741</v>
      </c>
      <c r="BK284" s="1" t="s">
        <v>5742</v>
      </c>
      <c r="BL284" s="1" t="s">
        <v>1289</v>
      </c>
      <c r="BM284" s="1" t="s">
        <v>5743</v>
      </c>
      <c r="BN284" s="1">
        <v>16</v>
      </c>
      <c r="BO284" s="1" t="s">
        <v>5744</v>
      </c>
      <c r="BP284" s="1" t="str">
        <f>HYPERLINK("https://nconnect.nicmar.ac.in/storage/profile/ProfilePhoto_P25700229_187625.jpg","Download")</f>
        <v>0</v>
      </c>
      <c r="BQ284" s="3"/>
      <c r="BR284" s="3"/>
    </row>
    <row r="285" spans="1:70">
      <c r="A285" s="1" t="s">
        <v>70</v>
      </c>
      <c r="B285" s="1" t="s">
        <v>1269</v>
      </c>
      <c r="C285" s="1" t="s">
        <v>5745</v>
      </c>
      <c r="D285" s="1" t="s">
        <v>5746</v>
      </c>
      <c r="E285" s="1" t="s">
        <v>5747</v>
      </c>
      <c r="F285" s="1" t="s">
        <v>392</v>
      </c>
      <c r="G285" s="1" t="s">
        <v>5748</v>
      </c>
      <c r="H285" s="1" t="s">
        <v>5749</v>
      </c>
      <c r="I285" s="1" t="s">
        <v>5750</v>
      </c>
      <c r="J285" s="1">
        <v>8788178630</v>
      </c>
      <c r="K285" s="1" t="s">
        <v>148</v>
      </c>
      <c r="L285" s="1" t="s">
        <v>3992</v>
      </c>
      <c r="M285" s="1" t="s">
        <v>81</v>
      </c>
      <c r="N285" s="1" t="s">
        <v>5751</v>
      </c>
      <c r="O285" s="1"/>
      <c r="P285" s="1" t="s">
        <v>1298</v>
      </c>
      <c r="Q285" s="1" t="s">
        <v>5752</v>
      </c>
      <c r="R285" s="1" t="s">
        <v>5753</v>
      </c>
      <c r="S285" s="1">
        <v>9422375756</v>
      </c>
      <c r="T285" s="1" t="s">
        <v>4581</v>
      </c>
      <c r="U285" s="1" t="s">
        <v>5754</v>
      </c>
      <c r="V285" s="1">
        <v>9405429316</v>
      </c>
      <c r="W285" s="1" t="s">
        <v>156</v>
      </c>
      <c r="X285" s="1" t="s">
        <v>5755</v>
      </c>
      <c r="Y285" s="1" t="s">
        <v>191</v>
      </c>
      <c r="Z285" s="1" t="s">
        <v>92</v>
      </c>
      <c r="AA285" s="1" t="s">
        <v>5755</v>
      </c>
      <c r="AB285" s="1" t="s">
        <v>191</v>
      </c>
      <c r="AC285" s="1" t="s">
        <v>92</v>
      </c>
      <c r="AD285" s="1">
        <v>8.55</v>
      </c>
      <c r="AE285" s="1" t="s">
        <v>93</v>
      </c>
      <c r="AF285" s="1" t="s">
        <v>5756</v>
      </c>
      <c r="AG285" s="1" t="s">
        <v>3862</v>
      </c>
      <c r="AH285" s="1" t="s">
        <v>162</v>
      </c>
      <c r="AI285" s="1" t="s">
        <v>165</v>
      </c>
      <c r="AJ285" s="1">
        <v>88</v>
      </c>
      <c r="AK285" s="1"/>
      <c r="AL285" s="1" t="s">
        <v>5757</v>
      </c>
      <c r="AM285" s="1" t="s">
        <v>160</v>
      </c>
      <c r="AN285" s="1" t="s">
        <v>101</v>
      </c>
      <c r="AO285" s="1" t="s">
        <v>198</v>
      </c>
      <c r="AP285" s="1">
        <v>61.54</v>
      </c>
      <c r="AQ285" s="1"/>
      <c r="AR285" s="1"/>
      <c r="AS285" s="1"/>
      <c r="AT285" s="1"/>
      <c r="AU285" s="1"/>
      <c r="AV285" s="1"/>
      <c r="AW285" s="1"/>
      <c r="AX285" s="1" t="s">
        <v>361</v>
      </c>
      <c r="AY285" s="1" t="s">
        <v>5758</v>
      </c>
      <c r="AZ285" s="1" t="s">
        <v>201</v>
      </c>
      <c r="BA285" s="1" t="s">
        <v>174</v>
      </c>
      <c r="BB285" s="1">
        <v>86.26</v>
      </c>
      <c r="BC285" s="1"/>
      <c r="BD285" s="1"/>
      <c r="BE285" s="1"/>
      <c r="BF285" s="1"/>
      <c r="BG285" s="1"/>
      <c r="BH285" s="1"/>
      <c r="BI285" s="1"/>
      <c r="BJ285" s="1" t="s">
        <v>5759</v>
      </c>
      <c r="BK285" s="1" t="s">
        <v>5760</v>
      </c>
      <c r="BL285" s="1" t="s">
        <v>1543</v>
      </c>
      <c r="BM285" s="1" t="s">
        <v>5761</v>
      </c>
      <c r="BN285" s="1">
        <v>13</v>
      </c>
      <c r="BO285" s="1"/>
      <c r="BP285" s="1" t="str">
        <f>HYPERLINK("https://nconnect.nicmar.ac.in/storage/profile/ProfilePhoto_P25700230_398462.jpg","Download")</f>
        <v>0</v>
      </c>
      <c r="BQ285" s="3"/>
      <c r="BR285" s="3"/>
    </row>
    <row r="286" spans="1:70">
      <c r="A286" s="1" t="s">
        <v>70</v>
      </c>
      <c r="B286" s="1" t="s">
        <v>1269</v>
      </c>
      <c r="C286" s="1" t="s">
        <v>5762</v>
      </c>
      <c r="D286" s="1" t="s">
        <v>5763</v>
      </c>
      <c r="E286" s="1" t="s">
        <v>5764</v>
      </c>
      <c r="F286" s="1" t="s">
        <v>2677</v>
      </c>
      <c r="G286" s="1" t="s">
        <v>5765</v>
      </c>
      <c r="H286" s="1" t="s">
        <v>5766</v>
      </c>
      <c r="I286" s="1" t="s">
        <v>5767</v>
      </c>
      <c r="J286" s="1">
        <v>8766581679</v>
      </c>
      <c r="K286" s="1" t="s">
        <v>79</v>
      </c>
      <c r="L286" s="1" t="s">
        <v>5768</v>
      </c>
      <c r="M286" s="1" t="s">
        <v>81</v>
      </c>
      <c r="N286" s="1" t="s">
        <v>1765</v>
      </c>
      <c r="O286" s="1"/>
      <c r="P286" s="1" t="s">
        <v>1298</v>
      </c>
      <c r="Q286" s="1" t="s">
        <v>5769</v>
      </c>
      <c r="R286" s="1" t="s">
        <v>5764</v>
      </c>
      <c r="S286" s="1">
        <v>8888554858</v>
      </c>
      <c r="T286" s="1" t="s">
        <v>154</v>
      </c>
      <c r="U286" s="1" t="s">
        <v>5770</v>
      </c>
      <c r="V286" s="1">
        <v>9765895729</v>
      </c>
      <c r="W286" s="1" t="s">
        <v>156</v>
      </c>
      <c r="X286" s="1" t="s">
        <v>5771</v>
      </c>
      <c r="Y286" s="1" t="s">
        <v>429</v>
      </c>
      <c r="Z286" s="1" t="s">
        <v>92</v>
      </c>
      <c r="AA286" s="1" t="s">
        <v>5771</v>
      </c>
      <c r="AB286" s="1" t="s">
        <v>429</v>
      </c>
      <c r="AC286" s="1" t="s">
        <v>92</v>
      </c>
      <c r="AD286" s="1">
        <v>7.47</v>
      </c>
      <c r="AE286" s="1" t="s">
        <v>93</v>
      </c>
      <c r="AF286" s="1" t="s">
        <v>5772</v>
      </c>
      <c r="AG286" s="1" t="s">
        <v>544</v>
      </c>
      <c r="AH286" s="1" t="s">
        <v>733</v>
      </c>
      <c r="AI286" s="1" t="s">
        <v>101</v>
      </c>
      <c r="AJ286" s="1">
        <v>76.2</v>
      </c>
      <c r="AK286" s="1"/>
      <c r="AL286" s="1" t="s">
        <v>5773</v>
      </c>
      <c r="AM286" s="1" t="s">
        <v>544</v>
      </c>
      <c r="AN286" s="1" t="s">
        <v>169</v>
      </c>
      <c r="AO286" s="1" t="s">
        <v>173</v>
      </c>
      <c r="AP286" s="1">
        <v>66.92</v>
      </c>
      <c r="AQ286" s="1"/>
      <c r="AR286" s="1"/>
      <c r="AS286" s="1"/>
      <c r="AT286" s="1"/>
      <c r="AU286" s="1"/>
      <c r="AV286" s="1"/>
      <c r="AW286" s="1"/>
      <c r="AX286" s="1" t="s">
        <v>5774</v>
      </c>
      <c r="AY286" s="1" t="s">
        <v>5775</v>
      </c>
      <c r="AZ286" s="1" t="s">
        <v>699</v>
      </c>
      <c r="BA286" s="1" t="s">
        <v>202</v>
      </c>
      <c r="BB286" s="1">
        <v>68.5</v>
      </c>
      <c r="BC286" s="1">
        <v>7.6</v>
      </c>
      <c r="BD286" s="1"/>
      <c r="BE286" s="1"/>
      <c r="BF286" s="1"/>
      <c r="BG286" s="1"/>
      <c r="BH286" s="1"/>
      <c r="BI286" s="1"/>
      <c r="BJ286" s="1" t="s">
        <v>5776</v>
      </c>
      <c r="BK286" s="1"/>
      <c r="BL286" s="1"/>
      <c r="BM286" s="1" t="s">
        <v>5777</v>
      </c>
      <c r="BN286" s="1">
        <v>12</v>
      </c>
      <c r="BO286" s="1"/>
      <c r="BP286" s="1" t="str">
        <f>HYPERLINK("https://nconnect.nicmar.ac.in/storage/profile/ProfilePhoto_P25700231_485793.jpg","Download")</f>
        <v>0</v>
      </c>
      <c r="BQ286" s="3"/>
      <c r="BR286" s="3"/>
    </row>
    <row r="287" spans="1:70">
      <c r="A287" s="1" t="s">
        <v>70</v>
      </c>
      <c r="B287" s="1" t="s">
        <v>1269</v>
      </c>
      <c r="C287" s="1" t="s">
        <v>5778</v>
      </c>
      <c r="D287" s="1" t="s">
        <v>443</v>
      </c>
      <c r="E287" s="1" t="s">
        <v>234</v>
      </c>
      <c r="F287" s="1" t="s">
        <v>5779</v>
      </c>
      <c r="G287" s="1" t="s">
        <v>5780</v>
      </c>
      <c r="H287" s="1" t="s">
        <v>5781</v>
      </c>
      <c r="I287" s="1" t="s">
        <v>5782</v>
      </c>
      <c r="J287" s="1">
        <v>8830849218</v>
      </c>
      <c r="K287" s="1" t="s">
        <v>79</v>
      </c>
      <c r="L287" s="1" t="s">
        <v>5783</v>
      </c>
      <c r="M287" s="1" t="s">
        <v>81</v>
      </c>
      <c r="N287" s="1" t="s">
        <v>5784</v>
      </c>
      <c r="O287" s="1"/>
      <c r="P287" s="1"/>
      <c r="Q287" s="1" t="s">
        <v>5785</v>
      </c>
      <c r="R287" s="1" t="s">
        <v>234</v>
      </c>
      <c r="S287" s="1">
        <v>9881246806</v>
      </c>
      <c r="T287" s="1" t="s">
        <v>1256</v>
      </c>
      <c r="U287" s="1" t="s">
        <v>5786</v>
      </c>
      <c r="V287" s="1">
        <v>9823724184</v>
      </c>
      <c r="W287" s="1" t="s">
        <v>122</v>
      </c>
      <c r="X287" s="1" t="s">
        <v>5787</v>
      </c>
      <c r="Y287" s="1" t="s">
        <v>5788</v>
      </c>
      <c r="Z287" s="1" t="s">
        <v>92</v>
      </c>
      <c r="AA287" s="1" t="s">
        <v>5787</v>
      </c>
      <c r="AB287" s="1" t="s">
        <v>5788</v>
      </c>
      <c r="AC287" s="1" t="s">
        <v>92</v>
      </c>
      <c r="AD287" s="1">
        <v>7.72</v>
      </c>
      <c r="AE287" s="1" t="s">
        <v>93</v>
      </c>
      <c r="AF287" s="1" t="s">
        <v>5789</v>
      </c>
      <c r="AG287" s="1" t="s">
        <v>5790</v>
      </c>
      <c r="AH287" s="1" t="s">
        <v>678</v>
      </c>
      <c r="AI287" s="1" t="s">
        <v>281</v>
      </c>
      <c r="AJ287" s="1">
        <v>87.2</v>
      </c>
      <c r="AK287" s="1"/>
      <c r="AL287" s="1" t="s">
        <v>5791</v>
      </c>
      <c r="AM287" s="1" t="s">
        <v>5790</v>
      </c>
      <c r="AN287" s="1" t="s">
        <v>409</v>
      </c>
      <c r="AO287" s="1" t="s">
        <v>360</v>
      </c>
      <c r="AP287" s="1">
        <v>66.15</v>
      </c>
      <c r="AQ287" s="1"/>
      <c r="AR287" s="1"/>
      <c r="AS287" s="1"/>
      <c r="AT287" s="1"/>
      <c r="AU287" s="1"/>
      <c r="AV287" s="1"/>
      <c r="AW287" s="1"/>
      <c r="AX287" s="1" t="s">
        <v>5792</v>
      </c>
      <c r="AY287" s="1" t="s">
        <v>5793</v>
      </c>
      <c r="AZ287" s="1" t="s">
        <v>920</v>
      </c>
      <c r="BA287" s="1" t="s">
        <v>202</v>
      </c>
      <c r="BB287" s="1">
        <v>72.1</v>
      </c>
      <c r="BC287" s="1">
        <v>7.96</v>
      </c>
      <c r="BD287" s="1"/>
      <c r="BE287" s="1"/>
      <c r="BF287" s="1"/>
      <c r="BG287" s="1"/>
      <c r="BH287" s="1"/>
      <c r="BI287" s="1"/>
      <c r="BJ287" s="1" t="s">
        <v>5794</v>
      </c>
      <c r="BK287" s="1" t="s">
        <v>5795</v>
      </c>
      <c r="BL287" s="1" t="s">
        <v>1896</v>
      </c>
      <c r="BM287" s="1" t="s">
        <v>5796</v>
      </c>
      <c r="BN287" s="1">
        <v>12</v>
      </c>
      <c r="BO287" s="1" t="s">
        <v>5797</v>
      </c>
      <c r="BP287" s="1" t="str">
        <f>HYPERLINK("https://nconnect.nicmar.ac.in/storage/profile/ProfilePhoto_P25700232_974861.jpg","Download")</f>
        <v>0</v>
      </c>
      <c r="BQ287" s="3"/>
      <c r="BR287" s="3"/>
    </row>
    <row r="288" spans="1:70">
      <c r="A288" s="1" t="s">
        <v>70</v>
      </c>
      <c r="B288" s="1" t="s">
        <v>1269</v>
      </c>
      <c r="C288" s="1" t="s">
        <v>5798</v>
      </c>
      <c r="D288" s="1" t="s">
        <v>5799</v>
      </c>
      <c r="E288" s="1" t="s">
        <v>5109</v>
      </c>
      <c r="F288" s="1" t="s">
        <v>236</v>
      </c>
      <c r="G288" s="1" t="s">
        <v>5800</v>
      </c>
      <c r="H288" s="1" t="s">
        <v>5801</v>
      </c>
      <c r="I288" s="1" t="s">
        <v>5802</v>
      </c>
      <c r="J288" s="1">
        <v>8446882321</v>
      </c>
      <c r="K288" s="1" t="s">
        <v>148</v>
      </c>
      <c r="L288" s="1" t="s">
        <v>5803</v>
      </c>
      <c r="M288" s="1" t="s">
        <v>81</v>
      </c>
      <c r="N288" s="1" t="s">
        <v>2008</v>
      </c>
      <c r="O288" s="1"/>
      <c r="P288" s="1" t="s">
        <v>1323</v>
      </c>
      <c r="Q288" s="1" t="s">
        <v>5804</v>
      </c>
      <c r="R288" s="1" t="s">
        <v>5805</v>
      </c>
      <c r="S288" s="1">
        <v>9423582073</v>
      </c>
      <c r="T288" s="1" t="s">
        <v>5806</v>
      </c>
      <c r="U288" s="1" t="s">
        <v>5807</v>
      </c>
      <c r="V288" s="1">
        <v>7378642004</v>
      </c>
      <c r="W288" s="1" t="s">
        <v>156</v>
      </c>
      <c r="X288" s="1" t="s">
        <v>5808</v>
      </c>
      <c r="Y288" s="1" t="s">
        <v>191</v>
      </c>
      <c r="Z288" s="1" t="s">
        <v>92</v>
      </c>
      <c r="AA288" s="1" t="s">
        <v>5808</v>
      </c>
      <c r="AB288" s="1" t="s">
        <v>191</v>
      </c>
      <c r="AC288" s="1" t="s">
        <v>92</v>
      </c>
      <c r="AD288" s="1">
        <v>7.72</v>
      </c>
      <c r="AE288" s="1" t="s">
        <v>93</v>
      </c>
      <c r="AF288" s="1" t="s">
        <v>5809</v>
      </c>
      <c r="AG288" s="1" t="s">
        <v>894</v>
      </c>
      <c r="AH288" s="1" t="s">
        <v>162</v>
      </c>
      <c r="AI288" s="1" t="s">
        <v>165</v>
      </c>
      <c r="AJ288" s="1">
        <v>77.9</v>
      </c>
      <c r="AK288" s="1">
        <v>8.2</v>
      </c>
      <c r="AL288" s="1"/>
      <c r="AM288" s="1"/>
      <c r="AN288" s="1"/>
      <c r="AO288" s="1"/>
      <c r="AP288" s="1"/>
      <c r="AQ288" s="1"/>
      <c r="AR288" s="1" t="s">
        <v>98</v>
      </c>
      <c r="AS288" s="1" t="s">
        <v>5810</v>
      </c>
      <c r="AT288" s="1" t="s">
        <v>225</v>
      </c>
      <c r="AU288" s="1" t="s">
        <v>170</v>
      </c>
      <c r="AV288" s="1">
        <v>87.79</v>
      </c>
      <c r="AW288" s="1"/>
      <c r="AX288" s="1" t="s">
        <v>361</v>
      </c>
      <c r="AY288" s="1" t="s">
        <v>5811</v>
      </c>
      <c r="AZ288" s="1" t="s">
        <v>363</v>
      </c>
      <c r="BA288" s="1" t="s">
        <v>1714</v>
      </c>
      <c r="BB288" s="1">
        <v>68.7</v>
      </c>
      <c r="BC288" s="1">
        <v>7.72</v>
      </c>
      <c r="BD288" s="1"/>
      <c r="BE288" s="1"/>
      <c r="BF288" s="1"/>
      <c r="BG288" s="1"/>
      <c r="BH288" s="1"/>
      <c r="BI288" s="1"/>
      <c r="BJ288" s="1" t="s">
        <v>5812</v>
      </c>
      <c r="BK288" s="1"/>
      <c r="BL288" s="1"/>
      <c r="BM288" s="1" t="s">
        <v>5813</v>
      </c>
      <c r="BN288" s="1">
        <v>31</v>
      </c>
      <c r="BO288" s="1"/>
      <c r="BP288" s="1" t="str">
        <f>HYPERLINK("https://nconnect.nicmar.ac.in/storage/profile/ProfilePhoto_P25700233_537914.jpg","Download")</f>
        <v>0</v>
      </c>
      <c r="BQ288" s="3"/>
      <c r="BR288" s="3"/>
    </row>
    <row r="289" spans="1:70">
      <c r="A289" s="1" t="s">
        <v>70</v>
      </c>
      <c r="B289" s="1" t="s">
        <v>1269</v>
      </c>
      <c r="C289" s="1" t="s">
        <v>5814</v>
      </c>
      <c r="D289" s="1" t="s">
        <v>5815</v>
      </c>
      <c r="E289" s="1"/>
      <c r="F289" s="1" t="s">
        <v>2210</v>
      </c>
      <c r="G289" s="1" t="s">
        <v>5816</v>
      </c>
      <c r="H289" s="1" t="s">
        <v>5817</v>
      </c>
      <c r="I289" s="1" t="s">
        <v>5818</v>
      </c>
      <c r="J289" s="1">
        <v>9967051993</v>
      </c>
      <c r="K289" s="1" t="s">
        <v>79</v>
      </c>
      <c r="L289" s="1" t="s">
        <v>5819</v>
      </c>
      <c r="M289" s="1" t="s">
        <v>81</v>
      </c>
      <c r="N289" s="1" t="s">
        <v>350</v>
      </c>
      <c r="O289" s="1"/>
      <c r="P289" s="1" t="s">
        <v>1298</v>
      </c>
      <c r="Q289" s="1" t="s">
        <v>5820</v>
      </c>
      <c r="R289" s="1" t="s">
        <v>5821</v>
      </c>
      <c r="S289" s="1">
        <v>9819004104</v>
      </c>
      <c r="T289" s="1" t="s">
        <v>863</v>
      </c>
      <c r="U289" s="1" t="s">
        <v>5822</v>
      </c>
      <c r="V289" s="1">
        <v>8850137183</v>
      </c>
      <c r="W289" s="1" t="s">
        <v>5823</v>
      </c>
      <c r="X289" s="1" t="s">
        <v>5824</v>
      </c>
      <c r="Y289" s="1" t="s">
        <v>1623</v>
      </c>
      <c r="Z289" s="1" t="s">
        <v>92</v>
      </c>
      <c r="AA289" s="1" t="s">
        <v>5824</v>
      </c>
      <c r="AB289" s="1" t="s">
        <v>1623</v>
      </c>
      <c r="AC289" s="1" t="s">
        <v>92</v>
      </c>
      <c r="AD289" s="1">
        <v>7.9</v>
      </c>
      <c r="AE289" s="1" t="s">
        <v>93</v>
      </c>
      <c r="AF289" s="1" t="s">
        <v>5825</v>
      </c>
      <c r="AG289" s="1" t="s">
        <v>5826</v>
      </c>
      <c r="AH289" s="1" t="s">
        <v>195</v>
      </c>
      <c r="AI289" s="1" t="s">
        <v>281</v>
      </c>
      <c r="AJ289" s="1">
        <v>87.8</v>
      </c>
      <c r="AK289" s="1"/>
      <c r="AL289" s="1" t="s">
        <v>5827</v>
      </c>
      <c r="AM289" s="1" t="s">
        <v>5826</v>
      </c>
      <c r="AN289" s="1" t="s">
        <v>198</v>
      </c>
      <c r="AO289" s="1" t="s">
        <v>360</v>
      </c>
      <c r="AP289" s="1">
        <v>63.23</v>
      </c>
      <c r="AQ289" s="1"/>
      <c r="AR289" s="1"/>
      <c r="AS289" s="1"/>
      <c r="AT289" s="1"/>
      <c r="AU289" s="1"/>
      <c r="AV289" s="1"/>
      <c r="AW289" s="1"/>
      <c r="AX289" s="1" t="s">
        <v>253</v>
      </c>
      <c r="AY289" s="1" t="s">
        <v>3051</v>
      </c>
      <c r="AZ289" s="1" t="s">
        <v>228</v>
      </c>
      <c r="BA289" s="1" t="s">
        <v>1978</v>
      </c>
      <c r="BB289" s="1">
        <v>69.42</v>
      </c>
      <c r="BC289" s="1"/>
      <c r="BD289" s="1"/>
      <c r="BE289" s="1"/>
      <c r="BF289" s="1"/>
      <c r="BG289" s="1"/>
      <c r="BH289" s="1"/>
      <c r="BI289" s="1"/>
      <c r="BJ289" s="1" t="s">
        <v>364</v>
      </c>
      <c r="BK289" s="1"/>
      <c r="BL289" s="1"/>
      <c r="BM289" s="1" t="s">
        <v>5828</v>
      </c>
      <c r="BN289" s="1">
        <v>22</v>
      </c>
      <c r="BO289" s="1" t="s">
        <v>5829</v>
      </c>
      <c r="BP289" s="1" t="str">
        <f>HYPERLINK("https://nconnect.nicmar.ac.in/storage/profile/ProfilePhoto_P25700234_527634.jpg","Download")</f>
        <v>0</v>
      </c>
      <c r="BQ289" s="3"/>
      <c r="BR289" s="3"/>
    </row>
    <row r="290" spans="1:70">
      <c r="A290" s="1" t="s">
        <v>70</v>
      </c>
      <c r="B290" s="1" t="s">
        <v>1269</v>
      </c>
      <c r="C290" s="1" t="s">
        <v>5830</v>
      </c>
      <c r="D290" s="1" t="s">
        <v>1138</v>
      </c>
      <c r="E290" s="1" t="s">
        <v>5831</v>
      </c>
      <c r="F290" s="1" t="s">
        <v>4460</v>
      </c>
      <c r="G290" s="1" t="s">
        <v>5832</v>
      </c>
      <c r="H290" s="1" t="s">
        <v>5833</v>
      </c>
      <c r="I290" s="1" t="s">
        <v>5834</v>
      </c>
      <c r="J290" s="1">
        <v>8379979968</v>
      </c>
      <c r="K290" s="1" t="s">
        <v>79</v>
      </c>
      <c r="L290" s="1" t="s">
        <v>5835</v>
      </c>
      <c r="M290" s="1" t="s">
        <v>81</v>
      </c>
      <c r="N290" s="1" t="s">
        <v>2295</v>
      </c>
      <c r="O290" s="1"/>
      <c r="P290" s="1" t="s">
        <v>2507</v>
      </c>
      <c r="Q290" s="1" t="s">
        <v>5836</v>
      </c>
      <c r="R290" s="1" t="s">
        <v>5831</v>
      </c>
      <c r="S290" s="1">
        <v>8806122124</v>
      </c>
      <c r="T290" s="1" t="s">
        <v>154</v>
      </c>
      <c r="U290" s="1" t="s">
        <v>5837</v>
      </c>
      <c r="V290" s="1">
        <v>9579218689</v>
      </c>
      <c r="W290" s="1" t="s">
        <v>273</v>
      </c>
      <c r="X290" s="1" t="s">
        <v>5838</v>
      </c>
      <c r="Y290" s="1" t="s">
        <v>191</v>
      </c>
      <c r="Z290" s="1" t="s">
        <v>92</v>
      </c>
      <c r="AA290" s="1" t="s">
        <v>5839</v>
      </c>
      <c r="AB290" s="1" t="s">
        <v>5840</v>
      </c>
      <c r="AC290" s="1" t="s">
        <v>92</v>
      </c>
      <c r="AD290" s="1">
        <v>7.36</v>
      </c>
      <c r="AE290" s="1" t="s">
        <v>93</v>
      </c>
      <c r="AF290" s="1" t="s">
        <v>5841</v>
      </c>
      <c r="AG290" s="1" t="s">
        <v>5842</v>
      </c>
      <c r="AH290" s="1" t="s">
        <v>733</v>
      </c>
      <c r="AI290" s="1" t="s">
        <v>195</v>
      </c>
      <c r="AJ290" s="1">
        <v>76.8</v>
      </c>
      <c r="AK290" s="1"/>
      <c r="AL290" s="1" t="s">
        <v>5843</v>
      </c>
      <c r="AM290" s="1" t="s">
        <v>5842</v>
      </c>
      <c r="AN290" s="1" t="s">
        <v>169</v>
      </c>
      <c r="AO290" s="1" t="s">
        <v>198</v>
      </c>
      <c r="AP290" s="1">
        <v>60.77</v>
      </c>
      <c r="AQ290" s="1"/>
      <c r="AR290" s="1"/>
      <c r="AS290" s="1"/>
      <c r="AT290" s="1"/>
      <c r="AU290" s="1"/>
      <c r="AV290" s="1"/>
      <c r="AW290" s="1"/>
      <c r="AX290" s="1" t="s">
        <v>361</v>
      </c>
      <c r="AY290" s="1" t="s">
        <v>5844</v>
      </c>
      <c r="AZ290" s="1" t="s">
        <v>310</v>
      </c>
      <c r="BA290" s="1" t="s">
        <v>590</v>
      </c>
      <c r="BB290" s="1">
        <v>66.31</v>
      </c>
      <c r="BC290" s="1">
        <v>6.98</v>
      </c>
      <c r="BD290" s="1"/>
      <c r="BE290" s="1"/>
      <c r="BF290" s="1"/>
      <c r="BG290" s="1"/>
      <c r="BH290" s="1"/>
      <c r="BI290" s="1"/>
      <c r="BJ290" s="1" t="s">
        <v>5845</v>
      </c>
      <c r="BK290" s="1" t="s">
        <v>5846</v>
      </c>
      <c r="BL290" s="1" t="s">
        <v>2019</v>
      </c>
      <c r="BM290" s="1" t="s">
        <v>5847</v>
      </c>
      <c r="BN290" s="1">
        <v>91</v>
      </c>
      <c r="BO290" s="1"/>
      <c r="BP290" s="1" t="str">
        <f>HYPERLINK("https://nconnect.nicmar.ac.in/storage/profile/ProfilePhoto_P25700235_962375.jpg","Download")</f>
        <v>0</v>
      </c>
      <c r="BQ290" s="3"/>
      <c r="BR290" s="3"/>
    </row>
    <row r="291" spans="1:70">
      <c r="A291" s="1" t="s">
        <v>70</v>
      </c>
      <c r="B291" s="1" t="s">
        <v>1269</v>
      </c>
      <c r="C291" s="1" t="s">
        <v>5848</v>
      </c>
      <c r="D291" s="1" t="s">
        <v>5849</v>
      </c>
      <c r="E291" s="1"/>
      <c r="F291" s="1" t="s">
        <v>5850</v>
      </c>
      <c r="G291" s="1" t="s">
        <v>5851</v>
      </c>
      <c r="H291" s="1" t="s">
        <v>5852</v>
      </c>
      <c r="I291" s="1" t="s">
        <v>5853</v>
      </c>
      <c r="J291" s="1">
        <v>6002708878</v>
      </c>
      <c r="K291" s="1" t="s">
        <v>79</v>
      </c>
      <c r="L291" s="1" t="s">
        <v>5854</v>
      </c>
      <c r="M291" s="1" t="s">
        <v>81</v>
      </c>
      <c r="N291" s="1" t="s">
        <v>5855</v>
      </c>
      <c r="O291" s="1"/>
      <c r="P291" s="1" t="s">
        <v>2507</v>
      </c>
      <c r="Q291" s="1" t="s">
        <v>5856</v>
      </c>
      <c r="R291" s="1" t="s">
        <v>5857</v>
      </c>
      <c r="S291" s="1">
        <v>9435149156</v>
      </c>
      <c r="T291" s="1" t="s">
        <v>496</v>
      </c>
      <c r="U291" s="1" t="s">
        <v>5858</v>
      </c>
      <c r="V291" s="1">
        <v>8638013441</v>
      </c>
      <c r="W291" s="1" t="s">
        <v>5859</v>
      </c>
      <c r="X291" s="1" t="s">
        <v>5860</v>
      </c>
      <c r="Y291" s="1" t="s">
        <v>2376</v>
      </c>
      <c r="Z291" s="1" t="s">
        <v>2377</v>
      </c>
      <c r="AA291" s="1" t="s">
        <v>5860</v>
      </c>
      <c r="AB291" s="1" t="s">
        <v>2376</v>
      </c>
      <c r="AC291" s="1" t="s">
        <v>2377</v>
      </c>
      <c r="AD291" s="1">
        <v>8.16</v>
      </c>
      <c r="AE291" s="1" t="s">
        <v>93</v>
      </c>
      <c r="AF291" s="1" t="s">
        <v>5861</v>
      </c>
      <c r="AG291" s="1" t="s">
        <v>5862</v>
      </c>
      <c r="AH291" s="1" t="s">
        <v>1307</v>
      </c>
      <c r="AI291" s="1" t="s">
        <v>308</v>
      </c>
      <c r="AJ291" s="1">
        <v>87</v>
      </c>
      <c r="AK291" s="1"/>
      <c r="AL291" s="1" t="s">
        <v>5861</v>
      </c>
      <c r="AM291" s="1" t="s">
        <v>5862</v>
      </c>
      <c r="AN291" s="1" t="s">
        <v>1834</v>
      </c>
      <c r="AO291" s="1" t="s">
        <v>506</v>
      </c>
      <c r="AP291" s="1">
        <v>78.8</v>
      </c>
      <c r="AQ291" s="1"/>
      <c r="AR291" s="1"/>
      <c r="AS291" s="1"/>
      <c r="AT291" s="1"/>
      <c r="AU291" s="1"/>
      <c r="AV291" s="1"/>
      <c r="AW291" s="1"/>
      <c r="AX291" s="1" t="s">
        <v>5863</v>
      </c>
      <c r="AY291" s="1" t="s">
        <v>5864</v>
      </c>
      <c r="AZ291" s="1" t="s">
        <v>1407</v>
      </c>
      <c r="BA291" s="1" t="s">
        <v>1408</v>
      </c>
      <c r="BB291" s="1">
        <v>76</v>
      </c>
      <c r="BC291" s="1">
        <v>7.6</v>
      </c>
      <c r="BD291" s="1"/>
      <c r="BE291" s="1"/>
      <c r="BF291" s="1"/>
      <c r="BG291" s="1"/>
      <c r="BH291" s="1"/>
      <c r="BI291" s="1"/>
      <c r="BJ291" s="1" t="s">
        <v>1715</v>
      </c>
      <c r="BK291" s="1"/>
      <c r="BL291" s="1"/>
      <c r="BM291" s="1" t="s">
        <v>5865</v>
      </c>
      <c r="BN291" s="1">
        <v>18</v>
      </c>
      <c r="BO291" s="1"/>
      <c r="BP291" s="1" t="str">
        <f>HYPERLINK("https://nconnect.nicmar.ac.in/storage/profile/ProfilePhoto_P25700236_483619.jpg","Download")</f>
        <v>0</v>
      </c>
      <c r="BQ291" s="3"/>
      <c r="BR291" s="3"/>
    </row>
    <row r="292" spans="1:70">
      <c r="A292" s="1" t="s">
        <v>70</v>
      </c>
      <c r="B292" s="1" t="s">
        <v>1269</v>
      </c>
      <c r="C292" s="1" t="s">
        <v>5866</v>
      </c>
      <c r="D292" s="1" t="s">
        <v>367</v>
      </c>
      <c r="E292" s="1" t="s">
        <v>756</v>
      </c>
      <c r="F292" s="1" t="s">
        <v>5867</v>
      </c>
      <c r="G292" s="1" t="s">
        <v>5868</v>
      </c>
      <c r="H292" s="1" t="s">
        <v>5869</v>
      </c>
      <c r="I292" s="1" t="s">
        <v>5870</v>
      </c>
      <c r="J292" s="1">
        <v>9869207119</v>
      </c>
      <c r="K292" s="1" t="s">
        <v>79</v>
      </c>
      <c r="L292" s="1" t="s">
        <v>5871</v>
      </c>
      <c r="M292" s="1" t="s">
        <v>81</v>
      </c>
      <c r="N292" s="1" t="s">
        <v>860</v>
      </c>
      <c r="O292" s="1"/>
      <c r="P292" s="1" t="s">
        <v>1323</v>
      </c>
      <c r="Q292" s="1" t="s">
        <v>5872</v>
      </c>
      <c r="R292" s="1" t="s">
        <v>756</v>
      </c>
      <c r="S292" s="1">
        <v>9870709081</v>
      </c>
      <c r="T292" s="1" t="s">
        <v>5873</v>
      </c>
      <c r="U292" s="1" t="s">
        <v>5874</v>
      </c>
      <c r="V292" s="1">
        <v>9870709082</v>
      </c>
      <c r="W292" s="1" t="s">
        <v>156</v>
      </c>
      <c r="X292" s="1" t="s">
        <v>5875</v>
      </c>
      <c r="Y292" s="1" t="s">
        <v>1623</v>
      </c>
      <c r="Z292" s="1" t="s">
        <v>92</v>
      </c>
      <c r="AA292" s="1" t="s">
        <v>5875</v>
      </c>
      <c r="AB292" s="1" t="s">
        <v>1623</v>
      </c>
      <c r="AC292" s="1" t="s">
        <v>92</v>
      </c>
      <c r="AD292" s="1">
        <v>7.45</v>
      </c>
      <c r="AE292" s="1" t="s">
        <v>93</v>
      </c>
      <c r="AF292" s="1" t="s">
        <v>5876</v>
      </c>
      <c r="AG292" s="1" t="s">
        <v>5877</v>
      </c>
      <c r="AH292" s="1" t="s">
        <v>161</v>
      </c>
      <c r="AI292" s="1" t="s">
        <v>527</v>
      </c>
      <c r="AJ292" s="1">
        <v>71</v>
      </c>
      <c r="AK292" s="1">
        <v>0</v>
      </c>
      <c r="AL292" s="1"/>
      <c r="AM292" s="1"/>
      <c r="AN292" s="1"/>
      <c r="AO292" s="1"/>
      <c r="AP292" s="1"/>
      <c r="AQ292" s="1"/>
      <c r="AR292" s="1" t="s">
        <v>434</v>
      </c>
      <c r="AS292" s="1" t="s">
        <v>5878</v>
      </c>
      <c r="AT292" s="1" t="s">
        <v>134</v>
      </c>
      <c r="AU292" s="1" t="s">
        <v>228</v>
      </c>
      <c r="AV292" s="1">
        <v>71.82</v>
      </c>
      <c r="AW292" s="1">
        <v>0</v>
      </c>
      <c r="AX292" s="1" t="s">
        <v>253</v>
      </c>
      <c r="AY292" s="1" t="s">
        <v>5879</v>
      </c>
      <c r="AZ292" s="1" t="s">
        <v>173</v>
      </c>
      <c r="BA292" s="1" t="s">
        <v>174</v>
      </c>
      <c r="BB292" s="1">
        <v>69.06</v>
      </c>
      <c r="BC292" s="1">
        <v>7.75</v>
      </c>
      <c r="BD292" s="1"/>
      <c r="BE292" s="1"/>
      <c r="BF292" s="1"/>
      <c r="BG292" s="1"/>
      <c r="BH292" s="1"/>
      <c r="BI292" s="1"/>
      <c r="BJ292" s="1" t="s">
        <v>255</v>
      </c>
      <c r="BK292" s="1" t="s">
        <v>5880</v>
      </c>
      <c r="BL292" s="1" t="s">
        <v>4933</v>
      </c>
      <c r="BM292" s="1" t="s">
        <v>5881</v>
      </c>
      <c r="BN292" s="1">
        <v>8</v>
      </c>
      <c r="BO292" s="1" t="s">
        <v>5882</v>
      </c>
      <c r="BP292" s="1" t="str">
        <f>HYPERLINK("https://nconnect.nicmar.ac.in/storage/profile/ProfilePhoto_P25700237_972643.jpg","Download")</f>
        <v>0</v>
      </c>
      <c r="BQ292" s="3"/>
      <c r="BR292" s="3"/>
    </row>
    <row r="293" spans="1:70">
      <c r="A293" s="1" t="s">
        <v>70</v>
      </c>
      <c r="B293" s="1" t="s">
        <v>1269</v>
      </c>
      <c r="C293" s="1" t="s">
        <v>5883</v>
      </c>
      <c r="D293" s="1" t="s">
        <v>5884</v>
      </c>
      <c r="E293" s="1"/>
      <c r="F293" s="1" t="s">
        <v>236</v>
      </c>
      <c r="G293" s="1" t="s">
        <v>5885</v>
      </c>
      <c r="H293" s="1" t="s">
        <v>5886</v>
      </c>
      <c r="I293" s="1" t="s">
        <v>5887</v>
      </c>
      <c r="J293" s="1">
        <v>6354105510</v>
      </c>
      <c r="K293" s="1" t="s">
        <v>79</v>
      </c>
      <c r="L293" s="1" t="s">
        <v>5888</v>
      </c>
      <c r="M293" s="1" t="s">
        <v>81</v>
      </c>
      <c r="N293" s="1" t="s">
        <v>5889</v>
      </c>
      <c r="O293" s="1"/>
      <c r="P293" s="1" t="s">
        <v>1278</v>
      </c>
      <c r="Q293" s="1" t="s">
        <v>5890</v>
      </c>
      <c r="R293" s="1" t="s">
        <v>5891</v>
      </c>
      <c r="S293" s="1">
        <v>9998401535</v>
      </c>
      <c r="T293" s="1" t="s">
        <v>120</v>
      </c>
      <c r="U293" s="1" t="s">
        <v>5892</v>
      </c>
      <c r="V293" s="1">
        <v>8757507689</v>
      </c>
      <c r="W293" s="1" t="s">
        <v>156</v>
      </c>
      <c r="X293" s="1" t="s">
        <v>5893</v>
      </c>
      <c r="Y293" s="1" t="s">
        <v>5894</v>
      </c>
      <c r="Z293" s="1" t="s">
        <v>1468</v>
      </c>
      <c r="AA293" s="1" t="s">
        <v>5895</v>
      </c>
      <c r="AB293" s="1" t="s">
        <v>5894</v>
      </c>
      <c r="AC293" s="1" t="s">
        <v>1468</v>
      </c>
      <c r="AD293" s="1">
        <v>8.38</v>
      </c>
      <c r="AE293" s="1" t="s">
        <v>93</v>
      </c>
      <c r="AF293" s="1" t="s">
        <v>5896</v>
      </c>
      <c r="AG293" s="1" t="s">
        <v>5897</v>
      </c>
      <c r="AH293" s="1" t="s">
        <v>161</v>
      </c>
      <c r="AI293" s="1" t="s">
        <v>456</v>
      </c>
      <c r="AJ293" s="1">
        <v>71.5</v>
      </c>
      <c r="AK293" s="1"/>
      <c r="AL293" s="1" t="s">
        <v>5896</v>
      </c>
      <c r="AM293" s="1" t="s">
        <v>5897</v>
      </c>
      <c r="AN293" s="1" t="s">
        <v>165</v>
      </c>
      <c r="AO293" s="1" t="s">
        <v>281</v>
      </c>
      <c r="AP293" s="1">
        <v>70.3</v>
      </c>
      <c r="AQ293" s="1"/>
      <c r="AR293" s="1"/>
      <c r="AS293" s="1"/>
      <c r="AT293" s="1"/>
      <c r="AU293" s="1"/>
      <c r="AV293" s="1"/>
      <c r="AW293" s="1"/>
      <c r="AX293" s="1" t="s">
        <v>5898</v>
      </c>
      <c r="AY293" s="1" t="s">
        <v>5899</v>
      </c>
      <c r="AZ293" s="1" t="s">
        <v>101</v>
      </c>
      <c r="BA293" s="1" t="s">
        <v>1003</v>
      </c>
      <c r="BB293" s="1">
        <v>75.7</v>
      </c>
      <c r="BC293" s="1">
        <v>8.07</v>
      </c>
      <c r="BD293" s="1"/>
      <c r="BE293" s="1"/>
      <c r="BF293" s="1"/>
      <c r="BG293" s="1"/>
      <c r="BH293" s="1"/>
      <c r="BI293" s="1"/>
      <c r="BJ293" s="1" t="s">
        <v>5900</v>
      </c>
      <c r="BK293" s="1" t="s">
        <v>5901</v>
      </c>
      <c r="BL293" s="1" t="s">
        <v>5902</v>
      </c>
      <c r="BM293" s="1" t="s">
        <v>5903</v>
      </c>
      <c r="BN293" s="1">
        <v>21</v>
      </c>
      <c r="BO293" s="1" t="s">
        <v>5904</v>
      </c>
      <c r="BP293" s="1" t="str">
        <f>HYPERLINK("https://nconnect.nicmar.ac.in/storage/profile/ProfilePhoto_P25700238_975162.jpg","Download")</f>
        <v>0</v>
      </c>
      <c r="BQ293" s="3"/>
      <c r="BR293" s="3"/>
    </row>
    <row r="294" spans="1:70">
      <c r="A294" s="1" t="s">
        <v>70</v>
      </c>
      <c r="B294" s="1" t="s">
        <v>1269</v>
      </c>
      <c r="C294" s="1" t="s">
        <v>5905</v>
      </c>
      <c r="D294" s="1" t="s">
        <v>5906</v>
      </c>
      <c r="E294" s="1" t="s">
        <v>5907</v>
      </c>
      <c r="F294" s="1" t="s">
        <v>5908</v>
      </c>
      <c r="G294" s="1" t="s">
        <v>5909</v>
      </c>
      <c r="H294" s="1" t="s">
        <v>5910</v>
      </c>
      <c r="I294" s="1" t="s">
        <v>5911</v>
      </c>
      <c r="J294" s="1">
        <v>9511845197</v>
      </c>
      <c r="K294" s="1" t="s">
        <v>148</v>
      </c>
      <c r="L294" s="1" t="s">
        <v>5912</v>
      </c>
      <c r="M294" s="1" t="s">
        <v>81</v>
      </c>
      <c r="N294" s="1" t="s">
        <v>1882</v>
      </c>
      <c r="O294" s="1"/>
      <c r="P294" s="1" t="s">
        <v>1278</v>
      </c>
      <c r="Q294" s="1" t="s">
        <v>5913</v>
      </c>
      <c r="R294" s="1" t="s">
        <v>5914</v>
      </c>
      <c r="S294" s="1">
        <v>9422825564</v>
      </c>
      <c r="T294" s="1" t="s">
        <v>87</v>
      </c>
      <c r="U294" s="1" t="s">
        <v>5915</v>
      </c>
      <c r="V294" s="1">
        <v>9421802298</v>
      </c>
      <c r="W294" s="1" t="s">
        <v>122</v>
      </c>
      <c r="X294" s="1" t="s">
        <v>5916</v>
      </c>
      <c r="Y294" s="1" t="s">
        <v>191</v>
      </c>
      <c r="Z294" s="1" t="s">
        <v>92</v>
      </c>
      <c r="AA294" s="1" t="s">
        <v>5917</v>
      </c>
      <c r="AB294" s="1" t="s">
        <v>405</v>
      </c>
      <c r="AC294" s="1" t="s">
        <v>92</v>
      </c>
      <c r="AD294" s="1">
        <v>8.82</v>
      </c>
      <c r="AE294" s="1" t="s">
        <v>93</v>
      </c>
      <c r="AF294" s="1" t="s">
        <v>5918</v>
      </c>
      <c r="AG294" s="1" t="s">
        <v>939</v>
      </c>
      <c r="AH294" s="1" t="s">
        <v>503</v>
      </c>
      <c r="AI294" s="1" t="s">
        <v>527</v>
      </c>
      <c r="AJ294" s="1">
        <v>91.2</v>
      </c>
      <c r="AK294" s="1">
        <v>9.6</v>
      </c>
      <c r="AL294" s="1" t="s">
        <v>5919</v>
      </c>
      <c r="AM294" s="1" t="s">
        <v>5920</v>
      </c>
      <c r="AN294" s="1" t="s">
        <v>678</v>
      </c>
      <c r="AO294" s="1" t="s">
        <v>457</v>
      </c>
      <c r="AP294" s="1">
        <v>76</v>
      </c>
      <c r="AQ294" s="1">
        <v>8</v>
      </c>
      <c r="AR294" s="1"/>
      <c r="AS294" s="1"/>
      <c r="AT294" s="1"/>
      <c r="AU294" s="1"/>
      <c r="AV294" s="1"/>
      <c r="AW294" s="1"/>
      <c r="AX294" s="1" t="s">
        <v>410</v>
      </c>
      <c r="AY294" s="1" t="s">
        <v>5921</v>
      </c>
      <c r="AZ294" s="1" t="s">
        <v>636</v>
      </c>
      <c r="BA294" s="1" t="s">
        <v>229</v>
      </c>
      <c r="BB294" s="1">
        <v>82.08</v>
      </c>
      <c r="BC294" s="1">
        <v>8.64</v>
      </c>
      <c r="BD294" s="1"/>
      <c r="BE294" s="1"/>
      <c r="BF294" s="1"/>
      <c r="BG294" s="1"/>
      <c r="BH294" s="1"/>
      <c r="BI294" s="1"/>
      <c r="BJ294" s="1" t="s">
        <v>5922</v>
      </c>
      <c r="BK294" s="1" t="s">
        <v>5923</v>
      </c>
      <c r="BL294" s="1" t="s">
        <v>1561</v>
      </c>
      <c r="BM294" s="1" t="s">
        <v>5924</v>
      </c>
      <c r="BN294" s="1">
        <v>44</v>
      </c>
      <c r="BO294" s="1" t="s">
        <v>5925</v>
      </c>
      <c r="BP294" s="1" t="str">
        <f>HYPERLINK("https://nconnect.nicmar.ac.in/storage/profile/ProfilePhoto_P25700239_319765.jpg","Download")</f>
        <v>0</v>
      </c>
      <c r="BQ294" s="3"/>
      <c r="BR294" s="3"/>
    </row>
    <row r="295" spans="1:70">
      <c r="A295" s="1" t="s">
        <v>70</v>
      </c>
      <c r="B295" s="1" t="s">
        <v>1269</v>
      </c>
      <c r="C295" s="1" t="s">
        <v>5926</v>
      </c>
      <c r="D295" s="1" t="s">
        <v>5927</v>
      </c>
      <c r="E295" s="1" t="s">
        <v>1640</v>
      </c>
      <c r="F295" s="1" t="s">
        <v>5928</v>
      </c>
      <c r="G295" s="1" t="s">
        <v>5929</v>
      </c>
      <c r="H295" s="1" t="s">
        <v>5930</v>
      </c>
      <c r="I295" s="1" t="s">
        <v>5931</v>
      </c>
      <c r="J295" s="1">
        <v>7249211429</v>
      </c>
      <c r="K295" s="1" t="s">
        <v>79</v>
      </c>
      <c r="L295" s="1" t="s">
        <v>5932</v>
      </c>
      <c r="M295" s="1" t="s">
        <v>81</v>
      </c>
      <c r="N295" s="1" t="s">
        <v>3194</v>
      </c>
      <c r="O295" s="1"/>
      <c r="P295" s="1" t="s">
        <v>2507</v>
      </c>
      <c r="Q295" s="1" t="s">
        <v>5933</v>
      </c>
      <c r="R295" s="1" t="s">
        <v>5934</v>
      </c>
      <c r="S295" s="1">
        <v>9403348856</v>
      </c>
      <c r="T295" s="1" t="s">
        <v>1771</v>
      </c>
      <c r="U295" s="1" t="s">
        <v>5935</v>
      </c>
      <c r="V295" s="1">
        <v>9422061235</v>
      </c>
      <c r="W295" s="1" t="s">
        <v>122</v>
      </c>
      <c r="X295" s="1" t="s">
        <v>5936</v>
      </c>
      <c r="Y295" s="1" t="s">
        <v>5937</v>
      </c>
      <c r="Z295" s="1" t="s">
        <v>92</v>
      </c>
      <c r="AA295" s="1" t="s">
        <v>5936</v>
      </c>
      <c r="AB295" s="1" t="s">
        <v>5937</v>
      </c>
      <c r="AC295" s="1" t="s">
        <v>92</v>
      </c>
      <c r="AD295" s="1">
        <v>8.29</v>
      </c>
      <c r="AE295" s="1" t="s">
        <v>93</v>
      </c>
      <c r="AF295" s="1" t="s">
        <v>5938</v>
      </c>
      <c r="AG295" s="1" t="s">
        <v>5939</v>
      </c>
      <c r="AH295" s="1" t="s">
        <v>101</v>
      </c>
      <c r="AI295" s="1" t="s">
        <v>409</v>
      </c>
      <c r="AJ295" s="1">
        <v>85</v>
      </c>
      <c r="AK295" s="1">
        <v>0</v>
      </c>
      <c r="AL295" s="1"/>
      <c r="AM295" s="1"/>
      <c r="AN295" s="1"/>
      <c r="AO295" s="1"/>
      <c r="AP295" s="1"/>
      <c r="AQ295" s="1"/>
      <c r="AR295" s="1" t="s">
        <v>98</v>
      </c>
      <c r="AS295" s="1" t="s">
        <v>5940</v>
      </c>
      <c r="AT295" s="1" t="s">
        <v>201</v>
      </c>
      <c r="AU295" s="1" t="s">
        <v>481</v>
      </c>
      <c r="AV295" s="1">
        <v>85.63</v>
      </c>
      <c r="AW295" s="1">
        <v>0</v>
      </c>
      <c r="AX295" s="1" t="s">
        <v>361</v>
      </c>
      <c r="AY295" s="1" t="s">
        <v>5941</v>
      </c>
      <c r="AZ295" s="1" t="s">
        <v>874</v>
      </c>
      <c r="BA295" s="1" t="s">
        <v>1361</v>
      </c>
      <c r="BB295" s="1">
        <v>87.4</v>
      </c>
      <c r="BC295" s="1">
        <v>9.49</v>
      </c>
      <c r="BD295" s="1"/>
      <c r="BE295" s="1"/>
      <c r="BF295" s="1"/>
      <c r="BG295" s="1"/>
      <c r="BH295" s="1"/>
      <c r="BI295" s="1"/>
      <c r="BJ295" s="1" t="s">
        <v>5942</v>
      </c>
      <c r="BK295" s="1"/>
      <c r="BL295" s="1"/>
      <c r="BM295" s="1" t="s">
        <v>5943</v>
      </c>
      <c r="BN295" s="1">
        <v>26</v>
      </c>
      <c r="BO295" s="1"/>
      <c r="BP295" s="1" t="str">
        <f>HYPERLINK("https://nconnect.nicmar.ac.in/storage/profile/ProfilePhoto_P25700240_513948.jpg","Download")</f>
        <v>0</v>
      </c>
      <c r="BQ295" s="3"/>
      <c r="BR295" s="3"/>
    </row>
    <row r="296" spans="1:70">
      <c r="A296" s="1" t="s">
        <v>70</v>
      </c>
      <c r="B296" s="1" t="s">
        <v>1269</v>
      </c>
      <c r="C296" s="1" t="s">
        <v>5944</v>
      </c>
      <c r="D296" s="1" t="s">
        <v>1389</v>
      </c>
      <c r="E296" s="1" t="s">
        <v>2109</v>
      </c>
      <c r="F296" s="1" t="s">
        <v>5945</v>
      </c>
      <c r="G296" s="1" t="s">
        <v>5946</v>
      </c>
      <c r="H296" s="1" t="s">
        <v>5947</v>
      </c>
      <c r="I296" s="1" t="s">
        <v>5948</v>
      </c>
      <c r="J296" s="1">
        <v>9526608654</v>
      </c>
      <c r="K296" s="1" t="s">
        <v>79</v>
      </c>
      <c r="L296" s="1" t="s">
        <v>5949</v>
      </c>
      <c r="M296" s="1" t="s">
        <v>81</v>
      </c>
      <c r="N296" s="1" t="s">
        <v>5950</v>
      </c>
      <c r="O296" s="1"/>
      <c r="P296" s="1" t="s">
        <v>1323</v>
      </c>
      <c r="Q296" s="1" t="s">
        <v>5951</v>
      </c>
      <c r="R296" s="1" t="s">
        <v>5952</v>
      </c>
      <c r="S296" s="1">
        <v>9961775494</v>
      </c>
      <c r="T296" s="1" t="s">
        <v>863</v>
      </c>
      <c r="U296" s="1" t="s">
        <v>5953</v>
      </c>
      <c r="V296" s="1">
        <v>8330041549</v>
      </c>
      <c r="W296" s="1" t="s">
        <v>156</v>
      </c>
      <c r="X296" s="1" t="s">
        <v>5954</v>
      </c>
      <c r="Y296" s="1" t="s">
        <v>1260</v>
      </c>
      <c r="Z296" s="1" t="s">
        <v>125</v>
      </c>
      <c r="AA296" s="1" t="s">
        <v>5954</v>
      </c>
      <c r="AB296" s="1" t="s">
        <v>1260</v>
      </c>
      <c r="AC296" s="1" t="s">
        <v>125</v>
      </c>
      <c r="AD296" s="1">
        <v>9.11</v>
      </c>
      <c r="AE296" s="1" t="s">
        <v>93</v>
      </c>
      <c r="AF296" s="1" t="s">
        <v>5955</v>
      </c>
      <c r="AG296" s="1" t="s">
        <v>5956</v>
      </c>
      <c r="AH296" s="1" t="s">
        <v>101</v>
      </c>
      <c r="AI296" s="1" t="s">
        <v>308</v>
      </c>
      <c r="AJ296" s="1">
        <v>95.2</v>
      </c>
      <c r="AK296" s="1"/>
      <c r="AL296" s="1" t="s">
        <v>5957</v>
      </c>
      <c r="AM296" s="1" t="s">
        <v>5958</v>
      </c>
      <c r="AN296" s="1" t="s">
        <v>699</v>
      </c>
      <c r="AO296" s="1" t="s">
        <v>506</v>
      </c>
      <c r="AP296" s="1">
        <v>97.25</v>
      </c>
      <c r="AQ296" s="1"/>
      <c r="AR296" s="1"/>
      <c r="AS296" s="1"/>
      <c r="AT296" s="1"/>
      <c r="AU296" s="1"/>
      <c r="AV296" s="1"/>
      <c r="AW296" s="1"/>
      <c r="AX296" s="1" t="s">
        <v>132</v>
      </c>
      <c r="AY296" s="1" t="s">
        <v>5959</v>
      </c>
      <c r="AZ296" s="1" t="s">
        <v>1407</v>
      </c>
      <c r="BA296" s="1" t="s">
        <v>1408</v>
      </c>
      <c r="BB296" s="1">
        <v>83.3</v>
      </c>
      <c r="BC296" s="1"/>
      <c r="BD296" s="1"/>
      <c r="BE296" s="1"/>
      <c r="BF296" s="1"/>
      <c r="BG296" s="1"/>
      <c r="BH296" s="1"/>
      <c r="BI296" s="1"/>
      <c r="BJ296" s="1" t="s">
        <v>5960</v>
      </c>
      <c r="BK296" s="1"/>
      <c r="BL296" s="1"/>
      <c r="BM296" s="1" t="s">
        <v>5961</v>
      </c>
      <c r="BN296" s="1">
        <v>13</v>
      </c>
      <c r="BO296" s="1" t="s">
        <v>5962</v>
      </c>
      <c r="BP296" s="1" t="str">
        <f>HYPERLINK("https://nconnect.nicmar.ac.in/storage/profile/ProfilePhoto_P25700241_162534.jpg","Download")</f>
        <v>0</v>
      </c>
      <c r="BQ296" s="3"/>
      <c r="BR296" s="3"/>
    </row>
    <row r="297" spans="1:70">
      <c r="A297" s="1" t="s">
        <v>70</v>
      </c>
      <c r="B297" s="1" t="s">
        <v>1269</v>
      </c>
      <c r="C297" s="1" t="s">
        <v>5963</v>
      </c>
      <c r="D297" s="1" t="s">
        <v>5964</v>
      </c>
      <c r="E297" s="1"/>
      <c r="F297" s="1" t="s">
        <v>5965</v>
      </c>
      <c r="G297" s="1" t="s">
        <v>5966</v>
      </c>
      <c r="H297" s="1" t="s">
        <v>5967</v>
      </c>
      <c r="I297" s="1" t="s">
        <v>5968</v>
      </c>
      <c r="J297" s="1">
        <v>7047098155</v>
      </c>
      <c r="K297" s="1" t="s">
        <v>79</v>
      </c>
      <c r="L297" s="1" t="s">
        <v>5969</v>
      </c>
      <c r="M297" s="1" t="s">
        <v>81</v>
      </c>
      <c r="N297" s="1" t="s">
        <v>5056</v>
      </c>
      <c r="O297" s="1"/>
      <c r="P297" s="1" t="s">
        <v>1298</v>
      </c>
      <c r="Q297" s="1" t="s">
        <v>5970</v>
      </c>
      <c r="R297" s="1" t="s">
        <v>5971</v>
      </c>
      <c r="S297" s="1">
        <v>9893878586</v>
      </c>
      <c r="T297" s="1" t="s">
        <v>5972</v>
      </c>
      <c r="U297" s="1" t="s">
        <v>5973</v>
      </c>
      <c r="V297" s="1">
        <v>9977083578</v>
      </c>
      <c r="W297" s="1" t="s">
        <v>156</v>
      </c>
      <c r="X297" s="1" t="s">
        <v>5974</v>
      </c>
      <c r="Y297" s="1" t="s">
        <v>5975</v>
      </c>
      <c r="Z297" s="1" t="s">
        <v>936</v>
      </c>
      <c r="AA297" s="1" t="s">
        <v>5974</v>
      </c>
      <c r="AB297" s="1" t="s">
        <v>5975</v>
      </c>
      <c r="AC297" s="1" t="s">
        <v>936</v>
      </c>
      <c r="AD297" s="1">
        <v>7.71</v>
      </c>
      <c r="AE297" s="1" t="s">
        <v>93</v>
      </c>
      <c r="AF297" s="1" t="s">
        <v>5976</v>
      </c>
      <c r="AG297" s="1" t="s">
        <v>5977</v>
      </c>
      <c r="AH297" s="1" t="s">
        <v>279</v>
      </c>
      <c r="AI297" s="1" t="s">
        <v>165</v>
      </c>
      <c r="AJ297" s="1">
        <v>76</v>
      </c>
      <c r="AK297" s="1"/>
      <c r="AL297" s="1" t="s">
        <v>5978</v>
      </c>
      <c r="AM297" s="1" t="s">
        <v>5979</v>
      </c>
      <c r="AN297" s="1" t="s">
        <v>1307</v>
      </c>
      <c r="AO297" s="1" t="s">
        <v>308</v>
      </c>
      <c r="AP297" s="1">
        <v>74.4</v>
      </c>
      <c r="AQ297" s="1"/>
      <c r="AR297" s="1"/>
      <c r="AS297" s="1"/>
      <c r="AT297" s="1"/>
      <c r="AU297" s="1"/>
      <c r="AV297" s="1"/>
      <c r="AW297" s="1"/>
      <c r="AX297" s="1" t="s">
        <v>5980</v>
      </c>
      <c r="AY297" s="1" t="s">
        <v>5981</v>
      </c>
      <c r="AZ297" s="1" t="s">
        <v>170</v>
      </c>
      <c r="BA297" s="1" t="s">
        <v>1939</v>
      </c>
      <c r="BB297" s="1">
        <v>67.6</v>
      </c>
      <c r="BC297" s="1">
        <v>6.76</v>
      </c>
      <c r="BD297" s="1"/>
      <c r="BE297" s="1"/>
      <c r="BF297" s="1"/>
      <c r="BG297" s="1"/>
      <c r="BH297" s="1"/>
      <c r="BI297" s="1"/>
      <c r="BJ297" s="1" t="s">
        <v>364</v>
      </c>
      <c r="BK297" s="1"/>
      <c r="BL297" s="1"/>
      <c r="BM297" s="1" t="s">
        <v>5982</v>
      </c>
      <c r="BN297" s="1">
        <v>27</v>
      </c>
      <c r="BO297" s="1" t="s">
        <v>5983</v>
      </c>
      <c r="BP297" s="1" t="str">
        <f>HYPERLINK("https://nconnect.nicmar.ac.in/storage/profile/ProfilePhoto_P25700242_529817.jpg","Download")</f>
        <v>0</v>
      </c>
      <c r="BQ297" s="3"/>
      <c r="BR297" s="3"/>
    </row>
    <row r="298" spans="1:70">
      <c r="A298" s="1" t="s">
        <v>70</v>
      </c>
      <c r="B298" s="1" t="s">
        <v>1269</v>
      </c>
      <c r="C298" s="1" t="s">
        <v>5984</v>
      </c>
      <c r="D298" s="1" t="s">
        <v>5985</v>
      </c>
      <c r="E298" s="1" t="s">
        <v>5986</v>
      </c>
      <c r="F298" s="1" t="s">
        <v>2897</v>
      </c>
      <c r="G298" s="1" t="s">
        <v>5987</v>
      </c>
      <c r="H298" s="1" t="s">
        <v>5988</v>
      </c>
      <c r="I298" s="1" t="s">
        <v>5989</v>
      </c>
      <c r="J298" s="1">
        <v>9099966861</v>
      </c>
      <c r="K298" s="1" t="s">
        <v>79</v>
      </c>
      <c r="L298" s="1" t="s">
        <v>5990</v>
      </c>
      <c r="M298" s="1" t="s">
        <v>81</v>
      </c>
      <c r="N298" s="1" t="s">
        <v>5991</v>
      </c>
      <c r="O298" s="1"/>
      <c r="P298" s="1" t="s">
        <v>1323</v>
      </c>
      <c r="Q298" s="1" t="s">
        <v>5992</v>
      </c>
      <c r="R298" s="1" t="s">
        <v>5986</v>
      </c>
      <c r="S298" s="1">
        <v>9825025704</v>
      </c>
      <c r="T298" s="1" t="s">
        <v>5993</v>
      </c>
      <c r="U298" s="1" t="s">
        <v>5994</v>
      </c>
      <c r="V298" s="1">
        <v>9879618900</v>
      </c>
      <c r="W298" s="1" t="s">
        <v>496</v>
      </c>
      <c r="X298" s="1" t="s">
        <v>5995</v>
      </c>
      <c r="Y298" s="1" t="s">
        <v>5894</v>
      </c>
      <c r="Z298" s="1" t="s">
        <v>1468</v>
      </c>
      <c r="AA298" s="1" t="s">
        <v>5995</v>
      </c>
      <c r="AB298" s="1" t="s">
        <v>5894</v>
      </c>
      <c r="AC298" s="1" t="s">
        <v>1468</v>
      </c>
      <c r="AD298" s="1">
        <v>8.1</v>
      </c>
      <c r="AE298" s="1" t="s">
        <v>93</v>
      </c>
      <c r="AF298" s="1" t="s">
        <v>5996</v>
      </c>
      <c r="AG298" s="1" t="s">
        <v>1665</v>
      </c>
      <c r="AH298" s="1" t="s">
        <v>279</v>
      </c>
      <c r="AI298" s="1" t="s">
        <v>165</v>
      </c>
      <c r="AJ298" s="1">
        <v>74.1</v>
      </c>
      <c r="AK298" s="1">
        <v>7.8</v>
      </c>
      <c r="AL298" s="1" t="s">
        <v>5996</v>
      </c>
      <c r="AM298" s="1" t="s">
        <v>1665</v>
      </c>
      <c r="AN298" s="1" t="s">
        <v>1307</v>
      </c>
      <c r="AO298" s="1" t="s">
        <v>308</v>
      </c>
      <c r="AP298" s="1">
        <v>62.8</v>
      </c>
      <c r="AQ298" s="1"/>
      <c r="AR298" s="1"/>
      <c r="AS298" s="1"/>
      <c r="AT298" s="1"/>
      <c r="AU298" s="1"/>
      <c r="AV298" s="1"/>
      <c r="AW298" s="1"/>
      <c r="AX298" s="1" t="s">
        <v>5997</v>
      </c>
      <c r="AY298" s="1" t="s">
        <v>5998</v>
      </c>
      <c r="AZ298" s="1" t="s">
        <v>433</v>
      </c>
      <c r="BA298" s="1" t="s">
        <v>229</v>
      </c>
      <c r="BB298" s="1">
        <v>73.8</v>
      </c>
      <c r="BC298" s="1">
        <v>7.88</v>
      </c>
      <c r="BD298" s="1"/>
      <c r="BE298" s="1"/>
      <c r="BF298" s="1"/>
      <c r="BG298" s="1"/>
      <c r="BH298" s="1"/>
      <c r="BI298" s="1"/>
      <c r="BJ298" s="1" t="s">
        <v>5999</v>
      </c>
      <c r="BK298" s="1"/>
      <c r="BL298" s="1"/>
      <c r="BM298" s="1" t="s">
        <v>6000</v>
      </c>
      <c r="BN298" s="1">
        <v>129</v>
      </c>
      <c r="BO298" s="1"/>
      <c r="BP298" s="1" t="str">
        <f>HYPERLINK("https://nconnect.nicmar.ac.in/storage/profile/ProfilePhoto_P25700243_752468.jpg","Download")</f>
        <v>0</v>
      </c>
      <c r="BQ298" s="3"/>
      <c r="BR298" s="3"/>
    </row>
    <row r="299" spans="1:70">
      <c r="A299" s="1" t="s">
        <v>70</v>
      </c>
      <c r="B299" s="1" t="s">
        <v>1269</v>
      </c>
      <c r="C299" s="1" t="s">
        <v>6001</v>
      </c>
      <c r="D299" s="1" t="s">
        <v>343</v>
      </c>
      <c r="E299" s="1" t="s">
        <v>1566</v>
      </c>
      <c r="F299" s="1" t="s">
        <v>6002</v>
      </c>
      <c r="G299" s="1" t="s">
        <v>6003</v>
      </c>
      <c r="H299" s="1" t="s">
        <v>6004</v>
      </c>
      <c r="I299" s="1" t="s">
        <v>6005</v>
      </c>
      <c r="J299" s="1">
        <v>8390507869</v>
      </c>
      <c r="K299" s="1" t="s">
        <v>79</v>
      </c>
      <c r="L299" s="1" t="s">
        <v>6006</v>
      </c>
      <c r="M299" s="1" t="s">
        <v>81</v>
      </c>
      <c r="N299" s="1" t="s">
        <v>6007</v>
      </c>
      <c r="O299" s="1"/>
      <c r="P299" s="1"/>
      <c r="Q299" s="1" t="s">
        <v>6008</v>
      </c>
      <c r="R299" s="1" t="s">
        <v>6009</v>
      </c>
      <c r="S299" s="1">
        <v>8378860125</v>
      </c>
      <c r="T299" s="1" t="s">
        <v>496</v>
      </c>
      <c r="U299" s="1" t="s">
        <v>6010</v>
      </c>
      <c r="V299" s="1">
        <v>9309402750</v>
      </c>
      <c r="W299" s="1" t="s">
        <v>89</v>
      </c>
      <c r="X299" s="1" t="s">
        <v>6011</v>
      </c>
      <c r="Y299" s="1" t="s">
        <v>158</v>
      </c>
      <c r="Z299" s="1" t="s">
        <v>92</v>
      </c>
      <c r="AA299" s="1" t="s">
        <v>6011</v>
      </c>
      <c r="AB299" s="1" t="s">
        <v>158</v>
      </c>
      <c r="AC299" s="1" t="s">
        <v>92</v>
      </c>
      <c r="AD299" s="1">
        <v>8.49</v>
      </c>
      <c r="AE299" s="1" t="s">
        <v>93</v>
      </c>
      <c r="AF299" s="1" t="s">
        <v>6012</v>
      </c>
      <c r="AG299" s="1" t="s">
        <v>3558</v>
      </c>
      <c r="AH299" s="1" t="s">
        <v>96</v>
      </c>
      <c r="AI299" s="1" t="s">
        <v>97</v>
      </c>
      <c r="AJ299" s="1">
        <v>91.6</v>
      </c>
      <c r="AK299" s="1"/>
      <c r="AL299" s="1" t="s">
        <v>6013</v>
      </c>
      <c r="AM299" s="1" t="s">
        <v>3558</v>
      </c>
      <c r="AN299" s="1" t="s">
        <v>100</v>
      </c>
      <c r="AO299" s="1" t="s">
        <v>165</v>
      </c>
      <c r="AP299" s="1">
        <v>73.69</v>
      </c>
      <c r="AQ299" s="1"/>
      <c r="AR299" s="1"/>
      <c r="AS299" s="1"/>
      <c r="AT299" s="1"/>
      <c r="AU299" s="1"/>
      <c r="AV299" s="1"/>
      <c r="AW299" s="1"/>
      <c r="AX299" s="1" t="s">
        <v>437</v>
      </c>
      <c r="AY299" s="1" t="s">
        <v>6014</v>
      </c>
      <c r="AZ299" s="1" t="s">
        <v>225</v>
      </c>
      <c r="BA299" s="1" t="s">
        <v>506</v>
      </c>
      <c r="BB299" s="1">
        <v>75.53</v>
      </c>
      <c r="BC299" s="1"/>
      <c r="BD299" s="1"/>
      <c r="BE299" s="1"/>
      <c r="BF299" s="1"/>
      <c r="BG299" s="1"/>
      <c r="BH299" s="1"/>
      <c r="BI299" s="1"/>
      <c r="BJ299" s="1" t="s">
        <v>6015</v>
      </c>
      <c r="BK299" s="1" t="s">
        <v>6016</v>
      </c>
      <c r="BL299" s="1" t="s">
        <v>3266</v>
      </c>
      <c r="BM299" s="1" t="s">
        <v>6017</v>
      </c>
      <c r="BN299" s="1">
        <v>8</v>
      </c>
      <c r="BO299" s="1"/>
      <c r="BP299" s="1" t="str">
        <f>HYPERLINK("https://nconnect.nicmar.ac.in/storage/profile/ProfilePhoto_P25700244_691843.jpg","Download")</f>
        <v>0</v>
      </c>
      <c r="BQ299" s="3"/>
      <c r="BR299" s="3"/>
    </row>
    <row r="300" spans="1:70">
      <c r="A300" s="1" t="s">
        <v>70</v>
      </c>
      <c r="B300" s="1" t="s">
        <v>1269</v>
      </c>
      <c r="C300" s="1" t="s">
        <v>6018</v>
      </c>
      <c r="D300" s="1" t="s">
        <v>6019</v>
      </c>
      <c r="E300" s="1" t="s">
        <v>756</v>
      </c>
      <c r="F300" s="1" t="s">
        <v>6020</v>
      </c>
      <c r="G300" s="1" t="s">
        <v>6021</v>
      </c>
      <c r="H300" s="1" t="s">
        <v>6022</v>
      </c>
      <c r="I300" s="1" t="s">
        <v>6023</v>
      </c>
      <c r="J300" s="1">
        <v>8483031912</v>
      </c>
      <c r="K300" s="1" t="s">
        <v>148</v>
      </c>
      <c r="L300" s="1" t="s">
        <v>6024</v>
      </c>
      <c r="M300" s="1" t="s">
        <v>81</v>
      </c>
      <c r="N300" s="1" t="s">
        <v>1418</v>
      </c>
      <c r="O300" s="1"/>
      <c r="P300" s="1" t="s">
        <v>2507</v>
      </c>
      <c r="Q300" s="1" t="s">
        <v>6025</v>
      </c>
      <c r="R300" s="1" t="s">
        <v>756</v>
      </c>
      <c r="S300" s="1">
        <v>8767841534</v>
      </c>
      <c r="T300" s="1" t="s">
        <v>993</v>
      </c>
      <c r="U300" s="1" t="s">
        <v>6026</v>
      </c>
      <c r="V300" s="1">
        <v>8483031912</v>
      </c>
      <c r="W300" s="1" t="s">
        <v>156</v>
      </c>
      <c r="X300" s="1" t="s">
        <v>6027</v>
      </c>
      <c r="Y300" s="1" t="s">
        <v>405</v>
      </c>
      <c r="Z300" s="1" t="s">
        <v>92</v>
      </c>
      <c r="AA300" s="1" t="s">
        <v>6027</v>
      </c>
      <c r="AB300" s="1" t="s">
        <v>405</v>
      </c>
      <c r="AC300" s="1" t="s">
        <v>92</v>
      </c>
      <c r="AD300" s="1">
        <v>8.05</v>
      </c>
      <c r="AE300" s="1" t="s">
        <v>93</v>
      </c>
      <c r="AF300" s="1" t="s">
        <v>6028</v>
      </c>
      <c r="AG300" s="1" t="s">
        <v>6029</v>
      </c>
      <c r="AH300" s="1" t="s">
        <v>479</v>
      </c>
      <c r="AI300" s="1" t="s">
        <v>166</v>
      </c>
      <c r="AJ300" s="1">
        <v>80.4</v>
      </c>
      <c r="AK300" s="1"/>
      <c r="AL300" s="1" t="s">
        <v>6030</v>
      </c>
      <c r="AM300" s="1" t="s">
        <v>6031</v>
      </c>
      <c r="AN300" s="1" t="s">
        <v>169</v>
      </c>
      <c r="AO300" s="1" t="s">
        <v>360</v>
      </c>
      <c r="AP300" s="1">
        <v>67.85</v>
      </c>
      <c r="AQ300" s="1"/>
      <c r="AR300" s="1"/>
      <c r="AS300" s="1"/>
      <c r="AT300" s="1"/>
      <c r="AU300" s="1"/>
      <c r="AV300" s="1"/>
      <c r="AW300" s="1"/>
      <c r="AX300" s="1" t="s">
        <v>410</v>
      </c>
      <c r="AY300" s="1" t="s">
        <v>6032</v>
      </c>
      <c r="AZ300" s="1" t="s">
        <v>173</v>
      </c>
      <c r="BA300" s="1" t="s">
        <v>6033</v>
      </c>
      <c r="BB300" s="1">
        <v>74</v>
      </c>
      <c r="BC300" s="1"/>
      <c r="BD300" s="1"/>
      <c r="BE300" s="1"/>
      <c r="BF300" s="1"/>
      <c r="BG300" s="1"/>
      <c r="BH300" s="1"/>
      <c r="BI300" s="1"/>
      <c r="BJ300" s="1" t="s">
        <v>6034</v>
      </c>
      <c r="BK300" s="1"/>
      <c r="BL300" s="1"/>
      <c r="BM300" s="1" t="s">
        <v>6035</v>
      </c>
      <c r="BN300" s="1">
        <v>78</v>
      </c>
      <c r="BO300" s="1" t="s">
        <v>6036</v>
      </c>
      <c r="BP300" s="1" t="str">
        <f>HYPERLINK("https://nconnect.nicmar.ac.in/storage/profile/ProfilePhoto_P25700245_918463.jpg","Download")</f>
        <v>0</v>
      </c>
      <c r="BQ300" s="3"/>
      <c r="BR300" s="3"/>
    </row>
    <row r="301" spans="1:70">
      <c r="A301" s="1" t="s">
        <v>70</v>
      </c>
      <c r="B301" s="1" t="s">
        <v>1269</v>
      </c>
      <c r="C301" s="1" t="s">
        <v>6037</v>
      </c>
      <c r="D301" s="1" t="s">
        <v>2024</v>
      </c>
      <c r="E301" s="1" t="s">
        <v>4232</v>
      </c>
      <c r="F301" s="1" t="s">
        <v>144</v>
      </c>
      <c r="G301" s="1" t="s">
        <v>6038</v>
      </c>
      <c r="H301" s="1" t="s">
        <v>6039</v>
      </c>
      <c r="I301" s="1" t="s">
        <v>6040</v>
      </c>
      <c r="J301" s="1">
        <v>7900162345</v>
      </c>
      <c r="K301" s="1" t="s">
        <v>79</v>
      </c>
      <c r="L301" s="1" t="s">
        <v>4278</v>
      </c>
      <c r="M301" s="1" t="s">
        <v>81</v>
      </c>
      <c r="N301" s="1" t="s">
        <v>1418</v>
      </c>
      <c r="O301" s="1"/>
      <c r="P301" s="1" t="s">
        <v>1766</v>
      </c>
      <c r="Q301" s="1" t="s">
        <v>6041</v>
      </c>
      <c r="R301" s="1" t="s">
        <v>6042</v>
      </c>
      <c r="S301" s="1">
        <v>9869781092</v>
      </c>
      <c r="T301" s="1" t="s">
        <v>216</v>
      </c>
      <c r="U301" s="1" t="s">
        <v>6043</v>
      </c>
      <c r="V301" s="1">
        <v>9969453439</v>
      </c>
      <c r="W301" s="1" t="s">
        <v>496</v>
      </c>
      <c r="X301" s="1" t="s">
        <v>6044</v>
      </c>
      <c r="Y301" s="1" t="s">
        <v>766</v>
      </c>
      <c r="Z301" s="1" t="s">
        <v>92</v>
      </c>
      <c r="AA301" s="1" t="s">
        <v>6044</v>
      </c>
      <c r="AB301" s="1" t="s">
        <v>766</v>
      </c>
      <c r="AC301" s="1" t="s">
        <v>92</v>
      </c>
      <c r="AD301" s="1">
        <v>8.56</v>
      </c>
      <c r="AE301" s="1" t="s">
        <v>93</v>
      </c>
      <c r="AF301" s="1" t="s">
        <v>6045</v>
      </c>
      <c r="AG301" s="1" t="s">
        <v>6046</v>
      </c>
      <c r="AH301" s="1" t="s">
        <v>96</v>
      </c>
      <c r="AI301" s="1" t="s">
        <v>479</v>
      </c>
      <c r="AJ301" s="1">
        <v>81</v>
      </c>
      <c r="AK301" s="1"/>
      <c r="AL301" s="1" t="s">
        <v>6047</v>
      </c>
      <c r="AM301" s="1" t="s">
        <v>6046</v>
      </c>
      <c r="AN301" s="1" t="s">
        <v>383</v>
      </c>
      <c r="AO301" s="1" t="s">
        <v>433</v>
      </c>
      <c r="AP301" s="1">
        <v>67.69</v>
      </c>
      <c r="AQ301" s="1"/>
      <c r="AR301" s="1"/>
      <c r="AS301" s="1"/>
      <c r="AT301" s="1"/>
      <c r="AU301" s="1"/>
      <c r="AV301" s="1"/>
      <c r="AW301" s="1"/>
      <c r="AX301" s="1" t="s">
        <v>6048</v>
      </c>
      <c r="AY301" s="1" t="s">
        <v>6049</v>
      </c>
      <c r="AZ301" s="1" t="s">
        <v>310</v>
      </c>
      <c r="BA301" s="1" t="s">
        <v>174</v>
      </c>
      <c r="BB301" s="1">
        <v>80.6</v>
      </c>
      <c r="BC301" s="1">
        <v>8.56</v>
      </c>
      <c r="BD301" s="1"/>
      <c r="BE301" s="1"/>
      <c r="BF301" s="1"/>
      <c r="BG301" s="1"/>
      <c r="BH301" s="1"/>
      <c r="BI301" s="1"/>
      <c r="BJ301" s="1" t="s">
        <v>6050</v>
      </c>
      <c r="BK301" s="1" t="s">
        <v>6051</v>
      </c>
      <c r="BL301" s="1" t="s">
        <v>1629</v>
      </c>
      <c r="BM301" s="1" t="s">
        <v>6052</v>
      </c>
      <c r="BN301" s="1">
        <v>34</v>
      </c>
      <c r="BO301" s="1" t="s">
        <v>6053</v>
      </c>
      <c r="BP301" s="1" t="str">
        <f>HYPERLINK("https://nconnect.nicmar.ac.in/storage/profile/ProfilePhoto_P25700246_546739.jpg","Download")</f>
        <v>0</v>
      </c>
      <c r="BQ301" s="3"/>
      <c r="BR301" s="3"/>
    </row>
    <row r="302" spans="1:70">
      <c r="A302" s="1" t="s">
        <v>70</v>
      </c>
      <c r="B302" s="1" t="s">
        <v>1269</v>
      </c>
      <c r="C302" s="1" t="s">
        <v>6054</v>
      </c>
      <c r="D302" s="1" t="s">
        <v>6055</v>
      </c>
      <c r="E302" s="1"/>
      <c r="F302" s="1" t="s">
        <v>6056</v>
      </c>
      <c r="G302" s="1" t="s">
        <v>6057</v>
      </c>
      <c r="H302" s="1" t="s">
        <v>6058</v>
      </c>
      <c r="I302" s="1" t="s">
        <v>6059</v>
      </c>
      <c r="J302" s="1">
        <v>9778349801</v>
      </c>
      <c r="K302" s="1" t="s">
        <v>148</v>
      </c>
      <c r="L302" s="1" t="s">
        <v>6060</v>
      </c>
      <c r="M302" s="1" t="s">
        <v>81</v>
      </c>
      <c r="N302" s="1" t="s">
        <v>5950</v>
      </c>
      <c r="O302" s="1"/>
      <c r="P302" s="1" t="s">
        <v>1278</v>
      </c>
      <c r="Q302" s="1" t="s">
        <v>6061</v>
      </c>
      <c r="R302" s="1" t="s">
        <v>6062</v>
      </c>
      <c r="S302" s="1">
        <v>9400983641</v>
      </c>
      <c r="T302" s="1" t="s">
        <v>6063</v>
      </c>
      <c r="U302" s="1" t="s">
        <v>6064</v>
      </c>
      <c r="V302" s="1">
        <v>9946724284</v>
      </c>
      <c r="W302" s="1" t="s">
        <v>6065</v>
      </c>
      <c r="X302" s="1" t="s">
        <v>6066</v>
      </c>
      <c r="Y302" s="1" t="s">
        <v>6067</v>
      </c>
      <c r="Z302" s="1" t="s">
        <v>125</v>
      </c>
      <c r="AA302" s="1" t="s">
        <v>6066</v>
      </c>
      <c r="AB302" s="1" t="s">
        <v>6067</v>
      </c>
      <c r="AC302" s="1" t="s">
        <v>125</v>
      </c>
      <c r="AD302" s="1">
        <v>8.85</v>
      </c>
      <c r="AE302" s="1" t="s">
        <v>93</v>
      </c>
      <c r="AF302" s="1" t="s">
        <v>6068</v>
      </c>
      <c r="AG302" s="1" t="s">
        <v>4287</v>
      </c>
      <c r="AH302" s="1" t="s">
        <v>162</v>
      </c>
      <c r="AI302" s="1" t="s">
        <v>195</v>
      </c>
      <c r="AJ302" s="1">
        <v>90</v>
      </c>
      <c r="AK302" s="1"/>
      <c r="AL302" s="1" t="s">
        <v>6069</v>
      </c>
      <c r="AM302" s="1" t="s">
        <v>6070</v>
      </c>
      <c r="AN302" s="1" t="s">
        <v>165</v>
      </c>
      <c r="AO302" s="1" t="s">
        <v>1065</v>
      </c>
      <c r="AP302" s="1">
        <v>96.08</v>
      </c>
      <c r="AQ302" s="1"/>
      <c r="AR302" s="1"/>
      <c r="AS302" s="1"/>
      <c r="AT302" s="1"/>
      <c r="AU302" s="1"/>
      <c r="AV302" s="1"/>
      <c r="AW302" s="1"/>
      <c r="AX302" s="1" t="s">
        <v>6071</v>
      </c>
      <c r="AY302" s="1" t="s">
        <v>6072</v>
      </c>
      <c r="AZ302" s="1" t="s">
        <v>920</v>
      </c>
      <c r="BA302" s="1" t="s">
        <v>944</v>
      </c>
      <c r="BB302" s="1">
        <v>81.9</v>
      </c>
      <c r="BC302" s="1">
        <v>8.19</v>
      </c>
      <c r="BD302" s="1"/>
      <c r="BE302" s="1"/>
      <c r="BF302" s="1"/>
      <c r="BG302" s="1"/>
      <c r="BH302" s="1"/>
      <c r="BI302" s="1"/>
      <c r="BJ302" s="1" t="s">
        <v>6073</v>
      </c>
      <c r="BK302" s="1"/>
      <c r="BL302" s="1"/>
      <c r="BM302" s="1" t="s">
        <v>6074</v>
      </c>
      <c r="BN302" s="1">
        <v>12</v>
      </c>
      <c r="BO302" s="1" t="s">
        <v>6075</v>
      </c>
      <c r="BP302" s="1" t="str">
        <f>HYPERLINK("https://nconnect.nicmar.ac.in/storage/profile/ProfilePhoto_P25700247_237156.jpg","Download")</f>
        <v>0</v>
      </c>
      <c r="BQ302" s="3"/>
      <c r="BR302" s="3"/>
    </row>
    <row r="303" spans="1:70">
      <c r="A303" s="1" t="s">
        <v>70</v>
      </c>
      <c r="B303" s="1" t="s">
        <v>1269</v>
      </c>
      <c r="C303" s="1" t="s">
        <v>6076</v>
      </c>
      <c r="D303" s="1" t="s">
        <v>6077</v>
      </c>
      <c r="E303" s="1" t="s">
        <v>835</v>
      </c>
      <c r="F303" s="1" t="s">
        <v>6078</v>
      </c>
      <c r="G303" s="1" t="s">
        <v>6079</v>
      </c>
      <c r="H303" s="1" t="s">
        <v>6080</v>
      </c>
      <c r="I303" s="1" t="s">
        <v>6081</v>
      </c>
      <c r="J303" s="1">
        <v>8085305679</v>
      </c>
      <c r="K303" s="1" t="s">
        <v>79</v>
      </c>
      <c r="L303" s="1" t="s">
        <v>6082</v>
      </c>
      <c r="M303" s="1" t="s">
        <v>81</v>
      </c>
      <c r="N303" s="1" t="s">
        <v>6083</v>
      </c>
      <c r="O303" s="1"/>
      <c r="P303" s="1" t="s">
        <v>1298</v>
      </c>
      <c r="Q303" s="1" t="s">
        <v>6084</v>
      </c>
      <c r="R303" s="1" t="s">
        <v>6085</v>
      </c>
      <c r="S303" s="1">
        <v>9827117689</v>
      </c>
      <c r="T303" s="1" t="s">
        <v>1554</v>
      </c>
      <c r="U303" s="1" t="s">
        <v>6086</v>
      </c>
      <c r="V303" s="1">
        <v>9109505679</v>
      </c>
      <c r="W303" s="1" t="s">
        <v>89</v>
      </c>
      <c r="X303" s="1" t="s">
        <v>6087</v>
      </c>
      <c r="Y303" s="1" t="s">
        <v>6088</v>
      </c>
      <c r="Z303" s="1" t="s">
        <v>1237</v>
      </c>
      <c r="AA303" s="1" t="s">
        <v>6087</v>
      </c>
      <c r="AB303" s="1" t="s">
        <v>6088</v>
      </c>
      <c r="AC303" s="1" t="s">
        <v>1237</v>
      </c>
      <c r="AD303" s="1">
        <v>8.33</v>
      </c>
      <c r="AE303" s="1" t="s">
        <v>93</v>
      </c>
      <c r="AF303" s="1" t="s">
        <v>6089</v>
      </c>
      <c r="AG303" s="1" t="s">
        <v>6090</v>
      </c>
      <c r="AH303" s="1" t="s">
        <v>281</v>
      </c>
      <c r="AI303" s="1" t="s">
        <v>308</v>
      </c>
      <c r="AJ303" s="1">
        <v>82.2</v>
      </c>
      <c r="AK303" s="1">
        <v>0</v>
      </c>
      <c r="AL303" s="1" t="s">
        <v>723</v>
      </c>
      <c r="AM303" s="1" t="s">
        <v>307</v>
      </c>
      <c r="AN303" s="1" t="s">
        <v>941</v>
      </c>
      <c r="AO303" s="1" t="s">
        <v>506</v>
      </c>
      <c r="AP303" s="1">
        <v>77.4</v>
      </c>
      <c r="AQ303" s="1">
        <v>0</v>
      </c>
      <c r="AR303" s="1"/>
      <c r="AS303" s="1"/>
      <c r="AT303" s="1"/>
      <c r="AU303" s="1"/>
      <c r="AV303" s="1"/>
      <c r="AW303" s="1"/>
      <c r="AX303" s="1" t="s">
        <v>1243</v>
      </c>
      <c r="AY303" s="1" t="s">
        <v>6091</v>
      </c>
      <c r="AZ303" s="1" t="s">
        <v>436</v>
      </c>
      <c r="BA303" s="1" t="s">
        <v>6092</v>
      </c>
      <c r="BB303" s="1">
        <v>66.14</v>
      </c>
      <c r="BC303" s="1">
        <v>6.99</v>
      </c>
      <c r="BD303" s="1"/>
      <c r="BE303" s="1"/>
      <c r="BF303" s="1"/>
      <c r="BG303" s="1"/>
      <c r="BH303" s="1"/>
      <c r="BI303" s="1"/>
      <c r="BJ303" s="1" t="s">
        <v>6093</v>
      </c>
      <c r="BK303" s="1"/>
      <c r="BL303" s="1"/>
      <c r="BM303" s="1" t="s">
        <v>6094</v>
      </c>
      <c r="BN303" s="1">
        <v>38</v>
      </c>
      <c r="BO303" s="1" t="s">
        <v>6095</v>
      </c>
      <c r="BP303" s="1" t="str">
        <f>HYPERLINK("https://nconnect.nicmar.ac.in/storage/profile/ProfilePhoto_P25700248_864927.jpg","Download")</f>
        <v>0</v>
      </c>
      <c r="BQ303" s="3"/>
      <c r="BR303" s="3"/>
    </row>
    <row r="304" spans="1:70">
      <c r="A304" s="1" t="s">
        <v>70</v>
      </c>
      <c r="B304" s="1" t="s">
        <v>1269</v>
      </c>
      <c r="C304" s="1" t="s">
        <v>6096</v>
      </c>
      <c r="D304" s="1" t="s">
        <v>6097</v>
      </c>
      <c r="E304" s="1" t="s">
        <v>4232</v>
      </c>
      <c r="F304" s="1" t="s">
        <v>6098</v>
      </c>
      <c r="G304" s="1" t="s">
        <v>6099</v>
      </c>
      <c r="H304" s="1" t="s">
        <v>6100</v>
      </c>
      <c r="I304" s="1" t="s">
        <v>6101</v>
      </c>
      <c r="J304" s="1">
        <v>7621006513</v>
      </c>
      <c r="K304" s="1" t="s">
        <v>79</v>
      </c>
      <c r="L304" s="1" t="s">
        <v>6102</v>
      </c>
      <c r="M304" s="1" t="s">
        <v>81</v>
      </c>
      <c r="N304" s="1" t="s">
        <v>6103</v>
      </c>
      <c r="O304" s="1"/>
      <c r="P304" s="1" t="s">
        <v>1323</v>
      </c>
      <c r="Q304" s="1" t="s">
        <v>6104</v>
      </c>
      <c r="R304" s="1" t="s">
        <v>6105</v>
      </c>
      <c r="S304" s="1">
        <v>9450437318</v>
      </c>
      <c r="T304" s="1" t="s">
        <v>6106</v>
      </c>
      <c r="U304" s="1" t="s">
        <v>6107</v>
      </c>
      <c r="V304" s="1">
        <v>9228309519</v>
      </c>
      <c r="W304" s="1" t="s">
        <v>156</v>
      </c>
      <c r="X304" s="1" t="s">
        <v>6108</v>
      </c>
      <c r="Y304" s="1" t="s">
        <v>3689</v>
      </c>
      <c r="Z304" s="1" t="s">
        <v>1468</v>
      </c>
      <c r="AA304" s="1" t="s">
        <v>6108</v>
      </c>
      <c r="AB304" s="1" t="s">
        <v>3689</v>
      </c>
      <c r="AC304" s="1" t="s">
        <v>1468</v>
      </c>
      <c r="AD304" s="1">
        <v>8.23</v>
      </c>
      <c r="AE304" s="1" t="s">
        <v>93</v>
      </c>
      <c r="AF304" s="1" t="s">
        <v>6109</v>
      </c>
      <c r="AG304" s="1" t="s">
        <v>6110</v>
      </c>
      <c r="AH304" s="1" t="s">
        <v>1307</v>
      </c>
      <c r="AI304" s="1" t="s">
        <v>308</v>
      </c>
      <c r="AJ304" s="1">
        <v>87</v>
      </c>
      <c r="AK304" s="1"/>
      <c r="AL304" s="1" t="s">
        <v>6109</v>
      </c>
      <c r="AM304" s="1" t="s">
        <v>6110</v>
      </c>
      <c r="AN304" s="1" t="s">
        <v>1834</v>
      </c>
      <c r="AO304" s="1" t="s">
        <v>506</v>
      </c>
      <c r="AP304" s="1">
        <v>85.6</v>
      </c>
      <c r="AQ304" s="1"/>
      <c r="AR304" s="1"/>
      <c r="AS304" s="1"/>
      <c r="AT304" s="1"/>
      <c r="AU304" s="1"/>
      <c r="AV304" s="1"/>
      <c r="AW304" s="1"/>
      <c r="AX304" s="1" t="s">
        <v>6111</v>
      </c>
      <c r="AY304" s="1" t="s">
        <v>6112</v>
      </c>
      <c r="AZ304" s="1" t="s">
        <v>1407</v>
      </c>
      <c r="BA304" s="1" t="s">
        <v>1361</v>
      </c>
      <c r="BB304" s="1">
        <v>70.93</v>
      </c>
      <c r="BC304" s="1"/>
      <c r="BD304" s="1"/>
      <c r="BE304" s="1"/>
      <c r="BF304" s="1"/>
      <c r="BG304" s="1"/>
      <c r="BH304" s="1"/>
      <c r="BI304" s="1"/>
      <c r="BJ304" s="1" t="s">
        <v>6113</v>
      </c>
      <c r="BK304" s="1"/>
      <c r="BL304" s="1"/>
      <c r="BM304" s="1" t="s">
        <v>6114</v>
      </c>
      <c r="BN304" s="1">
        <v>13</v>
      </c>
      <c r="BO304" s="1" t="s">
        <v>6115</v>
      </c>
      <c r="BP304" s="1" t="str">
        <f>HYPERLINK("https://nconnect.nicmar.ac.in/storage/profile/ProfilePhoto_P25700249_159378.jpg","Download")</f>
        <v>0</v>
      </c>
      <c r="BQ304" s="3"/>
      <c r="BR304" s="3"/>
    </row>
    <row r="305" spans="1:70">
      <c r="A305" s="1" t="s">
        <v>70</v>
      </c>
      <c r="B305" s="1" t="s">
        <v>1269</v>
      </c>
      <c r="C305" s="1" t="s">
        <v>6116</v>
      </c>
      <c r="D305" s="1" t="s">
        <v>6117</v>
      </c>
      <c r="E305" s="1" t="s">
        <v>1760</v>
      </c>
      <c r="F305" s="1" t="s">
        <v>2897</v>
      </c>
      <c r="G305" s="1" t="s">
        <v>6118</v>
      </c>
      <c r="H305" s="1" t="s">
        <v>6119</v>
      </c>
      <c r="I305" s="1" t="s">
        <v>6120</v>
      </c>
      <c r="J305" s="1">
        <v>8766972680</v>
      </c>
      <c r="K305" s="1" t="s">
        <v>148</v>
      </c>
      <c r="L305" s="1" t="s">
        <v>6121</v>
      </c>
      <c r="M305" s="1" t="s">
        <v>81</v>
      </c>
      <c r="N305" s="1" t="s">
        <v>6122</v>
      </c>
      <c r="O305" s="1"/>
      <c r="P305" s="1" t="s">
        <v>1323</v>
      </c>
      <c r="Q305" s="1" t="s">
        <v>6123</v>
      </c>
      <c r="R305" s="1" t="s">
        <v>6124</v>
      </c>
      <c r="S305" s="1">
        <v>9765550909</v>
      </c>
      <c r="T305" s="1" t="s">
        <v>154</v>
      </c>
      <c r="U305" s="1" t="s">
        <v>6125</v>
      </c>
      <c r="V305" s="1">
        <v>8668877113</v>
      </c>
      <c r="W305" s="1" t="s">
        <v>89</v>
      </c>
      <c r="X305" s="1" t="s">
        <v>6126</v>
      </c>
      <c r="Y305" s="1" t="s">
        <v>191</v>
      </c>
      <c r="Z305" s="1" t="s">
        <v>92</v>
      </c>
      <c r="AA305" s="1" t="s">
        <v>6126</v>
      </c>
      <c r="AB305" s="1" t="s">
        <v>191</v>
      </c>
      <c r="AC305" s="1" t="s">
        <v>92</v>
      </c>
      <c r="AD305" s="1">
        <v>8.24</v>
      </c>
      <c r="AE305" s="1" t="s">
        <v>93</v>
      </c>
      <c r="AF305" s="1" t="s">
        <v>5263</v>
      </c>
      <c r="AG305" s="1" t="s">
        <v>6127</v>
      </c>
      <c r="AH305" s="1" t="s">
        <v>165</v>
      </c>
      <c r="AI305" s="1" t="s">
        <v>166</v>
      </c>
      <c r="AJ305" s="1">
        <v>81.8</v>
      </c>
      <c r="AK305" s="1">
        <v>8.61</v>
      </c>
      <c r="AL305" s="1" t="s">
        <v>6128</v>
      </c>
      <c r="AM305" s="1" t="s">
        <v>197</v>
      </c>
      <c r="AN305" s="1" t="s">
        <v>433</v>
      </c>
      <c r="AO305" s="1" t="s">
        <v>941</v>
      </c>
      <c r="AP305" s="1">
        <v>60</v>
      </c>
      <c r="AQ305" s="1">
        <v>6.31</v>
      </c>
      <c r="AR305" s="1"/>
      <c r="AS305" s="1"/>
      <c r="AT305" s="1"/>
      <c r="AU305" s="1"/>
      <c r="AV305" s="1"/>
      <c r="AW305" s="1"/>
      <c r="AX305" s="1" t="s">
        <v>361</v>
      </c>
      <c r="AY305" s="1" t="s">
        <v>6129</v>
      </c>
      <c r="AZ305" s="1" t="s">
        <v>920</v>
      </c>
      <c r="BA305" s="1" t="s">
        <v>202</v>
      </c>
      <c r="BB305" s="1">
        <v>73.3</v>
      </c>
      <c r="BC305" s="1">
        <v>8.08</v>
      </c>
      <c r="BD305" s="1"/>
      <c r="BE305" s="1"/>
      <c r="BF305" s="1"/>
      <c r="BG305" s="1"/>
      <c r="BH305" s="1"/>
      <c r="BI305" s="1"/>
      <c r="BJ305" s="1" t="s">
        <v>6130</v>
      </c>
      <c r="BK305" s="1"/>
      <c r="BL305" s="1"/>
      <c r="BM305" s="1" t="s">
        <v>6131</v>
      </c>
      <c r="BN305" s="1">
        <v>13</v>
      </c>
      <c r="BO305" s="1" t="s">
        <v>6132</v>
      </c>
      <c r="BP305" s="1" t="str">
        <f>HYPERLINK("https://nconnect.nicmar.ac.in/storage/profile/ProfilePhoto_P25700250_825963.jpg","Download")</f>
        <v>0</v>
      </c>
      <c r="BQ305" s="3"/>
      <c r="BR305" s="3"/>
    </row>
    <row r="306" spans="1:70">
      <c r="A306" s="1" t="s">
        <v>70</v>
      </c>
      <c r="B306" s="1" t="s">
        <v>1269</v>
      </c>
      <c r="C306" s="1" t="s">
        <v>6133</v>
      </c>
      <c r="D306" s="1" t="s">
        <v>1740</v>
      </c>
      <c r="E306" s="1"/>
      <c r="F306" s="1" t="s">
        <v>596</v>
      </c>
      <c r="G306" s="1" t="s">
        <v>4393</v>
      </c>
      <c r="H306" s="1" t="s">
        <v>6134</v>
      </c>
      <c r="I306" s="1" t="s">
        <v>6135</v>
      </c>
      <c r="J306" s="1">
        <v>9097654676</v>
      </c>
      <c r="K306" s="1" t="s">
        <v>79</v>
      </c>
      <c r="L306" s="1" t="s">
        <v>4316</v>
      </c>
      <c r="M306" s="1" t="s">
        <v>81</v>
      </c>
      <c r="N306" s="1" t="s">
        <v>5056</v>
      </c>
      <c r="O306" s="1"/>
      <c r="P306" s="1" t="s">
        <v>1278</v>
      </c>
      <c r="Q306" s="1" t="s">
        <v>6136</v>
      </c>
      <c r="R306" s="1" t="s">
        <v>6137</v>
      </c>
      <c r="S306" s="1">
        <v>9334265895</v>
      </c>
      <c r="T306" s="1" t="s">
        <v>842</v>
      </c>
      <c r="U306" s="1" t="s">
        <v>6138</v>
      </c>
      <c r="V306" s="1">
        <v>7295845373</v>
      </c>
      <c r="W306" s="1" t="s">
        <v>156</v>
      </c>
      <c r="X306" s="1" t="s">
        <v>6139</v>
      </c>
      <c r="Y306" s="1" t="s">
        <v>845</v>
      </c>
      <c r="Z306" s="1" t="s">
        <v>846</v>
      </c>
      <c r="AA306" s="1" t="s">
        <v>6139</v>
      </c>
      <c r="AB306" s="1" t="s">
        <v>845</v>
      </c>
      <c r="AC306" s="1" t="s">
        <v>846</v>
      </c>
      <c r="AD306" s="1">
        <v>8.82</v>
      </c>
      <c r="AE306" s="1" t="s">
        <v>93</v>
      </c>
      <c r="AF306" s="1" t="s">
        <v>3409</v>
      </c>
      <c r="AG306" s="1" t="s">
        <v>2997</v>
      </c>
      <c r="AH306" s="1" t="s">
        <v>195</v>
      </c>
      <c r="AI306" s="1" t="s">
        <v>281</v>
      </c>
      <c r="AJ306" s="1">
        <v>69.2</v>
      </c>
      <c r="AK306" s="1"/>
      <c r="AL306" s="1" t="s">
        <v>3409</v>
      </c>
      <c r="AM306" s="1" t="s">
        <v>2997</v>
      </c>
      <c r="AN306" s="1" t="s">
        <v>169</v>
      </c>
      <c r="AO306" s="1" t="s">
        <v>941</v>
      </c>
      <c r="AP306" s="1">
        <v>77.6</v>
      </c>
      <c r="AQ306" s="1"/>
      <c r="AR306" s="1"/>
      <c r="AS306" s="1"/>
      <c r="AT306" s="1"/>
      <c r="AU306" s="1"/>
      <c r="AV306" s="1"/>
      <c r="AW306" s="1"/>
      <c r="AX306" s="1" t="s">
        <v>6140</v>
      </c>
      <c r="AY306" s="1" t="s">
        <v>6141</v>
      </c>
      <c r="AZ306" s="1" t="s">
        <v>363</v>
      </c>
      <c r="BA306" s="1" t="s">
        <v>944</v>
      </c>
      <c r="BB306" s="1">
        <v>74.77</v>
      </c>
      <c r="BC306" s="1">
        <v>8.31</v>
      </c>
      <c r="BD306" s="1"/>
      <c r="BE306" s="1"/>
      <c r="BF306" s="1"/>
      <c r="BG306" s="1"/>
      <c r="BH306" s="1"/>
      <c r="BI306" s="1"/>
      <c r="BJ306" s="1" t="s">
        <v>1383</v>
      </c>
      <c r="BK306" s="1"/>
      <c r="BL306" s="1"/>
      <c r="BM306" s="1" t="s">
        <v>6142</v>
      </c>
      <c r="BN306" s="1">
        <v>19</v>
      </c>
      <c r="BO306" s="1"/>
      <c r="BP306" s="1" t="str">
        <f>HYPERLINK("https://nconnect.nicmar.ac.in/storage/profile/ProfilePhoto_P25700251_793658.jpg","Download")</f>
        <v>0</v>
      </c>
      <c r="BQ306" s="3"/>
      <c r="BR306" s="3"/>
    </row>
    <row r="307" spans="1:70">
      <c r="A307" s="1" t="s">
        <v>70</v>
      </c>
      <c r="B307" s="1" t="s">
        <v>1269</v>
      </c>
      <c r="C307" s="1" t="s">
        <v>6143</v>
      </c>
      <c r="D307" s="1" t="s">
        <v>6144</v>
      </c>
      <c r="E307" s="1" t="s">
        <v>2430</v>
      </c>
      <c r="F307" s="1" t="s">
        <v>6145</v>
      </c>
      <c r="G307" s="1" t="s">
        <v>6146</v>
      </c>
      <c r="H307" s="1" t="s">
        <v>6147</v>
      </c>
      <c r="I307" s="1" t="s">
        <v>6148</v>
      </c>
      <c r="J307" s="1">
        <v>7666594354</v>
      </c>
      <c r="K307" s="1" t="s">
        <v>79</v>
      </c>
      <c r="L307" s="1" t="s">
        <v>6149</v>
      </c>
      <c r="M307" s="1" t="s">
        <v>81</v>
      </c>
      <c r="N307" s="1" t="s">
        <v>6150</v>
      </c>
      <c r="O307" s="1"/>
      <c r="P307" s="1"/>
      <c r="Q307" s="1" t="s">
        <v>6151</v>
      </c>
      <c r="R307" s="1" t="s">
        <v>2430</v>
      </c>
      <c r="S307" s="1">
        <v>8087240317</v>
      </c>
      <c r="T307" s="1" t="s">
        <v>763</v>
      </c>
      <c r="U307" s="1" t="s">
        <v>958</v>
      </c>
      <c r="V307" s="1">
        <v>8421673677</v>
      </c>
      <c r="W307" s="1" t="s">
        <v>273</v>
      </c>
      <c r="X307" s="1" t="s">
        <v>6152</v>
      </c>
      <c r="Y307" s="1" t="s">
        <v>2790</v>
      </c>
      <c r="Z307" s="1" t="s">
        <v>92</v>
      </c>
      <c r="AA307" s="1" t="s">
        <v>6152</v>
      </c>
      <c r="AB307" s="1" t="s">
        <v>2790</v>
      </c>
      <c r="AC307" s="1" t="s">
        <v>92</v>
      </c>
      <c r="AD307" s="1">
        <v>7.92</v>
      </c>
      <c r="AE307" s="1" t="s">
        <v>93</v>
      </c>
      <c r="AF307" s="1" t="s">
        <v>6153</v>
      </c>
      <c r="AG307" s="1" t="s">
        <v>6154</v>
      </c>
      <c r="AH307" s="1" t="s">
        <v>162</v>
      </c>
      <c r="AI307" s="1" t="s">
        <v>165</v>
      </c>
      <c r="AJ307" s="1">
        <v>76.8</v>
      </c>
      <c r="AK307" s="1"/>
      <c r="AL307" s="1" t="s">
        <v>6155</v>
      </c>
      <c r="AM307" s="1" t="s">
        <v>6156</v>
      </c>
      <c r="AN307" s="1" t="s">
        <v>166</v>
      </c>
      <c r="AO307" s="1" t="s">
        <v>308</v>
      </c>
      <c r="AP307" s="1">
        <v>66</v>
      </c>
      <c r="AQ307" s="1"/>
      <c r="AR307" s="1"/>
      <c r="AS307" s="1"/>
      <c r="AT307" s="1"/>
      <c r="AU307" s="1"/>
      <c r="AV307" s="1"/>
      <c r="AW307" s="1"/>
      <c r="AX307" s="1" t="s">
        <v>2691</v>
      </c>
      <c r="AY307" s="1" t="s">
        <v>6157</v>
      </c>
      <c r="AZ307" s="1" t="s">
        <v>310</v>
      </c>
      <c r="BA307" s="1" t="s">
        <v>174</v>
      </c>
      <c r="BB307" s="1">
        <v>76.27</v>
      </c>
      <c r="BC307" s="1">
        <v>8.12</v>
      </c>
      <c r="BD307" s="1"/>
      <c r="BE307" s="1"/>
      <c r="BF307" s="1"/>
      <c r="BG307" s="1"/>
      <c r="BH307" s="1"/>
      <c r="BI307" s="1"/>
      <c r="BJ307" s="1" t="s">
        <v>2733</v>
      </c>
      <c r="BK307" s="1"/>
      <c r="BL307" s="1"/>
      <c r="BM307" s="1" t="s">
        <v>6158</v>
      </c>
      <c r="BN307" s="1">
        <v>66</v>
      </c>
      <c r="BO307" s="1" t="s">
        <v>6159</v>
      </c>
      <c r="BP307" s="1" t="str">
        <f>HYPERLINK("https://nconnect.nicmar.ac.in/storage/profile/ProfilePhoto_P25700252_286139.jpg","Download")</f>
        <v>0</v>
      </c>
      <c r="BQ307" s="3"/>
      <c r="BR307" s="3"/>
    </row>
    <row r="308" spans="1:70">
      <c r="A308" s="1" t="s">
        <v>70</v>
      </c>
      <c r="B308" s="1" t="s">
        <v>1269</v>
      </c>
      <c r="C308" s="1" t="s">
        <v>6160</v>
      </c>
      <c r="D308" s="1" t="s">
        <v>4153</v>
      </c>
      <c r="E308" s="1" t="s">
        <v>2023</v>
      </c>
      <c r="F308" s="1" t="s">
        <v>6161</v>
      </c>
      <c r="G308" s="1" t="s">
        <v>6162</v>
      </c>
      <c r="H308" s="1" t="s">
        <v>6163</v>
      </c>
      <c r="I308" s="1" t="s">
        <v>6164</v>
      </c>
      <c r="J308" s="1">
        <v>9503125004</v>
      </c>
      <c r="K308" s="1" t="s">
        <v>79</v>
      </c>
      <c r="L308" s="1" t="s">
        <v>6165</v>
      </c>
      <c r="M308" s="1" t="s">
        <v>81</v>
      </c>
      <c r="N308" s="1" t="s">
        <v>860</v>
      </c>
      <c r="O308" s="1"/>
      <c r="P308" s="1" t="s">
        <v>1298</v>
      </c>
      <c r="Q308" s="1" t="s">
        <v>6166</v>
      </c>
      <c r="R308" s="1" t="s">
        <v>6167</v>
      </c>
      <c r="S308" s="1">
        <v>9518909421</v>
      </c>
      <c r="T308" s="1" t="s">
        <v>763</v>
      </c>
      <c r="U308" s="1" t="s">
        <v>6168</v>
      </c>
      <c r="V308" s="1">
        <v>9689173404</v>
      </c>
      <c r="W308" s="1" t="s">
        <v>3351</v>
      </c>
      <c r="X308" s="1" t="s">
        <v>6169</v>
      </c>
      <c r="Y308" s="1" t="s">
        <v>191</v>
      </c>
      <c r="Z308" s="1" t="s">
        <v>92</v>
      </c>
      <c r="AA308" s="1" t="s">
        <v>6170</v>
      </c>
      <c r="AB308" s="1" t="s">
        <v>1424</v>
      </c>
      <c r="AC308" s="1" t="s">
        <v>92</v>
      </c>
      <c r="AD308" s="1">
        <v>8.08</v>
      </c>
      <c r="AE308" s="1" t="s">
        <v>93</v>
      </c>
      <c r="AF308" s="1" t="s">
        <v>6171</v>
      </c>
      <c r="AG308" s="1" t="s">
        <v>6172</v>
      </c>
      <c r="AH308" s="1" t="s">
        <v>479</v>
      </c>
      <c r="AI308" s="1" t="s">
        <v>166</v>
      </c>
      <c r="AJ308" s="1">
        <v>65.6</v>
      </c>
      <c r="AK308" s="1"/>
      <c r="AL308" s="1" t="s">
        <v>6173</v>
      </c>
      <c r="AM308" s="1" t="s">
        <v>6174</v>
      </c>
      <c r="AN308" s="1" t="s">
        <v>310</v>
      </c>
      <c r="AO308" s="1" t="s">
        <v>173</v>
      </c>
      <c r="AP308" s="1">
        <v>63.85</v>
      </c>
      <c r="AQ308" s="1"/>
      <c r="AR308" s="1"/>
      <c r="AS308" s="1"/>
      <c r="AT308" s="1"/>
      <c r="AU308" s="1"/>
      <c r="AV308" s="1"/>
      <c r="AW308" s="1"/>
      <c r="AX308" s="1" t="s">
        <v>6175</v>
      </c>
      <c r="AY308" s="1" t="s">
        <v>6176</v>
      </c>
      <c r="AZ308" s="1" t="s">
        <v>173</v>
      </c>
      <c r="BA308" s="1" t="s">
        <v>202</v>
      </c>
      <c r="BB308" s="1">
        <v>70.8</v>
      </c>
      <c r="BC308" s="1"/>
      <c r="BD308" s="1"/>
      <c r="BE308" s="1"/>
      <c r="BF308" s="1"/>
      <c r="BG308" s="1"/>
      <c r="BH308" s="1"/>
      <c r="BI308" s="1"/>
      <c r="BJ308" s="1" t="s">
        <v>1383</v>
      </c>
      <c r="BK308" s="1"/>
      <c r="BL308" s="1"/>
      <c r="BM308" s="1" t="s">
        <v>6177</v>
      </c>
      <c r="BN308" s="1">
        <v>40</v>
      </c>
      <c r="BO308" s="1" t="s">
        <v>6178</v>
      </c>
      <c r="BP308" s="1" t="str">
        <f>HYPERLINK("https://nconnect.nicmar.ac.in/storage/profile/ProfilePhoto_P25700253_341298.jpg","Download")</f>
        <v>0</v>
      </c>
      <c r="BQ308" s="3"/>
      <c r="BR308" s="3"/>
    </row>
    <row r="309" spans="1:70">
      <c r="A309" s="1" t="s">
        <v>70</v>
      </c>
      <c r="B309" s="1" t="s">
        <v>1269</v>
      </c>
      <c r="C309" s="1" t="s">
        <v>6179</v>
      </c>
      <c r="D309" s="1" t="s">
        <v>6180</v>
      </c>
      <c r="E309" s="1" t="s">
        <v>3782</v>
      </c>
      <c r="F309" s="1" t="s">
        <v>3911</v>
      </c>
      <c r="G309" s="1" t="s">
        <v>6181</v>
      </c>
      <c r="H309" s="1" t="s">
        <v>6182</v>
      </c>
      <c r="I309" s="1" t="s">
        <v>6183</v>
      </c>
      <c r="J309" s="1">
        <v>8605809022</v>
      </c>
      <c r="K309" s="1" t="s">
        <v>79</v>
      </c>
      <c r="L309" s="1" t="s">
        <v>6184</v>
      </c>
      <c r="M309" s="1" t="s">
        <v>81</v>
      </c>
      <c r="N309" s="1" t="s">
        <v>5056</v>
      </c>
      <c r="O309" s="1"/>
      <c r="P309" s="1" t="s">
        <v>1278</v>
      </c>
      <c r="Q309" s="1" t="s">
        <v>6185</v>
      </c>
      <c r="R309" s="1" t="s">
        <v>6186</v>
      </c>
      <c r="S309" s="1">
        <v>7083455130</v>
      </c>
      <c r="T309" s="1" t="s">
        <v>6187</v>
      </c>
      <c r="U309" s="1" t="s">
        <v>6188</v>
      </c>
      <c r="V309" s="1">
        <v>7875375321</v>
      </c>
      <c r="W309" s="1" t="s">
        <v>156</v>
      </c>
      <c r="X309" s="1" t="s">
        <v>6189</v>
      </c>
      <c r="Y309" s="1" t="s">
        <v>191</v>
      </c>
      <c r="Z309" s="1" t="s">
        <v>92</v>
      </c>
      <c r="AA309" s="1" t="s">
        <v>6190</v>
      </c>
      <c r="AB309" s="1" t="s">
        <v>91</v>
      </c>
      <c r="AC309" s="1" t="s">
        <v>92</v>
      </c>
      <c r="AD309" s="1">
        <v>8.15</v>
      </c>
      <c r="AE309" s="1" t="s">
        <v>93</v>
      </c>
      <c r="AF309" s="1" t="s">
        <v>6191</v>
      </c>
      <c r="AG309" s="1" t="s">
        <v>307</v>
      </c>
      <c r="AH309" s="1" t="s">
        <v>915</v>
      </c>
      <c r="AI309" s="1" t="s">
        <v>166</v>
      </c>
      <c r="AJ309" s="1">
        <v>83.4</v>
      </c>
      <c r="AK309" s="1"/>
      <c r="AL309" s="1" t="s">
        <v>6192</v>
      </c>
      <c r="AM309" s="1" t="s">
        <v>160</v>
      </c>
      <c r="AN309" s="1" t="s">
        <v>101</v>
      </c>
      <c r="AO309" s="1" t="s">
        <v>360</v>
      </c>
      <c r="AP309" s="1">
        <v>73.69</v>
      </c>
      <c r="AQ309" s="1"/>
      <c r="AR309" s="1"/>
      <c r="AS309" s="1"/>
      <c r="AT309" s="1"/>
      <c r="AU309" s="1"/>
      <c r="AV309" s="1"/>
      <c r="AW309" s="1"/>
      <c r="AX309" s="1" t="s">
        <v>1359</v>
      </c>
      <c r="AY309" s="1" t="s">
        <v>6193</v>
      </c>
      <c r="AZ309" s="1" t="s">
        <v>1051</v>
      </c>
      <c r="BA309" s="1" t="s">
        <v>1361</v>
      </c>
      <c r="BB309" s="1">
        <v>81.4</v>
      </c>
      <c r="BC309" s="1">
        <v>8.14</v>
      </c>
      <c r="BD309" s="1"/>
      <c r="BE309" s="1"/>
      <c r="BF309" s="1"/>
      <c r="BG309" s="1"/>
      <c r="BH309" s="1"/>
      <c r="BI309" s="1"/>
      <c r="BJ309" s="1"/>
      <c r="BK309" s="1"/>
      <c r="BL309" s="1"/>
      <c r="BM309" s="1" t="s">
        <v>6194</v>
      </c>
      <c r="BN309" s="1">
        <v>9</v>
      </c>
      <c r="BO309" s="1"/>
      <c r="BP309" s="1" t="s">
        <v>1037</v>
      </c>
      <c r="BQ309" s="3"/>
      <c r="BR309" s="3"/>
    </row>
    <row r="310" spans="1:70">
      <c r="A310" s="1" t="s">
        <v>70</v>
      </c>
      <c r="B310" s="1" t="s">
        <v>1269</v>
      </c>
      <c r="C310" s="1" t="s">
        <v>6195</v>
      </c>
      <c r="D310" s="1" t="s">
        <v>443</v>
      </c>
      <c r="E310" s="1"/>
      <c r="F310" s="1" t="s">
        <v>6196</v>
      </c>
      <c r="G310" s="1" t="s">
        <v>6197</v>
      </c>
      <c r="H310" s="1" t="s">
        <v>6198</v>
      </c>
      <c r="I310" s="1" t="s">
        <v>6199</v>
      </c>
      <c r="J310" s="1">
        <v>9112180683</v>
      </c>
      <c r="K310" s="1" t="s">
        <v>79</v>
      </c>
      <c r="L310" s="1" t="s">
        <v>6200</v>
      </c>
      <c r="M310" s="1" t="s">
        <v>81</v>
      </c>
      <c r="N310" s="1" t="s">
        <v>2295</v>
      </c>
      <c r="O310" s="1"/>
      <c r="P310" s="1" t="s">
        <v>1766</v>
      </c>
      <c r="Q310" s="1" t="s">
        <v>6201</v>
      </c>
      <c r="R310" s="1" t="s">
        <v>6202</v>
      </c>
      <c r="S310" s="1">
        <v>9423110635</v>
      </c>
      <c r="T310" s="1" t="s">
        <v>120</v>
      </c>
      <c r="U310" s="1" t="s">
        <v>6203</v>
      </c>
      <c r="V310" s="1">
        <v>9420853675</v>
      </c>
      <c r="W310" s="1" t="s">
        <v>120</v>
      </c>
      <c r="X310" s="1" t="s">
        <v>6204</v>
      </c>
      <c r="Y310" s="1" t="s">
        <v>405</v>
      </c>
      <c r="Z310" s="1" t="s">
        <v>92</v>
      </c>
      <c r="AA310" s="1" t="s">
        <v>6204</v>
      </c>
      <c r="AB310" s="1" t="s">
        <v>405</v>
      </c>
      <c r="AC310" s="1" t="s">
        <v>92</v>
      </c>
      <c r="AD310" s="1">
        <v>8.69</v>
      </c>
      <c r="AE310" s="1" t="s">
        <v>93</v>
      </c>
      <c r="AF310" s="1" t="s">
        <v>6205</v>
      </c>
      <c r="AG310" s="1" t="s">
        <v>6206</v>
      </c>
      <c r="AH310" s="1" t="s">
        <v>479</v>
      </c>
      <c r="AI310" s="1" t="s">
        <v>166</v>
      </c>
      <c r="AJ310" s="1">
        <v>78.8</v>
      </c>
      <c r="AK310" s="1"/>
      <c r="AL310" s="1" t="s">
        <v>6207</v>
      </c>
      <c r="AM310" s="1" t="s">
        <v>160</v>
      </c>
      <c r="AN310" s="1" t="s">
        <v>198</v>
      </c>
      <c r="AO310" s="1" t="s">
        <v>360</v>
      </c>
      <c r="AP310" s="1">
        <v>72.62</v>
      </c>
      <c r="AQ310" s="1"/>
      <c r="AR310" s="1"/>
      <c r="AS310" s="1"/>
      <c r="AT310" s="1"/>
      <c r="AU310" s="1"/>
      <c r="AV310" s="1"/>
      <c r="AW310" s="1"/>
      <c r="AX310" s="1" t="s">
        <v>410</v>
      </c>
      <c r="AY310" s="1" t="s">
        <v>6208</v>
      </c>
      <c r="AZ310" s="1" t="s">
        <v>5504</v>
      </c>
      <c r="BA310" s="1" t="s">
        <v>6033</v>
      </c>
      <c r="BB310" s="1">
        <v>72.4</v>
      </c>
      <c r="BC310" s="1">
        <v>7.99</v>
      </c>
      <c r="BD310" s="1"/>
      <c r="BE310" s="1"/>
      <c r="BF310" s="1"/>
      <c r="BG310" s="1"/>
      <c r="BH310" s="1"/>
      <c r="BI310" s="1"/>
      <c r="BJ310" s="1" t="s">
        <v>1521</v>
      </c>
      <c r="BK310" s="1" t="s">
        <v>6209</v>
      </c>
      <c r="BL310" s="1" t="s">
        <v>287</v>
      </c>
      <c r="BM310" s="1" t="s">
        <v>6210</v>
      </c>
      <c r="BN310" s="1">
        <v>25</v>
      </c>
      <c r="BO310" s="1" t="s">
        <v>6211</v>
      </c>
      <c r="BP310" s="1" t="str">
        <f>HYPERLINK("https://nconnect.nicmar.ac.in/storage/profile/6a6807d8292d9.png","Download")</f>
        <v>0</v>
      </c>
      <c r="BQ310" s="3"/>
      <c r="BR310" s="3"/>
    </row>
    <row r="311" spans="1:70">
      <c r="A311" s="1" t="s">
        <v>70</v>
      </c>
      <c r="B311" s="1" t="s">
        <v>1269</v>
      </c>
      <c r="C311" s="1" t="s">
        <v>6212</v>
      </c>
      <c r="D311" s="1" t="s">
        <v>6213</v>
      </c>
      <c r="E311" s="1" t="s">
        <v>2766</v>
      </c>
      <c r="F311" s="1" t="s">
        <v>6214</v>
      </c>
      <c r="G311" s="1" t="s">
        <v>6215</v>
      </c>
      <c r="H311" s="1" t="s">
        <v>6216</v>
      </c>
      <c r="I311" s="1" t="s">
        <v>6217</v>
      </c>
      <c r="J311" s="1">
        <v>9673618669</v>
      </c>
      <c r="K311" s="1" t="s">
        <v>79</v>
      </c>
      <c r="L311" s="1" t="s">
        <v>6218</v>
      </c>
      <c r="M311" s="1" t="s">
        <v>81</v>
      </c>
      <c r="N311" s="1" t="s">
        <v>6219</v>
      </c>
      <c r="O311" s="1"/>
      <c r="P311" s="1" t="s">
        <v>1278</v>
      </c>
      <c r="Q311" s="1" t="s">
        <v>6220</v>
      </c>
      <c r="R311" s="1" t="s">
        <v>2766</v>
      </c>
      <c r="S311" s="1">
        <v>9730085909</v>
      </c>
      <c r="T311" s="1" t="s">
        <v>496</v>
      </c>
      <c r="U311" s="1" t="s">
        <v>693</v>
      </c>
      <c r="V311" s="1">
        <v>9028085909</v>
      </c>
      <c r="W311" s="1" t="s">
        <v>273</v>
      </c>
      <c r="X311" s="1" t="s">
        <v>6221</v>
      </c>
      <c r="Y311" s="1" t="s">
        <v>2790</v>
      </c>
      <c r="Z311" s="1" t="s">
        <v>92</v>
      </c>
      <c r="AA311" s="1" t="s">
        <v>6221</v>
      </c>
      <c r="AB311" s="1" t="s">
        <v>2790</v>
      </c>
      <c r="AC311" s="1" t="s">
        <v>92</v>
      </c>
      <c r="AD311" s="1">
        <v>8.12</v>
      </c>
      <c r="AE311" s="1" t="s">
        <v>93</v>
      </c>
      <c r="AF311" s="1" t="s">
        <v>6222</v>
      </c>
      <c r="AG311" s="1" t="s">
        <v>6223</v>
      </c>
      <c r="AH311" s="1" t="s">
        <v>162</v>
      </c>
      <c r="AI311" s="1" t="s">
        <v>195</v>
      </c>
      <c r="AJ311" s="1">
        <v>78.6</v>
      </c>
      <c r="AK311" s="1"/>
      <c r="AL311" s="1"/>
      <c r="AM311" s="1"/>
      <c r="AN311" s="1"/>
      <c r="AO311" s="1"/>
      <c r="AP311" s="1"/>
      <c r="AQ311" s="1"/>
      <c r="AR311" s="1" t="s">
        <v>98</v>
      </c>
      <c r="AS311" s="1" t="s">
        <v>6224</v>
      </c>
      <c r="AT311" s="1" t="s">
        <v>383</v>
      </c>
      <c r="AU311" s="1" t="s">
        <v>412</v>
      </c>
      <c r="AV311" s="1">
        <v>82.58</v>
      </c>
      <c r="AW311" s="1"/>
      <c r="AX311" s="1" t="s">
        <v>361</v>
      </c>
      <c r="AY311" s="1" t="s">
        <v>6225</v>
      </c>
      <c r="AZ311" s="1" t="s">
        <v>173</v>
      </c>
      <c r="BA311" s="1" t="s">
        <v>682</v>
      </c>
      <c r="BB311" s="1">
        <v>77.2</v>
      </c>
      <c r="BC311" s="1">
        <v>8.47</v>
      </c>
      <c r="BD311" s="1"/>
      <c r="BE311" s="1"/>
      <c r="BF311" s="1"/>
      <c r="BG311" s="1"/>
      <c r="BH311" s="1"/>
      <c r="BI311" s="1"/>
      <c r="BJ311" s="1" t="s">
        <v>255</v>
      </c>
      <c r="BK311" s="1" t="s">
        <v>6226</v>
      </c>
      <c r="BL311" s="1" t="s">
        <v>3246</v>
      </c>
      <c r="BM311" s="1" t="s">
        <v>6227</v>
      </c>
      <c r="BN311" s="1">
        <v>20</v>
      </c>
      <c r="BO311" s="1"/>
      <c r="BP311" s="1" t="str">
        <f>HYPERLINK("https://nconnect.nicmar.ac.in/storage/profile/ProfilePhoto_P25700256_314276.jpg","Download")</f>
        <v>0</v>
      </c>
      <c r="BQ311" s="3"/>
      <c r="BR311" s="3"/>
    </row>
    <row r="312" spans="1:70">
      <c r="A312" s="1" t="s">
        <v>70</v>
      </c>
      <c r="B312" s="1" t="s">
        <v>1269</v>
      </c>
      <c r="C312" s="1" t="s">
        <v>6228</v>
      </c>
      <c r="D312" s="1" t="s">
        <v>1039</v>
      </c>
      <c r="E312" s="1" t="s">
        <v>5472</v>
      </c>
      <c r="F312" s="1" t="s">
        <v>6229</v>
      </c>
      <c r="G312" s="1" t="s">
        <v>6230</v>
      </c>
      <c r="H312" s="1" t="s">
        <v>6231</v>
      </c>
      <c r="I312" s="1" t="s">
        <v>6232</v>
      </c>
      <c r="J312" s="1">
        <v>8600242149</v>
      </c>
      <c r="K312" s="1" t="s">
        <v>79</v>
      </c>
      <c r="L312" s="1" t="s">
        <v>1062</v>
      </c>
      <c r="M312" s="1" t="s">
        <v>81</v>
      </c>
      <c r="N312" s="1" t="s">
        <v>5731</v>
      </c>
      <c r="O312" s="1"/>
      <c r="P312" s="1" t="s">
        <v>1323</v>
      </c>
      <c r="Q312" s="1" t="s">
        <v>6233</v>
      </c>
      <c r="R312" s="1" t="s">
        <v>6234</v>
      </c>
      <c r="S312" s="1">
        <v>7559482572</v>
      </c>
      <c r="T312" s="1" t="s">
        <v>120</v>
      </c>
      <c r="U312" s="1" t="s">
        <v>6235</v>
      </c>
      <c r="V312" s="1">
        <v>7030806048</v>
      </c>
      <c r="W312" s="1" t="s">
        <v>156</v>
      </c>
      <c r="X312" s="1" t="s">
        <v>6236</v>
      </c>
      <c r="Y312" s="1" t="s">
        <v>5080</v>
      </c>
      <c r="Z312" s="1" t="s">
        <v>92</v>
      </c>
      <c r="AA312" s="1" t="s">
        <v>6236</v>
      </c>
      <c r="AB312" s="1" t="s">
        <v>5080</v>
      </c>
      <c r="AC312" s="1" t="s">
        <v>92</v>
      </c>
      <c r="AD312" s="1">
        <v>8.16</v>
      </c>
      <c r="AE312" s="1" t="s">
        <v>93</v>
      </c>
      <c r="AF312" s="1" t="s">
        <v>6237</v>
      </c>
      <c r="AG312" s="1" t="s">
        <v>5738</v>
      </c>
      <c r="AH312" s="1" t="s">
        <v>383</v>
      </c>
      <c r="AI312" s="1" t="s">
        <v>166</v>
      </c>
      <c r="AJ312" s="1">
        <v>85.8</v>
      </c>
      <c r="AK312" s="1"/>
      <c r="AL312" s="1" t="s">
        <v>6238</v>
      </c>
      <c r="AM312" s="1" t="s">
        <v>5738</v>
      </c>
      <c r="AN312" s="1" t="s">
        <v>169</v>
      </c>
      <c r="AO312" s="1" t="s">
        <v>173</v>
      </c>
      <c r="AP312" s="1">
        <v>76.15</v>
      </c>
      <c r="AQ312" s="1"/>
      <c r="AR312" s="1"/>
      <c r="AS312" s="1"/>
      <c r="AT312" s="1"/>
      <c r="AU312" s="1"/>
      <c r="AV312" s="1"/>
      <c r="AW312" s="1"/>
      <c r="AX312" s="1" t="s">
        <v>253</v>
      </c>
      <c r="AY312" s="1" t="s">
        <v>6239</v>
      </c>
      <c r="AZ312" s="1" t="s">
        <v>681</v>
      </c>
      <c r="BA312" s="1" t="s">
        <v>413</v>
      </c>
      <c r="BB312" s="1">
        <v>70.31</v>
      </c>
      <c r="BC312" s="1">
        <v>7.84</v>
      </c>
      <c r="BD312" s="1"/>
      <c r="BE312" s="1"/>
      <c r="BF312" s="1"/>
      <c r="BG312" s="1"/>
      <c r="BH312" s="1"/>
      <c r="BI312" s="1"/>
      <c r="BJ312" s="1" t="s">
        <v>1383</v>
      </c>
      <c r="BK312" s="1" t="s">
        <v>6240</v>
      </c>
      <c r="BL312" s="1" t="s">
        <v>1896</v>
      </c>
      <c r="BM312" s="1" t="s">
        <v>6241</v>
      </c>
      <c r="BN312" s="1">
        <v>13</v>
      </c>
      <c r="BO312" s="1"/>
      <c r="BP312" s="1" t="str">
        <f>HYPERLINK("https://nconnect.nicmar.ac.in/storage/profile/ProfilePhoto_P25700257_416537.jpg","Download")</f>
        <v>0</v>
      </c>
      <c r="BQ312" s="3"/>
      <c r="BR312" s="3"/>
    </row>
    <row r="313" spans="1:70">
      <c r="A313" s="1" t="s">
        <v>70</v>
      </c>
      <c r="B313" s="1" t="s">
        <v>1269</v>
      </c>
      <c r="C313" s="1" t="s">
        <v>6242</v>
      </c>
      <c r="D313" s="1" t="s">
        <v>6243</v>
      </c>
      <c r="E313" s="1"/>
      <c r="F313" s="1" t="s">
        <v>2717</v>
      </c>
      <c r="G313" s="1" t="s">
        <v>6244</v>
      </c>
      <c r="H313" s="1" t="s">
        <v>6245</v>
      </c>
      <c r="I313" s="1" t="s">
        <v>6246</v>
      </c>
      <c r="J313" s="1">
        <v>9553045358</v>
      </c>
      <c r="K313" s="1" t="s">
        <v>79</v>
      </c>
      <c r="L313" s="1" t="s">
        <v>6247</v>
      </c>
      <c r="M313" s="1" t="s">
        <v>81</v>
      </c>
      <c r="N313" s="1" t="s">
        <v>6248</v>
      </c>
      <c r="O313" s="1"/>
      <c r="P313" s="1" t="s">
        <v>1298</v>
      </c>
      <c r="Q313" s="1" t="s">
        <v>6249</v>
      </c>
      <c r="R313" s="1" t="s">
        <v>6250</v>
      </c>
      <c r="S313" s="1">
        <v>9491235174</v>
      </c>
      <c r="T313" s="1" t="s">
        <v>6251</v>
      </c>
      <c r="U313" s="1" t="s">
        <v>6252</v>
      </c>
      <c r="V313" s="1">
        <v>9000686105</v>
      </c>
      <c r="W313" s="1" t="s">
        <v>273</v>
      </c>
      <c r="X313" s="1" t="s">
        <v>6253</v>
      </c>
      <c r="Y313" s="1" t="s">
        <v>4834</v>
      </c>
      <c r="Z313" s="1" t="s">
        <v>609</v>
      </c>
      <c r="AA313" s="1" t="s">
        <v>6253</v>
      </c>
      <c r="AB313" s="1" t="s">
        <v>4834</v>
      </c>
      <c r="AC313" s="1" t="s">
        <v>609</v>
      </c>
      <c r="AD313" s="1">
        <v>7.83</v>
      </c>
      <c r="AE313" s="1" t="s">
        <v>93</v>
      </c>
      <c r="AF313" s="1" t="s">
        <v>6254</v>
      </c>
      <c r="AG313" s="1" t="s">
        <v>6255</v>
      </c>
      <c r="AH313" s="1" t="s">
        <v>657</v>
      </c>
      <c r="AI313" s="1" t="s">
        <v>727</v>
      </c>
      <c r="AJ313" s="1">
        <v>60</v>
      </c>
      <c r="AK313" s="1">
        <v>6</v>
      </c>
      <c r="AL313" s="1" t="s">
        <v>6256</v>
      </c>
      <c r="AM313" s="1" t="s">
        <v>6257</v>
      </c>
      <c r="AN313" s="1" t="s">
        <v>128</v>
      </c>
      <c r="AO313" s="1" t="s">
        <v>999</v>
      </c>
      <c r="AP313" s="1">
        <v>81.2</v>
      </c>
      <c r="AQ313" s="1"/>
      <c r="AR313" s="1"/>
      <c r="AS313" s="1"/>
      <c r="AT313" s="1"/>
      <c r="AU313" s="1"/>
      <c r="AV313" s="1"/>
      <c r="AW313" s="1"/>
      <c r="AX313" s="1" t="s">
        <v>282</v>
      </c>
      <c r="AY313" s="1" t="s">
        <v>6258</v>
      </c>
      <c r="AZ313" s="1" t="s">
        <v>6259</v>
      </c>
      <c r="BA313" s="1" t="s">
        <v>506</v>
      </c>
      <c r="BB313" s="1">
        <v>60.21</v>
      </c>
      <c r="BC313" s="1"/>
      <c r="BD313" s="1"/>
      <c r="BE313" s="1"/>
      <c r="BF313" s="1"/>
      <c r="BG313" s="1"/>
      <c r="BH313" s="1"/>
      <c r="BI313" s="1"/>
      <c r="BJ313" s="1" t="s">
        <v>1383</v>
      </c>
      <c r="BK313" s="1"/>
      <c r="BL313" s="1"/>
      <c r="BM313" s="1" t="s">
        <v>6260</v>
      </c>
      <c r="BN313" s="1">
        <v>67</v>
      </c>
      <c r="BO313" s="1"/>
      <c r="BP313" s="1" t="str">
        <f>HYPERLINK("https://nconnect.nicmar.ac.in/storage/profile/ProfilePhoto_P25700258_493578.jpg","Download")</f>
        <v>0</v>
      </c>
      <c r="BQ313" s="3"/>
      <c r="BR313" s="3"/>
    </row>
    <row r="314" spans="1:70">
      <c r="A314" s="1" t="s">
        <v>70</v>
      </c>
      <c r="B314" s="1" t="s">
        <v>1269</v>
      </c>
      <c r="C314" s="1" t="s">
        <v>6261</v>
      </c>
      <c r="D314" s="1" t="s">
        <v>6262</v>
      </c>
      <c r="E314" s="1" t="s">
        <v>6263</v>
      </c>
      <c r="F314" s="1" t="s">
        <v>6264</v>
      </c>
      <c r="G314" s="1" t="s">
        <v>6265</v>
      </c>
      <c r="H314" s="1" t="s">
        <v>6266</v>
      </c>
      <c r="I314" s="1" t="s">
        <v>6267</v>
      </c>
      <c r="J314" s="1">
        <v>7382453686</v>
      </c>
      <c r="K314" s="1" t="s">
        <v>148</v>
      </c>
      <c r="L314" s="1" t="s">
        <v>6268</v>
      </c>
      <c r="M314" s="1" t="s">
        <v>81</v>
      </c>
      <c r="N314" s="1" t="s">
        <v>6269</v>
      </c>
      <c r="O314" s="1"/>
      <c r="P314" s="1" t="s">
        <v>1323</v>
      </c>
      <c r="Q314" s="1" t="s">
        <v>6270</v>
      </c>
      <c r="R314" s="1" t="s">
        <v>6271</v>
      </c>
      <c r="S314" s="1">
        <v>9247328307</v>
      </c>
      <c r="T314" s="1" t="s">
        <v>6272</v>
      </c>
      <c r="U314" s="1" t="s">
        <v>6273</v>
      </c>
      <c r="V314" s="1">
        <v>8367378946</v>
      </c>
      <c r="W314" s="1" t="s">
        <v>122</v>
      </c>
      <c r="X314" s="1" t="s">
        <v>6274</v>
      </c>
      <c r="Y314" s="1" t="s">
        <v>3449</v>
      </c>
      <c r="Z314" s="1" t="s">
        <v>609</v>
      </c>
      <c r="AA314" s="1" t="s">
        <v>6275</v>
      </c>
      <c r="AB314" s="1" t="s">
        <v>3449</v>
      </c>
      <c r="AC314" s="1" t="s">
        <v>609</v>
      </c>
      <c r="AD314" s="1">
        <v>7.83</v>
      </c>
      <c r="AE314" s="1" t="s">
        <v>93</v>
      </c>
      <c r="AF314" s="1" t="s">
        <v>6276</v>
      </c>
      <c r="AG314" s="1" t="s">
        <v>1285</v>
      </c>
      <c r="AH314" s="1" t="s">
        <v>130</v>
      </c>
      <c r="AI314" s="1" t="s">
        <v>337</v>
      </c>
      <c r="AJ314" s="1">
        <v>83</v>
      </c>
      <c r="AK314" s="1">
        <v>8.3</v>
      </c>
      <c r="AL314" s="1" t="s">
        <v>612</v>
      </c>
      <c r="AM314" s="1" t="s">
        <v>613</v>
      </c>
      <c r="AN314" s="1" t="s">
        <v>279</v>
      </c>
      <c r="AO314" s="1" t="s">
        <v>678</v>
      </c>
      <c r="AP314" s="1">
        <v>82.5</v>
      </c>
      <c r="AQ314" s="1">
        <v>8.25</v>
      </c>
      <c r="AR314" s="1"/>
      <c r="AS314" s="1"/>
      <c r="AT314" s="1"/>
      <c r="AU314" s="1"/>
      <c r="AV314" s="1"/>
      <c r="AW314" s="1"/>
      <c r="AX314" s="1" t="s">
        <v>6277</v>
      </c>
      <c r="AY314" s="1" t="s">
        <v>6278</v>
      </c>
      <c r="AZ314" s="1" t="s">
        <v>6279</v>
      </c>
      <c r="BA314" s="1" t="s">
        <v>481</v>
      </c>
      <c r="BB314" s="1">
        <v>69</v>
      </c>
      <c r="BC314" s="1">
        <v>6.99</v>
      </c>
      <c r="BD314" s="1"/>
      <c r="BE314" s="1"/>
      <c r="BF314" s="1"/>
      <c r="BG314" s="1"/>
      <c r="BH314" s="1"/>
      <c r="BI314" s="1"/>
      <c r="BJ314" s="1" t="s">
        <v>6280</v>
      </c>
      <c r="BK314" s="1" t="s">
        <v>6281</v>
      </c>
      <c r="BL314" s="1" t="s">
        <v>1543</v>
      </c>
      <c r="BM314" s="1" t="s">
        <v>6282</v>
      </c>
      <c r="BN314" s="1">
        <v>90</v>
      </c>
      <c r="BO314" s="1"/>
      <c r="BP314" s="1" t="str">
        <f>HYPERLINK("https://nconnect.nicmar.ac.in/storage/profile/ProfilePhoto_P25700259_153496.jpg","Download")</f>
        <v>0</v>
      </c>
      <c r="BQ314" s="3"/>
      <c r="BR314" s="3"/>
    </row>
    <row r="315" spans="1:70">
      <c r="A315" s="1" t="s">
        <v>70</v>
      </c>
      <c r="B315" s="1" t="s">
        <v>1269</v>
      </c>
      <c r="C315" s="1" t="s">
        <v>6283</v>
      </c>
      <c r="D315" s="1" t="s">
        <v>6284</v>
      </c>
      <c r="E315" s="1"/>
      <c r="F315" s="1" t="s">
        <v>6285</v>
      </c>
      <c r="G315" s="1" t="s">
        <v>6286</v>
      </c>
      <c r="H315" s="1" t="s">
        <v>6287</v>
      </c>
      <c r="I315" s="1" t="s">
        <v>6288</v>
      </c>
      <c r="J315" s="1">
        <v>7080247966</v>
      </c>
      <c r="K315" s="1" t="s">
        <v>79</v>
      </c>
      <c r="L315" s="1" t="s">
        <v>6289</v>
      </c>
      <c r="M315" s="1" t="s">
        <v>81</v>
      </c>
      <c r="N315" s="1" t="s">
        <v>241</v>
      </c>
      <c r="O315" s="1"/>
      <c r="P315" s="1" t="s">
        <v>1766</v>
      </c>
      <c r="Q315" s="1" t="s">
        <v>6290</v>
      </c>
      <c r="R315" s="1" t="s">
        <v>6291</v>
      </c>
      <c r="S315" s="1">
        <v>9369587129</v>
      </c>
      <c r="T315" s="1" t="s">
        <v>6292</v>
      </c>
      <c r="U315" s="1" t="s">
        <v>6293</v>
      </c>
      <c r="V315" s="1">
        <v>7380773645</v>
      </c>
      <c r="W315" s="1" t="s">
        <v>3351</v>
      </c>
      <c r="X315" s="1" t="s">
        <v>6294</v>
      </c>
      <c r="Y315" s="1" t="s">
        <v>6295</v>
      </c>
      <c r="Z315" s="1" t="s">
        <v>1355</v>
      </c>
      <c r="AA315" s="1" t="s">
        <v>6294</v>
      </c>
      <c r="AB315" s="1" t="s">
        <v>6295</v>
      </c>
      <c r="AC315" s="1" t="s">
        <v>1355</v>
      </c>
      <c r="AD315" s="1">
        <v>8.3</v>
      </c>
      <c r="AE315" s="1" t="s">
        <v>93</v>
      </c>
      <c r="AF315" s="1" t="s">
        <v>6296</v>
      </c>
      <c r="AG315" s="1" t="s">
        <v>1196</v>
      </c>
      <c r="AH315" s="1" t="s">
        <v>131</v>
      </c>
      <c r="AI315" s="1" t="s">
        <v>527</v>
      </c>
      <c r="AJ315" s="1">
        <v>89.3</v>
      </c>
      <c r="AK315" s="1">
        <v>9.4</v>
      </c>
      <c r="AL315" s="1" t="s">
        <v>6296</v>
      </c>
      <c r="AM315" s="1" t="s">
        <v>1196</v>
      </c>
      <c r="AN315" s="1" t="s">
        <v>479</v>
      </c>
      <c r="AO315" s="1" t="s">
        <v>166</v>
      </c>
      <c r="AP315" s="1">
        <v>73.4</v>
      </c>
      <c r="AQ315" s="1">
        <v>0</v>
      </c>
      <c r="AR315" s="1"/>
      <c r="AS315" s="1"/>
      <c r="AT315" s="1"/>
      <c r="AU315" s="1"/>
      <c r="AV315" s="1"/>
      <c r="AW315" s="1"/>
      <c r="AX315" s="1" t="s">
        <v>2889</v>
      </c>
      <c r="AY315" s="1" t="s">
        <v>6297</v>
      </c>
      <c r="AZ315" s="1" t="s">
        <v>699</v>
      </c>
      <c r="BA315" s="1" t="s">
        <v>202</v>
      </c>
      <c r="BB315" s="1">
        <v>82.8</v>
      </c>
      <c r="BC315" s="1">
        <v>8.28</v>
      </c>
      <c r="BD315" s="1"/>
      <c r="BE315" s="1"/>
      <c r="BF315" s="1"/>
      <c r="BG315" s="1"/>
      <c r="BH315" s="1"/>
      <c r="BI315" s="1"/>
      <c r="BJ315" s="1" t="s">
        <v>1383</v>
      </c>
      <c r="BK315" s="1"/>
      <c r="BL315" s="1"/>
      <c r="BM315" s="1" t="s">
        <v>6298</v>
      </c>
      <c r="BN315" s="1">
        <v>14</v>
      </c>
      <c r="BO315" s="1"/>
      <c r="BP315" s="1" t="str">
        <f>HYPERLINK("https://nconnect.nicmar.ac.in/storage/profile/ProfilePhoto_P25700260_867251.jpg","Download")</f>
        <v>0</v>
      </c>
      <c r="BQ315" s="3"/>
      <c r="BR315" s="3"/>
    </row>
    <row r="316" spans="1:70">
      <c r="A316" s="1" t="s">
        <v>70</v>
      </c>
      <c r="B316" s="1" t="s">
        <v>1269</v>
      </c>
      <c r="C316" s="1" t="s">
        <v>6299</v>
      </c>
      <c r="D316" s="1" t="s">
        <v>6300</v>
      </c>
      <c r="E316" s="1"/>
      <c r="F316" s="1" t="s">
        <v>6301</v>
      </c>
      <c r="G316" s="1" t="s">
        <v>6302</v>
      </c>
      <c r="H316" s="1" t="s">
        <v>6303</v>
      </c>
      <c r="I316" s="1" t="s">
        <v>6304</v>
      </c>
      <c r="J316" s="1">
        <v>7897715939</v>
      </c>
      <c r="K316" s="1" t="s">
        <v>79</v>
      </c>
      <c r="L316" s="1" t="s">
        <v>6305</v>
      </c>
      <c r="M316" s="1" t="s">
        <v>81</v>
      </c>
      <c r="N316" s="1" t="s">
        <v>5056</v>
      </c>
      <c r="O316" s="1"/>
      <c r="P316" s="1" t="s">
        <v>1323</v>
      </c>
      <c r="Q316" s="1" t="s">
        <v>6306</v>
      </c>
      <c r="R316" s="1" t="s">
        <v>6307</v>
      </c>
      <c r="S316" s="1">
        <v>9336053495</v>
      </c>
      <c r="T316" s="1" t="s">
        <v>120</v>
      </c>
      <c r="U316" s="1" t="s">
        <v>6308</v>
      </c>
      <c r="V316" s="1">
        <v>8840774313</v>
      </c>
      <c r="W316" s="1" t="s">
        <v>120</v>
      </c>
      <c r="X316" s="1" t="s">
        <v>6309</v>
      </c>
      <c r="Y316" s="1" t="s">
        <v>1912</v>
      </c>
      <c r="Z316" s="1" t="s">
        <v>1355</v>
      </c>
      <c r="AA316" s="1" t="s">
        <v>6309</v>
      </c>
      <c r="AB316" s="1" t="s">
        <v>1912</v>
      </c>
      <c r="AC316" s="1" t="s">
        <v>1355</v>
      </c>
      <c r="AD316" s="1">
        <v>7.85</v>
      </c>
      <c r="AE316" s="1" t="s">
        <v>93</v>
      </c>
      <c r="AF316" s="1" t="s">
        <v>6310</v>
      </c>
      <c r="AG316" s="1" t="s">
        <v>6311</v>
      </c>
      <c r="AH316" s="1" t="s">
        <v>503</v>
      </c>
      <c r="AI316" s="1" t="s">
        <v>527</v>
      </c>
      <c r="AJ316" s="1">
        <v>78.16</v>
      </c>
      <c r="AK316" s="1">
        <v>8.22</v>
      </c>
      <c r="AL316" s="1" t="s">
        <v>4202</v>
      </c>
      <c r="AM316" s="1" t="s">
        <v>6312</v>
      </c>
      <c r="AN316" s="1" t="s">
        <v>678</v>
      </c>
      <c r="AO316" s="1" t="s">
        <v>166</v>
      </c>
      <c r="AP316" s="1">
        <v>70.66</v>
      </c>
      <c r="AQ316" s="1">
        <v>7.43</v>
      </c>
      <c r="AR316" s="1"/>
      <c r="AS316" s="1"/>
      <c r="AT316" s="1"/>
      <c r="AU316" s="1"/>
      <c r="AV316" s="1"/>
      <c r="AW316" s="1"/>
      <c r="AX316" s="1" t="s">
        <v>3432</v>
      </c>
      <c r="AY316" s="1" t="s">
        <v>6313</v>
      </c>
      <c r="AZ316" s="1" t="s">
        <v>166</v>
      </c>
      <c r="BA316" s="1" t="s">
        <v>1003</v>
      </c>
      <c r="BB316" s="1">
        <v>80.6</v>
      </c>
      <c r="BC316" s="1">
        <v>8.06</v>
      </c>
      <c r="BD316" s="1"/>
      <c r="BE316" s="1"/>
      <c r="BF316" s="1"/>
      <c r="BG316" s="1"/>
      <c r="BH316" s="1"/>
      <c r="BI316" s="1"/>
      <c r="BJ316" s="1" t="s">
        <v>1383</v>
      </c>
      <c r="BK316" s="1" t="s">
        <v>6314</v>
      </c>
      <c r="BL316" s="1" t="s">
        <v>1289</v>
      </c>
      <c r="BM316" s="1" t="s">
        <v>6315</v>
      </c>
      <c r="BN316" s="1">
        <v>44</v>
      </c>
      <c r="BO316" s="1"/>
      <c r="BP316" s="1" t="str">
        <f>HYPERLINK("https://nconnect.nicmar.ac.in/storage/profile/ProfilePhoto_P25700261_127954.jpg","Download")</f>
        <v>0</v>
      </c>
      <c r="BQ316" s="3"/>
      <c r="BR316" s="3"/>
    </row>
    <row r="317" spans="1:70">
      <c r="A317" s="1" t="s">
        <v>70</v>
      </c>
      <c r="B317" s="1" t="s">
        <v>1269</v>
      </c>
      <c r="C317" s="1" t="s">
        <v>6316</v>
      </c>
      <c r="D317" s="1" t="s">
        <v>6317</v>
      </c>
      <c r="E317" s="1" t="s">
        <v>6318</v>
      </c>
      <c r="F317" s="1" t="s">
        <v>6319</v>
      </c>
      <c r="G317" s="1" t="s">
        <v>6320</v>
      </c>
      <c r="H317" s="1" t="s">
        <v>6321</v>
      </c>
      <c r="I317" s="1" t="s">
        <v>6322</v>
      </c>
      <c r="J317" s="1">
        <v>7030108300</v>
      </c>
      <c r="K317" s="1" t="s">
        <v>79</v>
      </c>
      <c r="L317" s="1" t="s">
        <v>6323</v>
      </c>
      <c r="M317" s="1" t="s">
        <v>81</v>
      </c>
      <c r="N317" s="1" t="s">
        <v>1618</v>
      </c>
      <c r="O317" s="1"/>
      <c r="P317" s="1" t="s">
        <v>1323</v>
      </c>
      <c r="Q317" s="1" t="s">
        <v>6324</v>
      </c>
      <c r="R317" s="1" t="s">
        <v>6318</v>
      </c>
      <c r="S317" s="1">
        <v>9049759321</v>
      </c>
      <c r="T317" s="1" t="s">
        <v>6325</v>
      </c>
      <c r="U317" s="1" t="s">
        <v>3238</v>
      </c>
      <c r="V317" s="1">
        <v>8554922487</v>
      </c>
      <c r="W317" s="1" t="s">
        <v>651</v>
      </c>
      <c r="X317" s="1" t="s">
        <v>6326</v>
      </c>
      <c r="Y317" s="1" t="s">
        <v>567</v>
      </c>
      <c r="Z317" s="1" t="s">
        <v>92</v>
      </c>
      <c r="AA317" s="1" t="s">
        <v>6326</v>
      </c>
      <c r="AB317" s="1" t="s">
        <v>567</v>
      </c>
      <c r="AC317" s="1" t="s">
        <v>92</v>
      </c>
      <c r="AD317" s="1">
        <v>8.95</v>
      </c>
      <c r="AE317" s="1" t="s">
        <v>93</v>
      </c>
      <c r="AF317" s="1" t="s">
        <v>6327</v>
      </c>
      <c r="AG317" s="1" t="s">
        <v>160</v>
      </c>
      <c r="AH317" s="1" t="s">
        <v>162</v>
      </c>
      <c r="AI317" s="1" t="s">
        <v>165</v>
      </c>
      <c r="AJ317" s="1">
        <v>72.6</v>
      </c>
      <c r="AK317" s="1"/>
      <c r="AL317" s="1" t="s">
        <v>6328</v>
      </c>
      <c r="AM317" s="1" t="s">
        <v>160</v>
      </c>
      <c r="AN317" s="1" t="s">
        <v>166</v>
      </c>
      <c r="AO317" s="1" t="s">
        <v>308</v>
      </c>
      <c r="AP317" s="1">
        <v>58</v>
      </c>
      <c r="AQ317" s="1"/>
      <c r="AR317" s="1" t="s">
        <v>98</v>
      </c>
      <c r="AS317" s="1" t="s">
        <v>6329</v>
      </c>
      <c r="AT317" s="1" t="s">
        <v>201</v>
      </c>
      <c r="AU317" s="1" t="s">
        <v>436</v>
      </c>
      <c r="AV317" s="1">
        <v>87.84</v>
      </c>
      <c r="AW317" s="1"/>
      <c r="AX317" s="1" t="s">
        <v>410</v>
      </c>
      <c r="AY317" s="1" t="s">
        <v>6330</v>
      </c>
      <c r="AZ317" s="1" t="s">
        <v>1407</v>
      </c>
      <c r="BA317" s="1" t="s">
        <v>202</v>
      </c>
      <c r="BB317" s="1">
        <v>84.7</v>
      </c>
      <c r="BC317" s="1">
        <v>9.22</v>
      </c>
      <c r="BD317" s="1"/>
      <c r="BE317" s="1"/>
      <c r="BF317" s="1"/>
      <c r="BG317" s="1"/>
      <c r="BH317" s="1"/>
      <c r="BI317" s="1"/>
      <c r="BJ317" s="1" t="s">
        <v>6331</v>
      </c>
      <c r="BK317" s="1"/>
      <c r="BL317" s="1"/>
      <c r="BM317" s="1" t="s">
        <v>6332</v>
      </c>
      <c r="BN317" s="1">
        <v>34</v>
      </c>
      <c r="BO317" s="1"/>
      <c r="BP317" s="1" t="str">
        <f>HYPERLINK("https://nconnect.nicmar.ac.in/storage/profile/ProfilePhoto_P25700262_867913.jpg","Download")</f>
        <v>0</v>
      </c>
      <c r="BQ317" s="3"/>
      <c r="BR317" s="3"/>
    </row>
    <row r="318" spans="1:70">
      <c r="A318" s="1" t="s">
        <v>70</v>
      </c>
      <c r="B318" s="1" t="s">
        <v>1269</v>
      </c>
      <c r="C318" s="1" t="s">
        <v>6333</v>
      </c>
      <c r="D318" s="1" t="s">
        <v>6334</v>
      </c>
      <c r="E318" s="1" t="s">
        <v>6335</v>
      </c>
      <c r="F318" s="1" t="s">
        <v>6336</v>
      </c>
      <c r="G318" s="1" t="s">
        <v>6337</v>
      </c>
      <c r="H318" s="1" t="s">
        <v>6338</v>
      </c>
      <c r="I318" s="1" t="s">
        <v>6339</v>
      </c>
      <c r="J318" s="1">
        <v>8600550575</v>
      </c>
      <c r="K318" s="1" t="s">
        <v>79</v>
      </c>
      <c r="L318" s="1" t="s">
        <v>6340</v>
      </c>
      <c r="M318" s="1" t="s">
        <v>81</v>
      </c>
      <c r="N318" s="1" t="s">
        <v>6341</v>
      </c>
      <c r="O318" s="1"/>
      <c r="P318" s="1" t="s">
        <v>1298</v>
      </c>
      <c r="Q318" s="1" t="s">
        <v>6342</v>
      </c>
      <c r="R318" s="1" t="s">
        <v>6335</v>
      </c>
      <c r="S318" s="1">
        <v>9823242722</v>
      </c>
      <c r="T318" s="1" t="s">
        <v>496</v>
      </c>
      <c r="U318" s="1" t="s">
        <v>6343</v>
      </c>
      <c r="V318" s="1">
        <v>9764326323</v>
      </c>
      <c r="W318" s="1" t="s">
        <v>122</v>
      </c>
      <c r="X318" s="1" t="s">
        <v>6344</v>
      </c>
      <c r="Y318" s="1" t="s">
        <v>158</v>
      </c>
      <c r="Z318" s="1" t="s">
        <v>92</v>
      </c>
      <c r="AA318" s="1" t="s">
        <v>6344</v>
      </c>
      <c r="AB318" s="1" t="s">
        <v>158</v>
      </c>
      <c r="AC318" s="1" t="s">
        <v>92</v>
      </c>
      <c r="AD318" s="1">
        <v>7.82</v>
      </c>
      <c r="AE318" s="1" t="s">
        <v>93</v>
      </c>
      <c r="AF318" s="1" t="s">
        <v>6345</v>
      </c>
      <c r="AG318" s="1" t="s">
        <v>6346</v>
      </c>
      <c r="AH318" s="1" t="s">
        <v>161</v>
      </c>
      <c r="AI318" s="1" t="s">
        <v>479</v>
      </c>
      <c r="AJ318" s="1">
        <v>62.2</v>
      </c>
      <c r="AK318" s="1"/>
      <c r="AL318" s="1" t="s">
        <v>612</v>
      </c>
      <c r="AM318" s="1" t="s">
        <v>6347</v>
      </c>
      <c r="AN318" s="1" t="s">
        <v>165</v>
      </c>
      <c r="AO318" s="1" t="s">
        <v>308</v>
      </c>
      <c r="AP318" s="1">
        <v>70.7</v>
      </c>
      <c r="AQ318" s="1"/>
      <c r="AR318" s="1"/>
      <c r="AS318" s="1"/>
      <c r="AT318" s="1"/>
      <c r="AU318" s="1"/>
      <c r="AV318" s="1"/>
      <c r="AW318" s="1"/>
      <c r="AX318" s="1" t="s">
        <v>6348</v>
      </c>
      <c r="AY318" s="1" t="s">
        <v>6349</v>
      </c>
      <c r="AZ318" s="1" t="s">
        <v>308</v>
      </c>
      <c r="BA318" s="1" t="s">
        <v>682</v>
      </c>
      <c r="BB318" s="1">
        <v>79.2</v>
      </c>
      <c r="BC318" s="1">
        <v>7.92</v>
      </c>
      <c r="BD318" s="1"/>
      <c r="BE318" s="1"/>
      <c r="BF318" s="1"/>
      <c r="BG318" s="1"/>
      <c r="BH318" s="1"/>
      <c r="BI318" s="1"/>
      <c r="BJ318" s="1" t="s">
        <v>1521</v>
      </c>
      <c r="BK318" s="1"/>
      <c r="BL318" s="1"/>
      <c r="BM318" s="1" t="s">
        <v>6350</v>
      </c>
      <c r="BN318" s="1">
        <v>9</v>
      </c>
      <c r="BO318" s="1" t="s">
        <v>6351</v>
      </c>
      <c r="BP318" s="1" t="str">
        <f>HYPERLINK("https://nconnect.nicmar.ac.in/storage/profile/ProfilePhoto_P25700263_426175.jpg","Download")</f>
        <v>0</v>
      </c>
      <c r="BQ318" s="3"/>
      <c r="BR318" s="3"/>
    </row>
    <row r="319" spans="1:70">
      <c r="A319" s="1" t="s">
        <v>70</v>
      </c>
      <c r="B319" s="1" t="s">
        <v>1269</v>
      </c>
      <c r="C319" s="1" t="s">
        <v>6352</v>
      </c>
      <c r="D319" s="1" t="s">
        <v>6353</v>
      </c>
      <c r="E319" s="1" t="s">
        <v>596</v>
      </c>
      <c r="F319" s="1" t="s">
        <v>6354</v>
      </c>
      <c r="G319" s="1" t="s">
        <v>6355</v>
      </c>
      <c r="H319" s="1" t="s">
        <v>6356</v>
      </c>
      <c r="I319" s="1" t="s">
        <v>6357</v>
      </c>
      <c r="J319" s="1">
        <v>9479765927</v>
      </c>
      <c r="K319" s="1" t="s">
        <v>79</v>
      </c>
      <c r="L319" s="1" t="s">
        <v>6358</v>
      </c>
      <c r="M319" s="1" t="s">
        <v>81</v>
      </c>
      <c r="N319" s="1" t="s">
        <v>350</v>
      </c>
      <c r="O319" s="1"/>
      <c r="P319" s="1" t="s">
        <v>1278</v>
      </c>
      <c r="Q319" s="1" t="s">
        <v>6359</v>
      </c>
      <c r="R319" s="1" t="s">
        <v>6360</v>
      </c>
      <c r="S319" s="1">
        <v>9340086527</v>
      </c>
      <c r="T319" s="1" t="s">
        <v>1954</v>
      </c>
      <c r="U319" s="1" t="s">
        <v>6361</v>
      </c>
      <c r="V319" s="1">
        <v>9425866008</v>
      </c>
      <c r="W319" s="1" t="s">
        <v>6362</v>
      </c>
      <c r="X319" s="1" t="s">
        <v>6363</v>
      </c>
      <c r="Y319" s="1" t="s">
        <v>6364</v>
      </c>
      <c r="Z319" s="1" t="s">
        <v>936</v>
      </c>
      <c r="AA319" s="1" t="s">
        <v>6363</v>
      </c>
      <c r="AB319" s="1" t="s">
        <v>6364</v>
      </c>
      <c r="AC319" s="1" t="s">
        <v>936</v>
      </c>
      <c r="AD319" s="1">
        <v>8.54</v>
      </c>
      <c r="AE319" s="1" t="s">
        <v>93</v>
      </c>
      <c r="AF319" s="1" t="s">
        <v>6365</v>
      </c>
      <c r="AG319" s="1" t="s">
        <v>6366</v>
      </c>
      <c r="AH319" s="1" t="s">
        <v>281</v>
      </c>
      <c r="AI319" s="1" t="s">
        <v>308</v>
      </c>
      <c r="AJ319" s="1">
        <v>86</v>
      </c>
      <c r="AK319" s="1"/>
      <c r="AL319" s="1" t="s">
        <v>6365</v>
      </c>
      <c r="AM319" s="1" t="s">
        <v>6366</v>
      </c>
      <c r="AN319" s="1" t="s">
        <v>941</v>
      </c>
      <c r="AO319" s="1" t="s">
        <v>506</v>
      </c>
      <c r="AP319" s="1">
        <v>79.4</v>
      </c>
      <c r="AQ319" s="1"/>
      <c r="AR319" s="1"/>
      <c r="AS319" s="1"/>
      <c r="AT319" s="1"/>
      <c r="AU319" s="1"/>
      <c r="AV319" s="1"/>
      <c r="AW319" s="1"/>
      <c r="AX319" s="1" t="s">
        <v>6367</v>
      </c>
      <c r="AY319" s="1" t="s">
        <v>6368</v>
      </c>
      <c r="AZ319" s="1" t="s">
        <v>1407</v>
      </c>
      <c r="BA319" s="1" t="s">
        <v>1584</v>
      </c>
      <c r="BB319" s="1">
        <v>71.7</v>
      </c>
      <c r="BC319" s="1">
        <v>7.17</v>
      </c>
      <c r="BD319" s="1"/>
      <c r="BE319" s="1"/>
      <c r="BF319" s="1"/>
      <c r="BG319" s="1"/>
      <c r="BH319" s="1"/>
      <c r="BI319" s="1"/>
      <c r="BJ319" s="1" t="s">
        <v>6369</v>
      </c>
      <c r="BK319" s="1"/>
      <c r="BL319" s="1"/>
      <c r="BM319" s="1" t="s">
        <v>6370</v>
      </c>
      <c r="BN319" s="1">
        <v>37</v>
      </c>
      <c r="BO319" s="1"/>
      <c r="BP319" s="1" t="str">
        <f>HYPERLINK("https://nconnect.nicmar.ac.in/storage/profile/ProfilePhoto_P25700264_328496.jpg","Download")</f>
        <v>0</v>
      </c>
      <c r="BQ319" s="3"/>
      <c r="BR319" s="3"/>
    </row>
    <row r="320" spans="1:70">
      <c r="A320" s="1" t="s">
        <v>70</v>
      </c>
      <c r="B320" s="1" t="s">
        <v>1269</v>
      </c>
      <c r="C320" s="1" t="s">
        <v>6371</v>
      </c>
      <c r="D320" s="1" t="s">
        <v>6372</v>
      </c>
      <c r="E320" s="1" t="s">
        <v>835</v>
      </c>
      <c r="F320" s="1" t="s">
        <v>6373</v>
      </c>
      <c r="G320" s="1" t="s">
        <v>6374</v>
      </c>
      <c r="H320" s="1" t="s">
        <v>6375</v>
      </c>
      <c r="I320" s="1" t="s">
        <v>6376</v>
      </c>
      <c r="J320" s="1">
        <v>9713130520</v>
      </c>
      <c r="K320" s="1" t="s">
        <v>79</v>
      </c>
      <c r="L320" s="1" t="s">
        <v>2257</v>
      </c>
      <c r="M320" s="1" t="s">
        <v>81</v>
      </c>
      <c r="N320" s="1" t="s">
        <v>5056</v>
      </c>
      <c r="O320" s="1"/>
      <c r="P320" s="1" t="s">
        <v>1278</v>
      </c>
      <c r="Q320" s="1" t="s">
        <v>6377</v>
      </c>
      <c r="R320" s="1" t="s">
        <v>6378</v>
      </c>
      <c r="S320" s="1">
        <v>8305210964</v>
      </c>
      <c r="T320" s="1" t="s">
        <v>6379</v>
      </c>
      <c r="U320" s="1" t="s">
        <v>6380</v>
      </c>
      <c r="V320" s="1">
        <v>9981668101</v>
      </c>
      <c r="W320" s="1" t="s">
        <v>932</v>
      </c>
      <c r="X320" s="1" t="s">
        <v>6381</v>
      </c>
      <c r="Y320" s="1" t="s">
        <v>6382</v>
      </c>
      <c r="Z320" s="1" t="s">
        <v>936</v>
      </c>
      <c r="AA320" s="1" t="s">
        <v>6381</v>
      </c>
      <c r="AB320" s="1" t="s">
        <v>6382</v>
      </c>
      <c r="AC320" s="1" t="s">
        <v>936</v>
      </c>
      <c r="AD320" s="1">
        <v>7.8</v>
      </c>
      <c r="AE320" s="1" t="s">
        <v>93</v>
      </c>
      <c r="AF320" s="1" t="s">
        <v>6383</v>
      </c>
      <c r="AG320" s="1" t="s">
        <v>6384</v>
      </c>
      <c r="AH320" s="1" t="s">
        <v>334</v>
      </c>
      <c r="AI320" s="1" t="s">
        <v>308</v>
      </c>
      <c r="AJ320" s="1">
        <v>62.2</v>
      </c>
      <c r="AK320" s="1"/>
      <c r="AL320" s="1" t="s">
        <v>6385</v>
      </c>
      <c r="AM320" s="1" t="s">
        <v>6386</v>
      </c>
      <c r="AN320" s="1" t="s">
        <v>310</v>
      </c>
      <c r="AO320" s="1" t="s">
        <v>506</v>
      </c>
      <c r="AP320" s="1">
        <v>62.2</v>
      </c>
      <c r="AQ320" s="1"/>
      <c r="AR320" s="1"/>
      <c r="AS320" s="1"/>
      <c r="AT320" s="1"/>
      <c r="AU320" s="1"/>
      <c r="AV320" s="1"/>
      <c r="AW320" s="1"/>
      <c r="AX320" s="1" t="s">
        <v>6387</v>
      </c>
      <c r="AY320" s="1" t="s">
        <v>6388</v>
      </c>
      <c r="AZ320" s="1" t="s">
        <v>1051</v>
      </c>
      <c r="BA320" s="1" t="s">
        <v>1714</v>
      </c>
      <c r="BB320" s="1">
        <v>70.9</v>
      </c>
      <c r="BC320" s="1">
        <v>7.09</v>
      </c>
      <c r="BD320" s="1"/>
      <c r="BE320" s="1"/>
      <c r="BF320" s="1"/>
      <c r="BG320" s="1"/>
      <c r="BH320" s="1"/>
      <c r="BI320" s="1"/>
      <c r="BJ320" s="1" t="s">
        <v>1383</v>
      </c>
      <c r="BK320" s="1"/>
      <c r="BL320" s="1"/>
      <c r="BM320" s="1" t="s">
        <v>6389</v>
      </c>
      <c r="BN320" s="1">
        <v>30</v>
      </c>
      <c r="BO320" s="1"/>
      <c r="BP320" s="1" t="str">
        <f>HYPERLINK("https://nconnect.nicmar.ac.in/storage/profile/ProfilePhoto_P25700265_158934.jpg","Download")</f>
        <v>0</v>
      </c>
      <c r="BQ320" s="3"/>
      <c r="BR320" s="3"/>
    </row>
    <row r="321" spans="1:70">
      <c r="A321" s="1" t="s">
        <v>70</v>
      </c>
      <c r="B321" s="1" t="s">
        <v>1269</v>
      </c>
      <c r="C321" s="1" t="s">
        <v>6390</v>
      </c>
      <c r="D321" s="1" t="s">
        <v>6117</v>
      </c>
      <c r="E321" s="1" t="s">
        <v>513</v>
      </c>
      <c r="F321" s="1" t="s">
        <v>795</v>
      </c>
      <c r="G321" s="1" t="s">
        <v>6391</v>
      </c>
      <c r="H321" s="1" t="s">
        <v>6392</v>
      </c>
      <c r="I321" s="1" t="s">
        <v>6393</v>
      </c>
      <c r="J321" s="1">
        <v>8669054183</v>
      </c>
      <c r="K321" s="1" t="s">
        <v>148</v>
      </c>
      <c r="L321" s="1" t="s">
        <v>6394</v>
      </c>
      <c r="M321" s="1" t="s">
        <v>81</v>
      </c>
      <c r="N321" s="1" t="s">
        <v>860</v>
      </c>
      <c r="O321" s="1"/>
      <c r="P321" s="1" t="s">
        <v>2821</v>
      </c>
      <c r="Q321" s="1" t="s">
        <v>6395</v>
      </c>
      <c r="R321" s="1" t="s">
        <v>6396</v>
      </c>
      <c r="S321" s="1">
        <v>8530777150</v>
      </c>
      <c r="T321" s="1" t="s">
        <v>93</v>
      </c>
      <c r="U321" s="1" t="s">
        <v>6397</v>
      </c>
      <c r="V321" s="1">
        <v>8530777150</v>
      </c>
      <c r="W321" s="1" t="s">
        <v>156</v>
      </c>
      <c r="X321" s="1" t="s">
        <v>6398</v>
      </c>
      <c r="Y321" s="1" t="s">
        <v>6399</v>
      </c>
      <c r="Z321" s="1" t="s">
        <v>92</v>
      </c>
      <c r="AA321" s="1" t="s">
        <v>6398</v>
      </c>
      <c r="AB321" s="1" t="s">
        <v>6399</v>
      </c>
      <c r="AC321" s="1" t="s">
        <v>92</v>
      </c>
      <c r="AD321" s="1">
        <v>8.5</v>
      </c>
      <c r="AE321" s="1" t="s">
        <v>93</v>
      </c>
      <c r="AF321" s="1" t="s">
        <v>6400</v>
      </c>
      <c r="AG321" s="1" t="s">
        <v>6401</v>
      </c>
      <c r="AH321" s="1" t="s">
        <v>165</v>
      </c>
      <c r="AI321" s="1" t="s">
        <v>101</v>
      </c>
      <c r="AJ321" s="1">
        <v>79.6</v>
      </c>
      <c r="AK321" s="1"/>
      <c r="AL321" s="1"/>
      <c r="AM321" s="1"/>
      <c r="AN321" s="1"/>
      <c r="AO321" s="1"/>
      <c r="AP321" s="1"/>
      <c r="AQ321" s="1"/>
      <c r="AR321" s="1" t="s">
        <v>434</v>
      </c>
      <c r="AS321" s="1" t="s">
        <v>6402</v>
      </c>
      <c r="AT321" s="1" t="s">
        <v>169</v>
      </c>
      <c r="AU321" s="1" t="s">
        <v>436</v>
      </c>
      <c r="AV321" s="1">
        <v>91.42</v>
      </c>
      <c r="AW321" s="1"/>
      <c r="AX321" s="1" t="s">
        <v>361</v>
      </c>
      <c r="AY321" s="1" t="s">
        <v>6403</v>
      </c>
      <c r="AZ321" s="1" t="s">
        <v>1051</v>
      </c>
      <c r="BA321" s="1" t="s">
        <v>202</v>
      </c>
      <c r="BB321" s="1">
        <v>80.92</v>
      </c>
      <c r="BC321" s="1">
        <v>9.05</v>
      </c>
      <c r="BD321" s="1"/>
      <c r="BE321" s="1"/>
      <c r="BF321" s="1"/>
      <c r="BG321" s="1"/>
      <c r="BH321" s="1"/>
      <c r="BI321" s="1"/>
      <c r="BJ321" s="1" t="s">
        <v>6404</v>
      </c>
      <c r="BK321" s="1"/>
      <c r="BL321" s="1"/>
      <c r="BM321" s="1" t="s">
        <v>6405</v>
      </c>
      <c r="BN321" s="1">
        <v>39</v>
      </c>
      <c r="BO321" s="1" t="s">
        <v>6406</v>
      </c>
      <c r="BP321" s="1" t="str">
        <f>HYPERLINK("https://nconnect.nicmar.ac.in/storage/profile/ProfilePhoto_P25700266_297863.jpg","Download")</f>
        <v>0</v>
      </c>
      <c r="BQ321" s="3"/>
      <c r="BR321" s="3"/>
    </row>
    <row r="322" spans="1:70">
      <c r="A322" s="1" t="s">
        <v>70</v>
      </c>
      <c r="B322" s="1" t="s">
        <v>1269</v>
      </c>
      <c r="C322" s="1" t="s">
        <v>6407</v>
      </c>
      <c r="D322" s="1" t="s">
        <v>2696</v>
      </c>
      <c r="E322" s="1" t="s">
        <v>6408</v>
      </c>
      <c r="F322" s="1" t="s">
        <v>6409</v>
      </c>
      <c r="G322" s="1" t="s">
        <v>6410</v>
      </c>
      <c r="H322" s="1" t="s">
        <v>6411</v>
      </c>
      <c r="I322" s="1" t="s">
        <v>6412</v>
      </c>
      <c r="J322" s="1">
        <v>8485054025</v>
      </c>
      <c r="K322" s="1" t="s">
        <v>79</v>
      </c>
      <c r="L322" s="1" t="s">
        <v>6413</v>
      </c>
      <c r="M322" s="1" t="s">
        <v>81</v>
      </c>
      <c r="N322" s="1" t="s">
        <v>1418</v>
      </c>
      <c r="O322" s="1"/>
      <c r="P322" s="1" t="s">
        <v>1278</v>
      </c>
      <c r="Q322" s="1" t="s">
        <v>6414</v>
      </c>
      <c r="R322" s="1" t="s">
        <v>6408</v>
      </c>
      <c r="S322" s="1">
        <v>9422256949</v>
      </c>
      <c r="T322" s="1" t="s">
        <v>6415</v>
      </c>
      <c r="U322" s="1" t="s">
        <v>3238</v>
      </c>
      <c r="V322" s="1">
        <v>9420690320</v>
      </c>
      <c r="W322" s="1" t="s">
        <v>122</v>
      </c>
      <c r="X322" s="1" t="s">
        <v>6416</v>
      </c>
      <c r="Y322" s="1" t="s">
        <v>1174</v>
      </c>
      <c r="Z322" s="1" t="s">
        <v>92</v>
      </c>
      <c r="AA322" s="1" t="s">
        <v>6416</v>
      </c>
      <c r="AB322" s="1" t="s">
        <v>1174</v>
      </c>
      <c r="AC322" s="1" t="s">
        <v>92</v>
      </c>
      <c r="AD322" s="1">
        <v>7.67</v>
      </c>
      <c r="AE322" s="1" t="s">
        <v>93</v>
      </c>
      <c r="AF322" s="1" t="s">
        <v>6417</v>
      </c>
      <c r="AG322" s="1" t="s">
        <v>544</v>
      </c>
      <c r="AH322" s="1" t="s">
        <v>165</v>
      </c>
      <c r="AI322" s="1" t="s">
        <v>281</v>
      </c>
      <c r="AJ322" s="1">
        <v>87</v>
      </c>
      <c r="AK322" s="1"/>
      <c r="AL322" s="1" t="s">
        <v>6418</v>
      </c>
      <c r="AM322" s="1" t="s">
        <v>544</v>
      </c>
      <c r="AN322" s="1" t="s">
        <v>433</v>
      </c>
      <c r="AO322" s="1" t="s">
        <v>360</v>
      </c>
      <c r="AP322" s="1">
        <v>80.15</v>
      </c>
      <c r="AQ322" s="1"/>
      <c r="AR322" s="1"/>
      <c r="AS322" s="1"/>
      <c r="AT322" s="1"/>
      <c r="AU322" s="1"/>
      <c r="AV322" s="1"/>
      <c r="AW322" s="1"/>
      <c r="AX322" s="1" t="s">
        <v>361</v>
      </c>
      <c r="AY322" s="1" t="s">
        <v>6419</v>
      </c>
      <c r="AZ322" s="1" t="s">
        <v>363</v>
      </c>
      <c r="BA322" s="1" t="s">
        <v>413</v>
      </c>
      <c r="BB322" s="1">
        <v>84.17</v>
      </c>
      <c r="BC322" s="1">
        <v>8.86</v>
      </c>
      <c r="BD322" s="1"/>
      <c r="BE322" s="1"/>
      <c r="BF322" s="1"/>
      <c r="BG322" s="1"/>
      <c r="BH322" s="1"/>
      <c r="BI322" s="1"/>
      <c r="BJ322" s="1" t="s">
        <v>6420</v>
      </c>
      <c r="BK322" s="1"/>
      <c r="BL322" s="1"/>
      <c r="BM322" s="1" t="s">
        <v>6421</v>
      </c>
      <c r="BN322" s="1">
        <v>28</v>
      </c>
      <c r="BO322" s="1" t="s">
        <v>6422</v>
      </c>
      <c r="BP322" s="1" t="str">
        <f>HYPERLINK("https://nconnect.nicmar.ac.in/storage/profile/ProfilePhoto_P25700267_286547.jpg","Download")</f>
        <v>0</v>
      </c>
      <c r="BQ322" s="3"/>
      <c r="BR322" s="3"/>
    </row>
    <row r="323" spans="1:70">
      <c r="A323" s="1" t="s">
        <v>70</v>
      </c>
      <c r="B323" s="1" t="s">
        <v>1269</v>
      </c>
      <c r="C323" s="1" t="s">
        <v>6423</v>
      </c>
      <c r="D323" s="1" t="s">
        <v>6424</v>
      </c>
      <c r="E323" s="1"/>
      <c r="F323" s="1" t="s">
        <v>6425</v>
      </c>
      <c r="G323" s="1" t="s">
        <v>6426</v>
      </c>
      <c r="H323" s="1" t="s">
        <v>6427</v>
      </c>
      <c r="I323" s="1" t="s">
        <v>6428</v>
      </c>
      <c r="J323" s="1">
        <v>9479247569</v>
      </c>
      <c r="K323" s="1" t="s">
        <v>79</v>
      </c>
      <c r="L323" s="1" t="s">
        <v>6429</v>
      </c>
      <c r="M323" s="1" t="s">
        <v>81</v>
      </c>
      <c r="N323" s="1" t="s">
        <v>350</v>
      </c>
      <c r="O323" s="1"/>
      <c r="P323" s="1" t="s">
        <v>1278</v>
      </c>
      <c r="Q323" s="1" t="s">
        <v>6430</v>
      </c>
      <c r="R323" s="1" t="s">
        <v>6431</v>
      </c>
      <c r="S323" s="1">
        <v>9752441310</v>
      </c>
      <c r="T323" s="1" t="s">
        <v>6432</v>
      </c>
      <c r="U323" s="1" t="s">
        <v>6433</v>
      </c>
      <c r="V323" s="1">
        <v>8109302891</v>
      </c>
      <c r="W323" s="1" t="s">
        <v>6434</v>
      </c>
      <c r="X323" s="1" t="s">
        <v>6435</v>
      </c>
      <c r="Y323" s="1" t="s">
        <v>6088</v>
      </c>
      <c r="Z323" s="1" t="s">
        <v>1237</v>
      </c>
      <c r="AA323" s="1" t="s">
        <v>6435</v>
      </c>
      <c r="AB323" s="1" t="s">
        <v>6088</v>
      </c>
      <c r="AC323" s="1" t="s">
        <v>1237</v>
      </c>
      <c r="AD323" s="1">
        <v>7.46</v>
      </c>
      <c r="AE323" s="1" t="s">
        <v>93</v>
      </c>
      <c r="AF323" s="1" t="s">
        <v>6436</v>
      </c>
      <c r="AG323" s="1" t="s">
        <v>6437</v>
      </c>
      <c r="AH323" s="1" t="s">
        <v>457</v>
      </c>
      <c r="AI323" s="1" t="s">
        <v>308</v>
      </c>
      <c r="AJ323" s="1">
        <v>78</v>
      </c>
      <c r="AK323" s="1"/>
      <c r="AL323" s="1" t="s">
        <v>6438</v>
      </c>
      <c r="AM323" s="1" t="s">
        <v>6437</v>
      </c>
      <c r="AN323" s="1" t="s">
        <v>360</v>
      </c>
      <c r="AO323" s="1" t="s">
        <v>506</v>
      </c>
      <c r="AP323" s="1">
        <v>65.8</v>
      </c>
      <c r="AQ323" s="1"/>
      <c r="AR323" s="1"/>
      <c r="AS323" s="1"/>
      <c r="AT323" s="1"/>
      <c r="AU323" s="1"/>
      <c r="AV323" s="1"/>
      <c r="AW323" s="1"/>
      <c r="AX323" s="1" t="s">
        <v>3432</v>
      </c>
      <c r="AY323" s="1" t="s">
        <v>6439</v>
      </c>
      <c r="AZ323" s="1" t="s">
        <v>1051</v>
      </c>
      <c r="BA323" s="1" t="s">
        <v>1714</v>
      </c>
      <c r="BB323" s="1">
        <v>80.4</v>
      </c>
      <c r="BC323" s="1">
        <v>8.04</v>
      </c>
      <c r="BD323" s="1"/>
      <c r="BE323" s="1"/>
      <c r="BF323" s="1"/>
      <c r="BG323" s="1"/>
      <c r="BH323" s="1"/>
      <c r="BI323" s="1"/>
      <c r="BJ323" s="1" t="s">
        <v>4508</v>
      </c>
      <c r="BK323" s="1"/>
      <c r="BL323" s="1"/>
      <c r="BM323" s="1" t="s">
        <v>6440</v>
      </c>
      <c r="BN323" s="1">
        <v>11</v>
      </c>
      <c r="BO323" s="1" t="s">
        <v>6441</v>
      </c>
      <c r="BP323" s="1" t="str">
        <f>HYPERLINK("https://nconnect.nicmar.ac.in/storage/profile/ProfilePhoto_P25700268_169742.jpg","Download")</f>
        <v>0</v>
      </c>
      <c r="BQ323" s="3"/>
      <c r="BR323" s="3"/>
    </row>
    <row r="324" spans="1:70">
      <c r="A324" s="1" t="s">
        <v>70</v>
      </c>
      <c r="B324" s="1" t="s">
        <v>1269</v>
      </c>
      <c r="C324" s="1" t="s">
        <v>6442</v>
      </c>
      <c r="D324" s="1" t="s">
        <v>643</v>
      </c>
      <c r="E324" s="1"/>
      <c r="F324" s="1" t="s">
        <v>3036</v>
      </c>
      <c r="G324" s="1" t="s">
        <v>6443</v>
      </c>
      <c r="H324" s="1" t="s">
        <v>6444</v>
      </c>
      <c r="I324" s="1" t="s">
        <v>6445</v>
      </c>
      <c r="J324" s="1">
        <v>7089670087</v>
      </c>
      <c r="K324" s="1" t="s">
        <v>79</v>
      </c>
      <c r="L324" s="1" t="s">
        <v>6446</v>
      </c>
      <c r="M324" s="1" t="s">
        <v>81</v>
      </c>
      <c r="N324" s="1" t="s">
        <v>5056</v>
      </c>
      <c r="O324" s="1"/>
      <c r="P324" s="1" t="s">
        <v>1278</v>
      </c>
      <c r="Q324" s="1" t="s">
        <v>6447</v>
      </c>
      <c r="R324" s="1" t="s">
        <v>6448</v>
      </c>
      <c r="S324" s="1">
        <v>9893765981</v>
      </c>
      <c r="T324" s="1" t="s">
        <v>1954</v>
      </c>
      <c r="U324" s="1" t="s">
        <v>6449</v>
      </c>
      <c r="V324" s="1">
        <v>8085948592</v>
      </c>
      <c r="W324" s="1" t="s">
        <v>273</v>
      </c>
      <c r="X324" s="1" t="s">
        <v>6450</v>
      </c>
      <c r="Y324" s="1" t="s">
        <v>6088</v>
      </c>
      <c r="Z324" s="1" t="s">
        <v>1237</v>
      </c>
      <c r="AA324" s="1" t="s">
        <v>6450</v>
      </c>
      <c r="AB324" s="1" t="s">
        <v>6088</v>
      </c>
      <c r="AC324" s="1" t="s">
        <v>1237</v>
      </c>
      <c r="AD324" s="1">
        <v>7.95</v>
      </c>
      <c r="AE324" s="1" t="s">
        <v>93</v>
      </c>
      <c r="AF324" s="1" t="s">
        <v>6451</v>
      </c>
      <c r="AG324" s="1" t="s">
        <v>3279</v>
      </c>
      <c r="AH324" s="1" t="s">
        <v>503</v>
      </c>
      <c r="AI324" s="1" t="s">
        <v>527</v>
      </c>
      <c r="AJ324" s="1">
        <v>79.83</v>
      </c>
      <c r="AK324" s="1">
        <v>8.4</v>
      </c>
      <c r="AL324" s="1" t="s">
        <v>6451</v>
      </c>
      <c r="AM324" s="1" t="s">
        <v>3279</v>
      </c>
      <c r="AN324" s="1" t="s">
        <v>678</v>
      </c>
      <c r="AO324" s="1" t="s">
        <v>166</v>
      </c>
      <c r="AP324" s="1">
        <v>61.8</v>
      </c>
      <c r="AQ324" s="1"/>
      <c r="AR324" s="1"/>
      <c r="AS324" s="1"/>
      <c r="AT324" s="1"/>
      <c r="AU324" s="1"/>
      <c r="AV324" s="1"/>
      <c r="AW324" s="1"/>
      <c r="AX324" s="1" t="s">
        <v>6452</v>
      </c>
      <c r="AY324" s="1" t="s">
        <v>6453</v>
      </c>
      <c r="AZ324" s="1" t="s">
        <v>169</v>
      </c>
      <c r="BA324" s="1" t="s">
        <v>1003</v>
      </c>
      <c r="BB324" s="1">
        <v>71.54</v>
      </c>
      <c r="BC324" s="1">
        <v>7.81</v>
      </c>
      <c r="BD324" s="1"/>
      <c r="BE324" s="1"/>
      <c r="BF324" s="1"/>
      <c r="BG324" s="1"/>
      <c r="BH324" s="1"/>
      <c r="BI324" s="1"/>
      <c r="BJ324" s="1" t="s">
        <v>255</v>
      </c>
      <c r="BK324" s="1"/>
      <c r="BL324" s="1"/>
      <c r="BM324" s="1" t="s">
        <v>6454</v>
      </c>
      <c r="BN324" s="1">
        <v>13</v>
      </c>
      <c r="BO324" s="1"/>
      <c r="BP324" s="1" t="str">
        <f>HYPERLINK("https://nconnect.nicmar.ac.in/storage/profile/ProfilePhoto_P25700269_861432.jpg","Download")</f>
        <v>0</v>
      </c>
      <c r="BQ324" s="3"/>
      <c r="BR324" s="3"/>
    </row>
    <row r="325" spans="1:70">
      <c r="A325" s="1" t="s">
        <v>70</v>
      </c>
      <c r="B325" s="1" t="s">
        <v>1269</v>
      </c>
      <c r="C325" s="1" t="s">
        <v>6455</v>
      </c>
      <c r="D325" s="1" t="s">
        <v>6456</v>
      </c>
      <c r="E325" s="1"/>
      <c r="F325" s="1" t="s">
        <v>6457</v>
      </c>
      <c r="G325" s="1" t="s">
        <v>6458</v>
      </c>
      <c r="H325" s="1" t="s">
        <v>6459</v>
      </c>
      <c r="I325" s="1" t="s">
        <v>6460</v>
      </c>
      <c r="J325" s="1">
        <v>6264916607</v>
      </c>
      <c r="K325" s="1" t="s">
        <v>148</v>
      </c>
      <c r="L325" s="1" t="s">
        <v>6461</v>
      </c>
      <c r="M325" s="1" t="s">
        <v>81</v>
      </c>
      <c r="N325" s="1" t="s">
        <v>1395</v>
      </c>
      <c r="O325" s="1"/>
      <c r="P325" s="1" t="s">
        <v>1766</v>
      </c>
      <c r="Q325" s="1" t="s">
        <v>6462</v>
      </c>
      <c r="R325" s="1" t="s">
        <v>6463</v>
      </c>
      <c r="S325" s="1">
        <v>8889944211</v>
      </c>
      <c r="T325" s="1" t="s">
        <v>763</v>
      </c>
      <c r="U325" s="1" t="s">
        <v>6464</v>
      </c>
      <c r="V325" s="1">
        <v>9826056277</v>
      </c>
      <c r="W325" s="1" t="s">
        <v>763</v>
      </c>
      <c r="X325" s="1" t="s">
        <v>6465</v>
      </c>
      <c r="Y325" s="1" t="s">
        <v>6382</v>
      </c>
      <c r="Z325" s="1" t="s">
        <v>936</v>
      </c>
      <c r="AA325" s="1" t="s">
        <v>6465</v>
      </c>
      <c r="AB325" s="1" t="s">
        <v>6382</v>
      </c>
      <c r="AC325" s="1" t="s">
        <v>936</v>
      </c>
      <c r="AD325" s="1">
        <v>7.83</v>
      </c>
      <c r="AE325" s="1" t="s">
        <v>93</v>
      </c>
      <c r="AF325" s="1" t="s">
        <v>6466</v>
      </c>
      <c r="AG325" s="1" t="s">
        <v>6467</v>
      </c>
      <c r="AH325" s="1" t="s">
        <v>166</v>
      </c>
      <c r="AI325" s="1" t="s">
        <v>308</v>
      </c>
      <c r="AJ325" s="1">
        <v>82</v>
      </c>
      <c r="AK325" s="1"/>
      <c r="AL325" s="1" t="s">
        <v>6468</v>
      </c>
      <c r="AM325" s="1" t="s">
        <v>6467</v>
      </c>
      <c r="AN325" s="1" t="s">
        <v>412</v>
      </c>
      <c r="AO325" s="1" t="s">
        <v>506</v>
      </c>
      <c r="AP325" s="1">
        <v>84.4</v>
      </c>
      <c r="AQ325" s="1"/>
      <c r="AR325" s="1"/>
      <c r="AS325" s="1"/>
      <c r="AT325" s="1"/>
      <c r="AU325" s="1"/>
      <c r="AV325" s="1"/>
      <c r="AW325" s="1"/>
      <c r="AX325" s="1" t="s">
        <v>6469</v>
      </c>
      <c r="AY325" s="1" t="s">
        <v>6470</v>
      </c>
      <c r="AZ325" s="1" t="s">
        <v>506</v>
      </c>
      <c r="BA325" s="1" t="s">
        <v>1408</v>
      </c>
      <c r="BB325" s="1">
        <v>87.4</v>
      </c>
      <c r="BC325" s="1">
        <v>8.74</v>
      </c>
      <c r="BD325" s="1"/>
      <c r="BE325" s="1"/>
      <c r="BF325" s="1"/>
      <c r="BG325" s="1"/>
      <c r="BH325" s="1"/>
      <c r="BI325" s="1"/>
      <c r="BJ325" s="1" t="s">
        <v>1715</v>
      </c>
      <c r="BK325" s="1"/>
      <c r="BL325" s="1"/>
      <c r="BM325" s="1" t="s">
        <v>6471</v>
      </c>
      <c r="BN325" s="1">
        <v>20</v>
      </c>
      <c r="BO325" s="1"/>
      <c r="BP325" s="1" t="str">
        <f>HYPERLINK("https://nconnect.nicmar.ac.in/storage/profile/ProfilePhoto_P25700270_194253.jpg","Download")</f>
        <v>0</v>
      </c>
      <c r="BQ325" s="3"/>
      <c r="BR325" s="3"/>
    </row>
    <row r="326" spans="1:70">
      <c r="A326" s="1" t="s">
        <v>70</v>
      </c>
      <c r="B326" s="1" t="s">
        <v>1269</v>
      </c>
      <c r="C326" s="1" t="s">
        <v>6472</v>
      </c>
      <c r="D326" s="1" t="s">
        <v>6473</v>
      </c>
      <c r="E326" s="1" t="s">
        <v>1566</v>
      </c>
      <c r="F326" s="1" t="s">
        <v>2677</v>
      </c>
      <c r="G326" s="1" t="s">
        <v>6474</v>
      </c>
      <c r="H326" s="1" t="s">
        <v>6475</v>
      </c>
      <c r="I326" s="1" t="s">
        <v>6476</v>
      </c>
      <c r="J326" s="1">
        <v>8308814050</v>
      </c>
      <c r="K326" s="1" t="s">
        <v>148</v>
      </c>
      <c r="L326" s="1" t="s">
        <v>6477</v>
      </c>
      <c r="M326" s="1" t="s">
        <v>81</v>
      </c>
      <c r="N326" s="1" t="s">
        <v>469</v>
      </c>
      <c r="O326" s="1"/>
      <c r="P326" s="1" t="s">
        <v>1323</v>
      </c>
      <c r="Q326" s="1" t="s">
        <v>6478</v>
      </c>
      <c r="R326" s="1" t="s">
        <v>6479</v>
      </c>
      <c r="S326" s="1">
        <v>9822089606</v>
      </c>
      <c r="T326" s="1" t="s">
        <v>6480</v>
      </c>
      <c r="U326" s="1" t="s">
        <v>6481</v>
      </c>
      <c r="V326" s="1">
        <v>9623389394</v>
      </c>
      <c r="W326" s="1" t="s">
        <v>156</v>
      </c>
      <c r="X326" s="1" t="s">
        <v>6482</v>
      </c>
      <c r="Y326" s="1" t="s">
        <v>2790</v>
      </c>
      <c r="Z326" s="1" t="s">
        <v>92</v>
      </c>
      <c r="AA326" s="1" t="s">
        <v>6482</v>
      </c>
      <c r="AB326" s="1" t="s">
        <v>2790</v>
      </c>
      <c r="AC326" s="1" t="s">
        <v>92</v>
      </c>
      <c r="AD326" s="1">
        <v>7.33</v>
      </c>
      <c r="AE326" s="1" t="s">
        <v>93</v>
      </c>
      <c r="AF326" s="1" t="s">
        <v>6483</v>
      </c>
      <c r="AG326" s="1" t="s">
        <v>6484</v>
      </c>
      <c r="AH326" s="1" t="s">
        <v>195</v>
      </c>
      <c r="AI326" s="1" t="s">
        <v>281</v>
      </c>
      <c r="AJ326" s="1">
        <v>87.8</v>
      </c>
      <c r="AK326" s="1"/>
      <c r="AL326" s="1" t="s">
        <v>6485</v>
      </c>
      <c r="AM326" s="1" t="s">
        <v>6484</v>
      </c>
      <c r="AN326" s="1" t="s">
        <v>169</v>
      </c>
      <c r="AO326" s="1" t="s">
        <v>173</v>
      </c>
      <c r="AP326" s="1">
        <v>74.15</v>
      </c>
      <c r="AQ326" s="1"/>
      <c r="AR326" s="1"/>
      <c r="AS326" s="1"/>
      <c r="AT326" s="1"/>
      <c r="AU326" s="1"/>
      <c r="AV326" s="1"/>
      <c r="AW326" s="1"/>
      <c r="AX326" s="1" t="s">
        <v>1892</v>
      </c>
      <c r="AY326" s="1" t="s">
        <v>6486</v>
      </c>
      <c r="AZ326" s="1" t="s">
        <v>363</v>
      </c>
      <c r="BA326" s="1" t="s">
        <v>1714</v>
      </c>
      <c r="BB326" s="1">
        <v>72.02</v>
      </c>
      <c r="BC326" s="1">
        <v>7.91</v>
      </c>
      <c r="BD326" s="1"/>
      <c r="BE326" s="1"/>
      <c r="BF326" s="1"/>
      <c r="BG326" s="1"/>
      <c r="BH326" s="1"/>
      <c r="BI326" s="1"/>
      <c r="BJ326" s="1" t="s">
        <v>255</v>
      </c>
      <c r="BK326" s="1"/>
      <c r="BL326" s="1"/>
      <c r="BM326" s="1" t="s">
        <v>6487</v>
      </c>
      <c r="BN326" s="1">
        <v>28</v>
      </c>
      <c r="BO326" s="1"/>
      <c r="BP326" s="1" t="str">
        <f>HYPERLINK("https://nconnect.nicmar.ac.in/storage/profile/ProfilePhoto_P25700271_135978.jpg","Download")</f>
        <v>0</v>
      </c>
      <c r="BQ326" s="3"/>
      <c r="BR326" s="3"/>
    </row>
    <row r="327" spans="1:70">
      <c r="A327" s="1" t="s">
        <v>70</v>
      </c>
      <c r="B327" s="1" t="s">
        <v>1269</v>
      </c>
      <c r="C327" s="1" t="s">
        <v>6488</v>
      </c>
      <c r="D327" s="1" t="s">
        <v>6489</v>
      </c>
      <c r="E327" s="1" t="s">
        <v>6490</v>
      </c>
      <c r="F327" s="1" t="s">
        <v>2677</v>
      </c>
      <c r="G327" s="1" t="s">
        <v>6491</v>
      </c>
      <c r="H327" s="1" t="s">
        <v>6492</v>
      </c>
      <c r="I327" s="1" t="s">
        <v>6493</v>
      </c>
      <c r="J327" s="1">
        <v>7057663329</v>
      </c>
      <c r="K327" s="1" t="s">
        <v>79</v>
      </c>
      <c r="L327" s="1" t="s">
        <v>6494</v>
      </c>
      <c r="M327" s="1" t="s">
        <v>81</v>
      </c>
      <c r="N327" s="1" t="s">
        <v>1418</v>
      </c>
      <c r="O327" s="1"/>
      <c r="P327" s="1" t="s">
        <v>1278</v>
      </c>
      <c r="Q327" s="1" t="s">
        <v>6495</v>
      </c>
      <c r="R327" s="1" t="s">
        <v>6496</v>
      </c>
      <c r="S327" s="1">
        <v>7507599299</v>
      </c>
      <c r="T327" s="1" t="s">
        <v>763</v>
      </c>
      <c r="U327" s="1" t="s">
        <v>6497</v>
      </c>
      <c r="V327" s="1">
        <v>8149732031</v>
      </c>
      <c r="W327" s="1" t="s">
        <v>910</v>
      </c>
      <c r="X327" s="1" t="s">
        <v>6498</v>
      </c>
      <c r="Y327" s="1" t="s">
        <v>191</v>
      </c>
      <c r="Z327" s="1" t="s">
        <v>92</v>
      </c>
      <c r="AA327" s="1" t="s">
        <v>6498</v>
      </c>
      <c r="AB327" s="1" t="s">
        <v>191</v>
      </c>
      <c r="AC327" s="1" t="s">
        <v>92</v>
      </c>
      <c r="AD327" s="1">
        <v>8.52</v>
      </c>
      <c r="AE327" s="1" t="s">
        <v>93</v>
      </c>
      <c r="AF327" s="1" t="s">
        <v>6499</v>
      </c>
      <c r="AG327" s="1" t="s">
        <v>6500</v>
      </c>
      <c r="AH327" s="1" t="s">
        <v>657</v>
      </c>
      <c r="AI327" s="1" t="s">
        <v>409</v>
      </c>
      <c r="AJ327" s="1">
        <v>78.2</v>
      </c>
      <c r="AK327" s="1"/>
      <c r="AL327" s="1"/>
      <c r="AM327" s="1"/>
      <c r="AN327" s="1"/>
      <c r="AO327" s="1"/>
      <c r="AP327" s="1"/>
      <c r="AQ327" s="1"/>
      <c r="AR327" s="1" t="s">
        <v>434</v>
      </c>
      <c r="AS327" s="1" t="s">
        <v>6501</v>
      </c>
      <c r="AT327" s="1" t="s">
        <v>173</v>
      </c>
      <c r="AU327" s="1" t="s">
        <v>481</v>
      </c>
      <c r="AV327" s="1">
        <v>79.53</v>
      </c>
      <c r="AW327" s="1"/>
      <c r="AX327" s="1" t="s">
        <v>361</v>
      </c>
      <c r="AY327" s="1" t="s">
        <v>6502</v>
      </c>
      <c r="AZ327" s="1" t="s">
        <v>2693</v>
      </c>
      <c r="BA327" s="1" t="s">
        <v>1584</v>
      </c>
      <c r="BB327" s="1">
        <v>70.8</v>
      </c>
      <c r="BC327" s="1">
        <v>7.83</v>
      </c>
      <c r="BD327" s="1"/>
      <c r="BE327" s="1"/>
      <c r="BF327" s="1"/>
      <c r="BG327" s="1"/>
      <c r="BH327" s="1"/>
      <c r="BI327" s="1"/>
      <c r="BJ327" s="1" t="s">
        <v>6503</v>
      </c>
      <c r="BK327" s="1"/>
      <c r="BL327" s="1"/>
      <c r="BM327" s="1" t="s">
        <v>6504</v>
      </c>
      <c r="BN327" s="1">
        <v>13</v>
      </c>
      <c r="BO327" s="1" t="s">
        <v>6505</v>
      </c>
      <c r="BP327" s="1" t="str">
        <f>HYPERLINK("https://nconnect.nicmar.ac.in/storage/profile/ProfilePhoto_P25700272_839471.jpg","Download")</f>
        <v>0</v>
      </c>
      <c r="BQ327" s="3"/>
      <c r="BR327" s="3"/>
    </row>
    <row r="328" spans="1:70">
      <c r="A328" s="1" t="s">
        <v>70</v>
      </c>
      <c r="B328" s="1" t="s">
        <v>1269</v>
      </c>
      <c r="C328" s="1" t="s">
        <v>6506</v>
      </c>
      <c r="D328" s="1" t="s">
        <v>6507</v>
      </c>
      <c r="E328" s="1" t="s">
        <v>6508</v>
      </c>
      <c r="F328" s="1" t="s">
        <v>6509</v>
      </c>
      <c r="G328" s="1" t="s">
        <v>6510</v>
      </c>
      <c r="H328" s="1" t="s">
        <v>6511</v>
      </c>
      <c r="I328" s="1" t="s">
        <v>6512</v>
      </c>
      <c r="J328" s="1">
        <v>9786186787</v>
      </c>
      <c r="K328" s="1" t="s">
        <v>79</v>
      </c>
      <c r="L328" s="1" t="s">
        <v>6513</v>
      </c>
      <c r="M328" s="1" t="s">
        <v>81</v>
      </c>
      <c r="N328" s="1" t="s">
        <v>6514</v>
      </c>
      <c r="O328" s="1"/>
      <c r="P328" s="1" t="s">
        <v>1278</v>
      </c>
      <c r="Q328" s="1" t="s">
        <v>6515</v>
      </c>
      <c r="R328" s="1" t="s">
        <v>6516</v>
      </c>
      <c r="S328" s="1">
        <v>9976467906</v>
      </c>
      <c r="T328" s="1" t="s">
        <v>496</v>
      </c>
      <c r="U328" s="1" t="s">
        <v>6517</v>
      </c>
      <c r="V328" s="1">
        <v>9976467955</v>
      </c>
      <c r="W328" s="1" t="s">
        <v>273</v>
      </c>
      <c r="X328" s="1" t="s">
        <v>6518</v>
      </c>
      <c r="Y328" s="1" t="s">
        <v>1690</v>
      </c>
      <c r="Z328" s="1" t="s">
        <v>1377</v>
      </c>
      <c r="AA328" s="1" t="s">
        <v>6518</v>
      </c>
      <c r="AB328" s="1" t="s">
        <v>1690</v>
      </c>
      <c r="AC328" s="1" t="s">
        <v>1377</v>
      </c>
      <c r="AD328" s="1">
        <v>6.92</v>
      </c>
      <c r="AE328" s="1" t="s">
        <v>93</v>
      </c>
      <c r="AF328" s="1" t="s">
        <v>6519</v>
      </c>
      <c r="AG328" s="1" t="s">
        <v>6520</v>
      </c>
      <c r="AH328" s="1" t="s">
        <v>101</v>
      </c>
      <c r="AI328" s="1" t="s">
        <v>308</v>
      </c>
      <c r="AJ328" s="1">
        <v>75.2</v>
      </c>
      <c r="AK328" s="1">
        <v>0</v>
      </c>
      <c r="AL328" s="1" t="s">
        <v>6521</v>
      </c>
      <c r="AM328" s="1" t="s">
        <v>6522</v>
      </c>
      <c r="AN328" s="1" t="s">
        <v>699</v>
      </c>
      <c r="AO328" s="1" t="s">
        <v>1712</v>
      </c>
      <c r="AP328" s="1">
        <v>81.11</v>
      </c>
      <c r="AQ328" s="1">
        <v>0</v>
      </c>
      <c r="AR328" s="1"/>
      <c r="AS328" s="1"/>
      <c r="AT328" s="1"/>
      <c r="AU328" s="1"/>
      <c r="AV328" s="1"/>
      <c r="AW328" s="1"/>
      <c r="AX328" s="1" t="s">
        <v>1381</v>
      </c>
      <c r="AY328" s="1" t="s">
        <v>6523</v>
      </c>
      <c r="AZ328" s="1" t="s">
        <v>436</v>
      </c>
      <c r="BA328" s="1" t="s">
        <v>1408</v>
      </c>
      <c r="BB328" s="1">
        <v>72.2</v>
      </c>
      <c r="BC328" s="1">
        <v>7.22</v>
      </c>
      <c r="BD328" s="1"/>
      <c r="BE328" s="1"/>
      <c r="BF328" s="1"/>
      <c r="BG328" s="1"/>
      <c r="BH328" s="1"/>
      <c r="BI328" s="1"/>
      <c r="BJ328" s="1" t="s">
        <v>2080</v>
      </c>
      <c r="BK328" s="1"/>
      <c r="BL328" s="1"/>
      <c r="BM328" s="1" t="s">
        <v>6524</v>
      </c>
      <c r="BN328" s="1">
        <v>18</v>
      </c>
      <c r="BO328" s="1"/>
      <c r="BP328" s="1" t="str">
        <f>HYPERLINK("https://nconnect.nicmar.ac.in/storage/profile/ProfilePhoto_P25700273_243176.jpg","Download")</f>
        <v>0</v>
      </c>
      <c r="BQ328" s="3"/>
      <c r="BR328" s="3"/>
    </row>
    <row r="329" spans="1:70">
      <c r="A329" s="1" t="s">
        <v>70</v>
      </c>
      <c r="B329" s="1" t="s">
        <v>1269</v>
      </c>
      <c r="C329" s="1" t="s">
        <v>6525</v>
      </c>
      <c r="D329" s="1" t="s">
        <v>6526</v>
      </c>
      <c r="E329" s="1" t="s">
        <v>6527</v>
      </c>
      <c r="F329" s="1" t="s">
        <v>6528</v>
      </c>
      <c r="G329" s="1" t="s">
        <v>6529</v>
      </c>
      <c r="H329" s="1" t="s">
        <v>6530</v>
      </c>
      <c r="I329" s="1" t="s">
        <v>6531</v>
      </c>
      <c r="J329" s="1">
        <v>9156448281</v>
      </c>
      <c r="K329" s="1" t="s">
        <v>148</v>
      </c>
      <c r="L329" s="1" t="s">
        <v>6532</v>
      </c>
      <c r="M329" s="1" t="s">
        <v>81</v>
      </c>
      <c r="N329" s="1" t="s">
        <v>1418</v>
      </c>
      <c r="O329" s="1"/>
      <c r="P329" s="1" t="s">
        <v>1278</v>
      </c>
      <c r="Q329" s="1" t="s">
        <v>6533</v>
      </c>
      <c r="R329" s="1" t="s">
        <v>6534</v>
      </c>
      <c r="S329" s="1">
        <v>9890101818</v>
      </c>
      <c r="T329" s="1" t="s">
        <v>4581</v>
      </c>
      <c r="U329" s="1" t="s">
        <v>6535</v>
      </c>
      <c r="V329" s="1">
        <v>7517420632</v>
      </c>
      <c r="W329" s="1" t="s">
        <v>156</v>
      </c>
      <c r="X329" s="1" t="s">
        <v>6536</v>
      </c>
      <c r="Y329" s="1" t="s">
        <v>5937</v>
      </c>
      <c r="Z329" s="1" t="s">
        <v>92</v>
      </c>
      <c r="AA329" s="1" t="s">
        <v>6536</v>
      </c>
      <c r="AB329" s="1" t="s">
        <v>5937</v>
      </c>
      <c r="AC329" s="1" t="s">
        <v>92</v>
      </c>
      <c r="AD329" s="1">
        <v>8.54</v>
      </c>
      <c r="AE329" s="1" t="s">
        <v>93</v>
      </c>
      <c r="AF329" s="1" t="s">
        <v>6537</v>
      </c>
      <c r="AG329" s="1" t="s">
        <v>160</v>
      </c>
      <c r="AH329" s="1" t="s">
        <v>101</v>
      </c>
      <c r="AI329" s="1" t="s">
        <v>409</v>
      </c>
      <c r="AJ329" s="1">
        <v>90</v>
      </c>
      <c r="AK329" s="1"/>
      <c r="AL329" s="1" t="s">
        <v>6538</v>
      </c>
      <c r="AM329" s="1" t="s">
        <v>160</v>
      </c>
      <c r="AN329" s="1" t="s">
        <v>173</v>
      </c>
      <c r="AO329" s="1" t="s">
        <v>504</v>
      </c>
      <c r="AP329" s="1">
        <v>93.33</v>
      </c>
      <c r="AQ329" s="1"/>
      <c r="AR329" s="1"/>
      <c r="AS329" s="1"/>
      <c r="AT329" s="1"/>
      <c r="AU329" s="1"/>
      <c r="AV329" s="1"/>
      <c r="AW329" s="1"/>
      <c r="AX329" s="1" t="s">
        <v>6539</v>
      </c>
      <c r="AY329" s="1" t="s">
        <v>6540</v>
      </c>
      <c r="AZ329" s="1" t="s">
        <v>897</v>
      </c>
      <c r="BA329" s="1" t="s">
        <v>1584</v>
      </c>
      <c r="BB329" s="1">
        <v>76.7</v>
      </c>
      <c r="BC329" s="1">
        <v>8.17</v>
      </c>
      <c r="BD329" s="1"/>
      <c r="BE329" s="1"/>
      <c r="BF329" s="1"/>
      <c r="BG329" s="1"/>
      <c r="BH329" s="1"/>
      <c r="BI329" s="1"/>
      <c r="BJ329" s="1" t="s">
        <v>6541</v>
      </c>
      <c r="BK329" s="1"/>
      <c r="BL329" s="1"/>
      <c r="BM329" s="1" t="s">
        <v>6542</v>
      </c>
      <c r="BN329" s="1">
        <v>14</v>
      </c>
      <c r="BO329" s="1"/>
      <c r="BP329" s="1" t="str">
        <f>HYPERLINK("https://nconnect.nicmar.ac.in/storage/profile/ProfilePhoto_P25700274_326758.jpg","Download")</f>
        <v>0</v>
      </c>
      <c r="BQ329" s="3"/>
      <c r="BR329" s="3"/>
    </row>
    <row r="330" spans="1:70">
      <c r="A330" s="1" t="s">
        <v>70</v>
      </c>
      <c r="B330" s="1" t="s">
        <v>1269</v>
      </c>
      <c r="C330" s="1" t="s">
        <v>6543</v>
      </c>
      <c r="D330" s="1" t="s">
        <v>6544</v>
      </c>
      <c r="E330" s="1"/>
      <c r="F330" s="1" t="s">
        <v>6545</v>
      </c>
      <c r="G330" s="1" t="s">
        <v>6546</v>
      </c>
      <c r="H330" s="1" t="s">
        <v>6547</v>
      </c>
      <c r="I330" s="1" t="s">
        <v>6548</v>
      </c>
      <c r="J330" s="1">
        <v>9877169590</v>
      </c>
      <c r="K330" s="1" t="s">
        <v>79</v>
      </c>
      <c r="L330" s="1" t="s">
        <v>2602</v>
      </c>
      <c r="M330" s="1" t="s">
        <v>81</v>
      </c>
      <c r="N330" s="1" t="s">
        <v>6549</v>
      </c>
      <c r="O330" s="1"/>
      <c r="P330" s="1" t="s">
        <v>1323</v>
      </c>
      <c r="Q330" s="1" t="s">
        <v>6550</v>
      </c>
      <c r="R330" s="1" t="s">
        <v>6551</v>
      </c>
      <c r="S330" s="1">
        <v>8264724989</v>
      </c>
      <c r="T330" s="1" t="s">
        <v>154</v>
      </c>
      <c r="U330" s="1" t="s">
        <v>6552</v>
      </c>
      <c r="V330" s="1">
        <v>9815911683</v>
      </c>
      <c r="W330" s="1" t="s">
        <v>651</v>
      </c>
      <c r="X330" s="1" t="s">
        <v>6553</v>
      </c>
      <c r="Y330" s="1" t="s">
        <v>6554</v>
      </c>
      <c r="Z330" s="1" t="s">
        <v>1829</v>
      </c>
      <c r="AA330" s="1" t="s">
        <v>6553</v>
      </c>
      <c r="AB330" s="1" t="s">
        <v>6554</v>
      </c>
      <c r="AC330" s="1" t="s">
        <v>1829</v>
      </c>
      <c r="AD330" s="1" t="s">
        <v>93</v>
      </c>
      <c r="AE330" s="1" t="s">
        <v>93</v>
      </c>
      <c r="AF330" s="1" t="s">
        <v>6555</v>
      </c>
      <c r="AG330" s="1" t="s">
        <v>307</v>
      </c>
      <c r="AH330" s="1" t="s">
        <v>279</v>
      </c>
      <c r="AI330" s="1" t="s">
        <v>195</v>
      </c>
      <c r="AJ330" s="1">
        <v>62.7</v>
      </c>
      <c r="AK330" s="1">
        <v>6.6</v>
      </c>
      <c r="AL330" s="1" t="s">
        <v>6556</v>
      </c>
      <c r="AM330" s="1" t="s">
        <v>307</v>
      </c>
      <c r="AN330" s="1" t="s">
        <v>1307</v>
      </c>
      <c r="AO330" s="1" t="s">
        <v>412</v>
      </c>
      <c r="AP330" s="1">
        <v>66</v>
      </c>
      <c r="AQ330" s="1"/>
      <c r="AR330" s="1"/>
      <c r="AS330" s="1"/>
      <c r="AT330" s="1"/>
      <c r="AU330" s="1"/>
      <c r="AV330" s="1"/>
      <c r="AW330" s="1"/>
      <c r="AX330" s="1" t="s">
        <v>6557</v>
      </c>
      <c r="AY330" s="1" t="s">
        <v>6558</v>
      </c>
      <c r="AZ330" s="1" t="s">
        <v>681</v>
      </c>
      <c r="BA330" s="1" t="s">
        <v>1978</v>
      </c>
      <c r="BB330" s="1">
        <v>66</v>
      </c>
      <c r="BC330" s="1">
        <v>6.6</v>
      </c>
      <c r="BD330" s="1"/>
      <c r="BE330" s="1"/>
      <c r="BF330" s="1"/>
      <c r="BG330" s="1"/>
      <c r="BH330" s="1"/>
      <c r="BI330" s="1"/>
      <c r="BJ330" s="1" t="s">
        <v>6559</v>
      </c>
      <c r="BK330" s="1"/>
      <c r="BL330" s="1"/>
      <c r="BM330" s="1" t="s">
        <v>6560</v>
      </c>
      <c r="BN330" s="1">
        <v>14</v>
      </c>
      <c r="BO330" s="1"/>
      <c r="BP330" s="1" t="str">
        <f>HYPERLINK("https://nconnect.nicmar.ac.in/storage/profile/ProfilePhoto_P25700275_563178.jpg","Download")</f>
        <v>0</v>
      </c>
      <c r="BQ330" s="3"/>
      <c r="BR330" s="3"/>
    </row>
    <row r="331" spans="1:70">
      <c r="A331" s="1" t="s">
        <v>70</v>
      </c>
      <c r="B331" s="1" t="s">
        <v>1269</v>
      </c>
      <c r="C331" s="1" t="s">
        <v>6561</v>
      </c>
      <c r="D331" s="1" t="s">
        <v>6562</v>
      </c>
      <c r="E331" s="1"/>
      <c r="F331" s="1" t="s">
        <v>111</v>
      </c>
      <c r="G331" s="1" t="s">
        <v>6563</v>
      </c>
      <c r="H331" s="1" t="s">
        <v>6564</v>
      </c>
      <c r="I331" s="1" t="s">
        <v>6565</v>
      </c>
      <c r="J331" s="1">
        <v>8075372847</v>
      </c>
      <c r="K331" s="1" t="s">
        <v>79</v>
      </c>
      <c r="L331" s="1" t="s">
        <v>6566</v>
      </c>
      <c r="M331" s="1" t="s">
        <v>81</v>
      </c>
      <c r="N331" s="1" t="s">
        <v>1395</v>
      </c>
      <c r="O331" s="1"/>
      <c r="P331" s="1" t="s">
        <v>1323</v>
      </c>
      <c r="Q331" s="1" t="s">
        <v>6567</v>
      </c>
      <c r="R331" s="1" t="s">
        <v>6568</v>
      </c>
      <c r="S331" s="1">
        <v>9387014966</v>
      </c>
      <c r="T331" s="1" t="s">
        <v>496</v>
      </c>
      <c r="U331" s="1" t="s">
        <v>6569</v>
      </c>
      <c r="V331" s="1">
        <v>9562443953</v>
      </c>
      <c r="W331" s="1" t="s">
        <v>273</v>
      </c>
      <c r="X331" s="1" t="s">
        <v>6570</v>
      </c>
      <c r="Y331" s="1" t="s">
        <v>6067</v>
      </c>
      <c r="Z331" s="1" t="s">
        <v>125</v>
      </c>
      <c r="AA331" s="1" t="s">
        <v>6570</v>
      </c>
      <c r="AB331" s="1" t="s">
        <v>6067</v>
      </c>
      <c r="AC331" s="1" t="s">
        <v>125</v>
      </c>
      <c r="AD331" s="1">
        <v>8.21</v>
      </c>
      <c r="AE331" s="1" t="s">
        <v>93</v>
      </c>
      <c r="AF331" s="1" t="s">
        <v>6571</v>
      </c>
      <c r="AG331" s="1" t="s">
        <v>6572</v>
      </c>
      <c r="AH331" s="1" t="s">
        <v>130</v>
      </c>
      <c r="AI331" s="1" t="s">
        <v>503</v>
      </c>
      <c r="AJ331" s="1">
        <v>87.4</v>
      </c>
      <c r="AK331" s="1">
        <v>9.2</v>
      </c>
      <c r="AL331" s="1" t="s">
        <v>6571</v>
      </c>
      <c r="AM331" s="1" t="s">
        <v>6571</v>
      </c>
      <c r="AN331" s="1" t="s">
        <v>733</v>
      </c>
      <c r="AO331" s="1" t="s">
        <v>195</v>
      </c>
      <c r="AP331" s="1">
        <v>83.4</v>
      </c>
      <c r="AQ331" s="1"/>
      <c r="AR331" s="1"/>
      <c r="AS331" s="1"/>
      <c r="AT331" s="1"/>
      <c r="AU331" s="1"/>
      <c r="AV331" s="1"/>
      <c r="AW331" s="1"/>
      <c r="AX331" s="1" t="s">
        <v>6573</v>
      </c>
      <c r="AY331" s="1" t="s">
        <v>6574</v>
      </c>
      <c r="AZ331" s="1" t="s">
        <v>636</v>
      </c>
      <c r="BA331" s="1" t="s">
        <v>481</v>
      </c>
      <c r="BB331" s="1">
        <v>66.2</v>
      </c>
      <c r="BC331" s="1">
        <v>6.62</v>
      </c>
      <c r="BD331" s="1"/>
      <c r="BE331" s="1"/>
      <c r="BF331" s="1"/>
      <c r="BG331" s="1"/>
      <c r="BH331" s="1"/>
      <c r="BI331" s="1"/>
      <c r="BJ331" s="1" t="s">
        <v>1383</v>
      </c>
      <c r="BK331" s="1" t="s">
        <v>6575</v>
      </c>
      <c r="BL331" s="1" t="s">
        <v>340</v>
      </c>
      <c r="BM331" s="1" t="s">
        <v>6576</v>
      </c>
      <c r="BN331" s="1">
        <v>8</v>
      </c>
      <c r="BO331" s="1"/>
      <c r="BP331" s="1" t="str">
        <f>HYPERLINK("https://nconnect.nicmar.ac.in/storage/profile/ProfilePhoto_P25700277_438956.jpg","Download")</f>
        <v>0</v>
      </c>
      <c r="BQ331" s="3"/>
      <c r="BR331" s="3"/>
    </row>
    <row r="332" spans="1:70">
      <c r="A332" s="1" t="s">
        <v>70</v>
      </c>
      <c r="B332" s="1" t="s">
        <v>1269</v>
      </c>
      <c r="C332" s="1" t="s">
        <v>6577</v>
      </c>
      <c r="D332" s="1" t="s">
        <v>4996</v>
      </c>
      <c r="E332" s="1" t="s">
        <v>6578</v>
      </c>
      <c r="F332" s="1" t="s">
        <v>6579</v>
      </c>
      <c r="G332" s="1" t="s">
        <v>6580</v>
      </c>
      <c r="H332" s="1" t="s">
        <v>6581</v>
      </c>
      <c r="I332" s="1" t="s">
        <v>6582</v>
      </c>
      <c r="J332" s="1">
        <v>9579941848</v>
      </c>
      <c r="K332" s="1" t="s">
        <v>79</v>
      </c>
      <c r="L332" s="1" t="s">
        <v>5477</v>
      </c>
      <c r="M332" s="1" t="s">
        <v>81</v>
      </c>
      <c r="N332" s="1" t="s">
        <v>6583</v>
      </c>
      <c r="O332" s="1"/>
      <c r="P332" s="1" t="s">
        <v>1323</v>
      </c>
      <c r="Q332" s="1" t="s">
        <v>6584</v>
      </c>
      <c r="R332" s="1" t="s">
        <v>6585</v>
      </c>
      <c r="S332" s="1">
        <v>8412868888</v>
      </c>
      <c r="T332" s="1" t="s">
        <v>496</v>
      </c>
      <c r="U332" s="1" t="s">
        <v>6586</v>
      </c>
      <c r="V332" s="1">
        <v>8668700298</v>
      </c>
      <c r="W332" s="1" t="s">
        <v>156</v>
      </c>
      <c r="X332" s="1" t="s">
        <v>6587</v>
      </c>
      <c r="Y332" s="1" t="s">
        <v>158</v>
      </c>
      <c r="Z332" s="1" t="s">
        <v>92</v>
      </c>
      <c r="AA332" s="1" t="s">
        <v>6588</v>
      </c>
      <c r="AB332" s="1" t="s">
        <v>158</v>
      </c>
      <c r="AC332" s="1" t="s">
        <v>92</v>
      </c>
      <c r="AD332" s="1" t="s">
        <v>93</v>
      </c>
      <c r="AE332" s="1" t="s">
        <v>93</v>
      </c>
      <c r="AF332" s="1" t="s">
        <v>6589</v>
      </c>
      <c r="AG332" s="1" t="s">
        <v>6590</v>
      </c>
      <c r="AH332" s="1" t="s">
        <v>166</v>
      </c>
      <c r="AI332" s="1" t="s">
        <v>409</v>
      </c>
      <c r="AJ332" s="1">
        <v>69.4</v>
      </c>
      <c r="AK332" s="1"/>
      <c r="AL332" s="1" t="s">
        <v>6591</v>
      </c>
      <c r="AM332" s="1" t="s">
        <v>6592</v>
      </c>
      <c r="AN332" s="1" t="s">
        <v>941</v>
      </c>
      <c r="AO332" s="1" t="s">
        <v>3088</v>
      </c>
      <c r="AP332" s="1">
        <v>72.33</v>
      </c>
      <c r="AQ332" s="1"/>
      <c r="AR332" s="1"/>
      <c r="AS332" s="1"/>
      <c r="AT332" s="1"/>
      <c r="AU332" s="1"/>
      <c r="AV332" s="1"/>
      <c r="AW332" s="1"/>
      <c r="AX332" s="1" t="s">
        <v>6593</v>
      </c>
      <c r="AY332" s="1" t="s">
        <v>6594</v>
      </c>
      <c r="AZ332" s="1" t="s">
        <v>1131</v>
      </c>
      <c r="BA332" s="1" t="s">
        <v>1361</v>
      </c>
      <c r="BB332" s="1">
        <v>71.07</v>
      </c>
      <c r="BC332" s="1">
        <v>8.26</v>
      </c>
      <c r="BD332" s="1"/>
      <c r="BE332" s="1"/>
      <c r="BF332" s="1"/>
      <c r="BG332" s="1"/>
      <c r="BH332" s="1"/>
      <c r="BI332" s="1"/>
      <c r="BJ332" s="1" t="s">
        <v>6595</v>
      </c>
      <c r="BK332" s="1"/>
      <c r="BL332" s="1"/>
      <c r="BM332" s="1" t="s">
        <v>6596</v>
      </c>
      <c r="BN332" s="1">
        <v>8</v>
      </c>
      <c r="BO332" s="1" t="s">
        <v>6597</v>
      </c>
      <c r="BP332" s="1" t="str">
        <f>HYPERLINK("https://nconnect.nicmar.ac.in/storage/profile/ProfilePhoto_P25700278_937126.jpg","Download")</f>
        <v>0</v>
      </c>
      <c r="BQ332" s="3"/>
      <c r="BR332" s="3"/>
    </row>
    <row r="333" spans="1:70">
      <c r="A333" s="1" t="s">
        <v>70</v>
      </c>
      <c r="B333" s="1" t="s">
        <v>1269</v>
      </c>
      <c r="C333" s="1" t="s">
        <v>6598</v>
      </c>
      <c r="D333" s="1" t="s">
        <v>6599</v>
      </c>
      <c r="E333" s="1" t="s">
        <v>1390</v>
      </c>
      <c r="F333" s="1" t="s">
        <v>6600</v>
      </c>
      <c r="G333" s="1" t="s">
        <v>6601</v>
      </c>
      <c r="H333" s="1" t="s">
        <v>6602</v>
      </c>
      <c r="I333" s="1" t="s">
        <v>6603</v>
      </c>
      <c r="J333" s="1">
        <v>9567563482</v>
      </c>
      <c r="K333" s="1" t="s">
        <v>79</v>
      </c>
      <c r="L333" s="1" t="s">
        <v>6604</v>
      </c>
      <c r="M333" s="1" t="s">
        <v>81</v>
      </c>
      <c r="N333" s="1" t="s">
        <v>6605</v>
      </c>
      <c r="O333" s="1"/>
      <c r="P333" s="1" t="s">
        <v>1323</v>
      </c>
      <c r="Q333" s="1" t="s">
        <v>6606</v>
      </c>
      <c r="R333" s="1" t="s">
        <v>6607</v>
      </c>
      <c r="S333" s="1">
        <v>9447043944</v>
      </c>
      <c r="T333" s="1" t="s">
        <v>5657</v>
      </c>
      <c r="U333" s="1" t="s">
        <v>6608</v>
      </c>
      <c r="V333" s="1">
        <v>9497088960</v>
      </c>
      <c r="W333" s="1" t="s">
        <v>273</v>
      </c>
      <c r="X333" s="1" t="s">
        <v>6609</v>
      </c>
      <c r="Y333" s="1" t="s">
        <v>6610</v>
      </c>
      <c r="Z333" s="1" t="s">
        <v>125</v>
      </c>
      <c r="AA333" s="1" t="s">
        <v>6609</v>
      </c>
      <c r="AB333" s="1" t="s">
        <v>6610</v>
      </c>
      <c r="AC333" s="1" t="s">
        <v>125</v>
      </c>
      <c r="AD333" s="1">
        <v>8.92</v>
      </c>
      <c r="AE333" s="1" t="s">
        <v>93</v>
      </c>
      <c r="AF333" s="1" t="s">
        <v>6611</v>
      </c>
      <c r="AG333" s="1" t="s">
        <v>1152</v>
      </c>
      <c r="AH333" s="1" t="s">
        <v>165</v>
      </c>
      <c r="AI333" s="1" t="s">
        <v>166</v>
      </c>
      <c r="AJ333" s="1">
        <v>87.5</v>
      </c>
      <c r="AK333" s="1"/>
      <c r="AL333" s="1" t="s">
        <v>6612</v>
      </c>
      <c r="AM333" s="1" t="s">
        <v>3522</v>
      </c>
      <c r="AN333" s="1" t="s">
        <v>433</v>
      </c>
      <c r="AO333" s="1" t="s">
        <v>173</v>
      </c>
      <c r="AP333" s="1">
        <v>93.17</v>
      </c>
      <c r="AQ333" s="1"/>
      <c r="AR333" s="1"/>
      <c r="AS333" s="1"/>
      <c r="AT333" s="1"/>
      <c r="AU333" s="1"/>
      <c r="AV333" s="1"/>
      <c r="AW333" s="1"/>
      <c r="AX333" s="1" t="s">
        <v>6613</v>
      </c>
      <c r="AY333" s="1" t="s">
        <v>3335</v>
      </c>
      <c r="AZ333" s="1" t="s">
        <v>681</v>
      </c>
      <c r="BA333" s="1" t="s">
        <v>413</v>
      </c>
      <c r="BB333" s="1">
        <v>79.7</v>
      </c>
      <c r="BC333" s="1">
        <v>7.97</v>
      </c>
      <c r="BD333" s="1"/>
      <c r="BE333" s="1"/>
      <c r="BF333" s="1"/>
      <c r="BG333" s="1"/>
      <c r="BH333" s="1"/>
      <c r="BI333" s="1"/>
      <c r="BJ333" s="1" t="s">
        <v>6614</v>
      </c>
      <c r="BK333" s="1"/>
      <c r="BL333" s="1"/>
      <c r="BM333" s="1" t="s">
        <v>6615</v>
      </c>
      <c r="BN333" s="1">
        <v>61</v>
      </c>
      <c r="BO333" s="1" t="s">
        <v>6616</v>
      </c>
      <c r="BP333" s="1" t="str">
        <f>HYPERLINK("https://nconnect.nicmar.ac.in/storage/profile/ProfilePhoto_P25700280_693247.jpg","Download")</f>
        <v>0</v>
      </c>
      <c r="BQ333" s="3"/>
      <c r="BR333" s="3"/>
    </row>
    <row r="334" spans="1:70">
      <c r="A334" s="1" t="s">
        <v>70</v>
      </c>
      <c r="B334" s="1" t="s">
        <v>1269</v>
      </c>
      <c r="C334" s="1" t="s">
        <v>6617</v>
      </c>
      <c r="D334" s="1" t="s">
        <v>6618</v>
      </c>
      <c r="E334" s="1" t="s">
        <v>111</v>
      </c>
      <c r="F334" s="1" t="s">
        <v>6619</v>
      </c>
      <c r="G334" s="1" t="s">
        <v>6620</v>
      </c>
      <c r="H334" s="1" t="s">
        <v>6621</v>
      </c>
      <c r="I334" s="1" t="s">
        <v>6622</v>
      </c>
      <c r="J334" s="1">
        <v>9745629192</v>
      </c>
      <c r="K334" s="1" t="s">
        <v>148</v>
      </c>
      <c r="L334" s="1" t="s">
        <v>1986</v>
      </c>
      <c r="M334" s="1" t="s">
        <v>81</v>
      </c>
      <c r="N334" s="1" t="s">
        <v>6623</v>
      </c>
      <c r="O334" s="1"/>
      <c r="P334" s="1" t="s">
        <v>1298</v>
      </c>
      <c r="Q334" s="1" t="s">
        <v>6624</v>
      </c>
      <c r="R334" s="1" t="s">
        <v>6625</v>
      </c>
      <c r="S334" s="1">
        <v>9446529192</v>
      </c>
      <c r="T334" s="1" t="s">
        <v>496</v>
      </c>
      <c r="U334" s="1" t="s">
        <v>6626</v>
      </c>
      <c r="V334" s="1">
        <v>9495929192</v>
      </c>
      <c r="W334" s="1" t="s">
        <v>273</v>
      </c>
      <c r="X334" s="1" t="s">
        <v>6627</v>
      </c>
      <c r="Y334" s="1" t="s">
        <v>1260</v>
      </c>
      <c r="Z334" s="1" t="s">
        <v>125</v>
      </c>
      <c r="AA334" s="1" t="s">
        <v>6627</v>
      </c>
      <c r="AB334" s="1" t="s">
        <v>1260</v>
      </c>
      <c r="AC334" s="1" t="s">
        <v>125</v>
      </c>
      <c r="AD334" s="1">
        <v>8.28</v>
      </c>
      <c r="AE334" s="1" t="s">
        <v>93</v>
      </c>
      <c r="AF334" s="1" t="s">
        <v>6571</v>
      </c>
      <c r="AG334" s="1" t="s">
        <v>307</v>
      </c>
      <c r="AH334" s="1" t="s">
        <v>479</v>
      </c>
      <c r="AI334" s="1" t="s">
        <v>281</v>
      </c>
      <c r="AJ334" s="1">
        <v>79</v>
      </c>
      <c r="AK334" s="1">
        <v>0</v>
      </c>
      <c r="AL334" s="1" t="s">
        <v>6628</v>
      </c>
      <c r="AM334" s="1" t="s">
        <v>6629</v>
      </c>
      <c r="AN334" s="1" t="s">
        <v>433</v>
      </c>
      <c r="AO334" s="1" t="s">
        <v>941</v>
      </c>
      <c r="AP334" s="1">
        <v>78.5</v>
      </c>
      <c r="AQ334" s="1">
        <v>0</v>
      </c>
      <c r="AR334" s="1"/>
      <c r="AS334" s="1"/>
      <c r="AT334" s="1"/>
      <c r="AU334" s="1"/>
      <c r="AV334" s="1"/>
      <c r="AW334" s="1"/>
      <c r="AX334" s="1" t="s">
        <v>132</v>
      </c>
      <c r="AY334" s="1" t="s">
        <v>6630</v>
      </c>
      <c r="AZ334" s="1" t="s">
        <v>135</v>
      </c>
      <c r="BA334" s="1" t="s">
        <v>1408</v>
      </c>
      <c r="BB334" s="1">
        <v>74</v>
      </c>
      <c r="BC334" s="1">
        <v>7.4</v>
      </c>
      <c r="BD334" s="1"/>
      <c r="BE334" s="1"/>
      <c r="BF334" s="1"/>
      <c r="BG334" s="1"/>
      <c r="BH334" s="1"/>
      <c r="BI334" s="1"/>
      <c r="BJ334" s="1" t="s">
        <v>364</v>
      </c>
      <c r="BK334" s="1"/>
      <c r="BL334" s="1"/>
      <c r="BM334" s="1" t="s">
        <v>6631</v>
      </c>
      <c r="BN334" s="1">
        <v>8</v>
      </c>
      <c r="BO334" s="1" t="s">
        <v>6632</v>
      </c>
      <c r="BP334" s="1" t="str">
        <f>HYPERLINK("https://nconnect.nicmar.ac.in/storage/profile/ProfilePhoto_P25700282_942538.jpg","Download")</f>
        <v>0</v>
      </c>
      <c r="BQ334" s="3"/>
      <c r="BR334" s="3"/>
    </row>
    <row r="335" spans="1:70">
      <c r="A335" s="1" t="s">
        <v>70</v>
      </c>
      <c r="B335" s="1" t="s">
        <v>1269</v>
      </c>
      <c r="C335" s="1" t="s">
        <v>6633</v>
      </c>
      <c r="D335" s="1" t="s">
        <v>3251</v>
      </c>
      <c r="E335" s="1" t="s">
        <v>6634</v>
      </c>
      <c r="F335" s="1" t="s">
        <v>6635</v>
      </c>
      <c r="G335" s="1" t="s">
        <v>6636</v>
      </c>
      <c r="H335" s="1" t="s">
        <v>6637</v>
      </c>
      <c r="I335" s="1" t="s">
        <v>6638</v>
      </c>
      <c r="J335" s="1">
        <v>8010828770</v>
      </c>
      <c r="K335" s="1" t="s">
        <v>79</v>
      </c>
      <c r="L335" s="1" t="s">
        <v>6639</v>
      </c>
      <c r="M335" s="1" t="s">
        <v>81</v>
      </c>
      <c r="N335" s="1" t="s">
        <v>1765</v>
      </c>
      <c r="O335" s="1"/>
      <c r="P335" s="1" t="s">
        <v>6640</v>
      </c>
      <c r="Q335" s="1" t="s">
        <v>6641</v>
      </c>
      <c r="R335" s="1" t="s">
        <v>6642</v>
      </c>
      <c r="S335" s="1">
        <v>9527956934</v>
      </c>
      <c r="T335" s="1" t="s">
        <v>122</v>
      </c>
      <c r="U335" s="1" t="s">
        <v>6643</v>
      </c>
      <c r="V335" s="1">
        <v>9763979784</v>
      </c>
      <c r="W335" s="1" t="s">
        <v>156</v>
      </c>
      <c r="X335" s="1" t="s">
        <v>6644</v>
      </c>
      <c r="Y335" s="1" t="s">
        <v>191</v>
      </c>
      <c r="Z335" s="1" t="s">
        <v>92</v>
      </c>
      <c r="AA335" s="1" t="s">
        <v>6645</v>
      </c>
      <c r="AB335" s="1" t="s">
        <v>6646</v>
      </c>
      <c r="AC335" s="1" t="s">
        <v>92</v>
      </c>
      <c r="AD335" s="1">
        <v>8.28</v>
      </c>
      <c r="AE335" s="1" t="s">
        <v>93</v>
      </c>
      <c r="AF335" s="1" t="s">
        <v>6647</v>
      </c>
      <c r="AG335" s="1" t="s">
        <v>6648</v>
      </c>
      <c r="AH335" s="1" t="s">
        <v>162</v>
      </c>
      <c r="AI335" s="1" t="s">
        <v>165</v>
      </c>
      <c r="AJ335" s="1">
        <v>78.2</v>
      </c>
      <c r="AK335" s="1"/>
      <c r="AL335" s="1" t="s">
        <v>6649</v>
      </c>
      <c r="AM335" s="1" t="s">
        <v>6650</v>
      </c>
      <c r="AN335" s="1" t="s">
        <v>383</v>
      </c>
      <c r="AO335" s="1" t="s">
        <v>941</v>
      </c>
      <c r="AP335" s="1">
        <v>77.85</v>
      </c>
      <c r="AQ335" s="1"/>
      <c r="AR335" s="1"/>
      <c r="AS335" s="1"/>
      <c r="AT335" s="1"/>
      <c r="AU335" s="1"/>
      <c r="AV335" s="1"/>
      <c r="AW335" s="1"/>
      <c r="AX335" s="1" t="s">
        <v>361</v>
      </c>
      <c r="AY335" s="1" t="s">
        <v>6651</v>
      </c>
      <c r="AZ335" s="1" t="s">
        <v>363</v>
      </c>
      <c r="BA335" s="1" t="s">
        <v>202</v>
      </c>
      <c r="BB335" s="1">
        <v>74.6</v>
      </c>
      <c r="BC335" s="1">
        <v>8.3</v>
      </c>
      <c r="BD335" s="1"/>
      <c r="BE335" s="1"/>
      <c r="BF335" s="1"/>
      <c r="BG335" s="1"/>
      <c r="BH335" s="1"/>
      <c r="BI335" s="1"/>
      <c r="BJ335" s="1" t="s">
        <v>6652</v>
      </c>
      <c r="BK335" s="1"/>
      <c r="BL335" s="1"/>
      <c r="BM335" s="1" t="s">
        <v>6653</v>
      </c>
      <c r="BN335" s="1">
        <v>8</v>
      </c>
      <c r="BO335" s="1" t="s">
        <v>6654</v>
      </c>
      <c r="BP335" s="1" t="str">
        <f>HYPERLINK("https://nconnect.nicmar.ac.in/storage/profile/ProfilePhoto_P25700283_529847.jpg","Download")</f>
        <v>0</v>
      </c>
      <c r="BQ335" s="3"/>
      <c r="BR335" s="3"/>
    </row>
    <row r="336" spans="1:70">
      <c r="A336" s="1" t="s">
        <v>70</v>
      </c>
      <c r="B336" s="1" t="s">
        <v>1269</v>
      </c>
      <c r="C336" s="1" t="s">
        <v>6655</v>
      </c>
      <c r="D336" s="1" t="s">
        <v>6656</v>
      </c>
      <c r="E336" s="1" t="s">
        <v>6657</v>
      </c>
      <c r="F336" s="1" t="s">
        <v>6658</v>
      </c>
      <c r="G336" s="1" t="s">
        <v>6659</v>
      </c>
      <c r="H336" s="1" t="s">
        <v>6660</v>
      </c>
      <c r="I336" s="1" t="s">
        <v>6661</v>
      </c>
      <c r="J336" s="1">
        <v>7620490959</v>
      </c>
      <c r="K336" s="1" t="s">
        <v>79</v>
      </c>
      <c r="L336" s="1" t="s">
        <v>6662</v>
      </c>
      <c r="M336" s="1" t="s">
        <v>81</v>
      </c>
      <c r="N336" s="1" t="s">
        <v>1951</v>
      </c>
      <c r="O336" s="1"/>
      <c r="P336" s="1" t="s">
        <v>1323</v>
      </c>
      <c r="Q336" s="1" t="s">
        <v>6663</v>
      </c>
      <c r="R336" s="1" t="s">
        <v>6664</v>
      </c>
      <c r="S336" s="1">
        <v>8999192909</v>
      </c>
      <c r="T336" s="1" t="s">
        <v>496</v>
      </c>
      <c r="U336" s="1" t="s">
        <v>6665</v>
      </c>
      <c r="V336" s="1">
        <v>7020057963</v>
      </c>
      <c r="W336" s="1" t="s">
        <v>156</v>
      </c>
      <c r="X336" s="1" t="s">
        <v>6666</v>
      </c>
      <c r="Y336" s="1" t="s">
        <v>191</v>
      </c>
      <c r="Z336" s="1" t="s">
        <v>92</v>
      </c>
      <c r="AA336" s="1" t="s">
        <v>6667</v>
      </c>
      <c r="AB336" s="1" t="s">
        <v>405</v>
      </c>
      <c r="AC336" s="1" t="s">
        <v>92</v>
      </c>
      <c r="AD336" s="1">
        <v>8.07</v>
      </c>
      <c r="AE336" s="1" t="s">
        <v>93</v>
      </c>
      <c r="AF336" s="1" t="s">
        <v>6668</v>
      </c>
      <c r="AG336" s="1" t="s">
        <v>358</v>
      </c>
      <c r="AH336" s="1" t="s">
        <v>165</v>
      </c>
      <c r="AI336" s="1" t="s">
        <v>281</v>
      </c>
      <c r="AJ336" s="1">
        <v>89.8</v>
      </c>
      <c r="AK336" s="1"/>
      <c r="AL336" s="1" t="s">
        <v>6669</v>
      </c>
      <c r="AM336" s="1" t="s">
        <v>358</v>
      </c>
      <c r="AN336" s="1" t="s">
        <v>433</v>
      </c>
      <c r="AO336" s="1" t="s">
        <v>699</v>
      </c>
      <c r="AP336" s="1">
        <v>71.69</v>
      </c>
      <c r="AQ336" s="1"/>
      <c r="AR336" s="1"/>
      <c r="AS336" s="1"/>
      <c r="AT336" s="1"/>
      <c r="AU336" s="1"/>
      <c r="AV336" s="1"/>
      <c r="AW336" s="1"/>
      <c r="AX336" s="1" t="s">
        <v>410</v>
      </c>
      <c r="AY336" s="1" t="s">
        <v>6670</v>
      </c>
      <c r="AZ336" s="1" t="s">
        <v>173</v>
      </c>
      <c r="BA336" s="1" t="s">
        <v>202</v>
      </c>
      <c r="BB336" s="1">
        <v>73</v>
      </c>
      <c r="BC336" s="1">
        <v>8.05</v>
      </c>
      <c r="BD336" s="1"/>
      <c r="BE336" s="1"/>
      <c r="BF336" s="1"/>
      <c r="BG336" s="1"/>
      <c r="BH336" s="1"/>
      <c r="BI336" s="1"/>
      <c r="BJ336" s="1" t="s">
        <v>6671</v>
      </c>
      <c r="BK336" s="1"/>
      <c r="BL336" s="1"/>
      <c r="BM336" s="1" t="s">
        <v>6672</v>
      </c>
      <c r="BN336" s="1">
        <v>40</v>
      </c>
      <c r="BO336" s="1" t="s">
        <v>6673</v>
      </c>
      <c r="BP336" s="1" t="str">
        <f>HYPERLINK("https://nconnect.nicmar.ac.in/storage/profile/ProfilePhoto_P25700284_724851.jpg","Download")</f>
        <v>0</v>
      </c>
      <c r="BQ336" s="3"/>
      <c r="BR336" s="3"/>
    </row>
    <row r="337" spans="1:70">
      <c r="A337" s="1" t="s">
        <v>70</v>
      </c>
      <c r="B337" s="1" t="s">
        <v>1269</v>
      </c>
      <c r="C337" s="1" t="s">
        <v>6674</v>
      </c>
      <c r="D337" s="1" t="s">
        <v>5583</v>
      </c>
      <c r="E337" s="1" t="s">
        <v>1032</v>
      </c>
      <c r="F337" s="1" t="s">
        <v>6675</v>
      </c>
      <c r="G337" s="1" t="s">
        <v>6676</v>
      </c>
      <c r="H337" s="1" t="s">
        <v>6677</v>
      </c>
      <c r="I337" s="1" t="s">
        <v>6678</v>
      </c>
      <c r="J337" s="1">
        <v>9137909715</v>
      </c>
      <c r="K337" s="1" t="s">
        <v>79</v>
      </c>
      <c r="L337" s="1" t="s">
        <v>6679</v>
      </c>
      <c r="M337" s="1" t="s">
        <v>81</v>
      </c>
      <c r="N337" s="1" t="s">
        <v>3874</v>
      </c>
      <c r="O337" s="1"/>
      <c r="P337" s="1" t="s">
        <v>1278</v>
      </c>
      <c r="Q337" s="1" t="s">
        <v>6680</v>
      </c>
      <c r="R337" s="1" t="s">
        <v>6681</v>
      </c>
      <c r="S337" s="1">
        <v>9004413615</v>
      </c>
      <c r="T337" s="1" t="s">
        <v>6682</v>
      </c>
      <c r="U337" s="1" t="s">
        <v>6683</v>
      </c>
      <c r="V337" s="1">
        <v>9137909715</v>
      </c>
      <c r="W337" s="1" t="s">
        <v>6684</v>
      </c>
      <c r="X337" s="1" t="s">
        <v>6685</v>
      </c>
      <c r="Y337" s="1" t="s">
        <v>1623</v>
      </c>
      <c r="Z337" s="1" t="s">
        <v>92</v>
      </c>
      <c r="AA337" s="1" t="s">
        <v>6685</v>
      </c>
      <c r="AB337" s="1" t="s">
        <v>1623</v>
      </c>
      <c r="AC337" s="1" t="s">
        <v>92</v>
      </c>
      <c r="AD337" s="1">
        <v>8.2</v>
      </c>
      <c r="AE337" s="1" t="s">
        <v>93</v>
      </c>
      <c r="AF337" s="1" t="s">
        <v>6686</v>
      </c>
      <c r="AG337" s="1" t="s">
        <v>6687</v>
      </c>
      <c r="AH337" s="1" t="s">
        <v>101</v>
      </c>
      <c r="AI337" s="1" t="s">
        <v>308</v>
      </c>
      <c r="AJ337" s="1">
        <v>61.8</v>
      </c>
      <c r="AK337" s="1">
        <v>0</v>
      </c>
      <c r="AL337" s="1"/>
      <c r="AM337" s="1"/>
      <c r="AN337" s="1"/>
      <c r="AO337" s="1"/>
      <c r="AP337" s="1"/>
      <c r="AQ337" s="1"/>
      <c r="AR337" s="1" t="s">
        <v>98</v>
      </c>
      <c r="AS337" s="1" t="s">
        <v>6688</v>
      </c>
      <c r="AT337" s="1" t="s">
        <v>310</v>
      </c>
      <c r="AU337" s="1" t="s">
        <v>105</v>
      </c>
      <c r="AV337" s="1">
        <v>90.16</v>
      </c>
      <c r="AW337" s="1">
        <v>0</v>
      </c>
      <c r="AX337" s="1" t="s">
        <v>253</v>
      </c>
      <c r="AY337" s="1" t="s">
        <v>6689</v>
      </c>
      <c r="AZ337" s="1" t="s">
        <v>2693</v>
      </c>
      <c r="BA337" s="1" t="s">
        <v>1584</v>
      </c>
      <c r="BB337" s="1">
        <v>66.65</v>
      </c>
      <c r="BC337" s="1">
        <v>7.32</v>
      </c>
      <c r="BD337" s="1"/>
      <c r="BE337" s="1"/>
      <c r="BF337" s="1"/>
      <c r="BG337" s="1"/>
      <c r="BH337" s="1"/>
      <c r="BI337" s="1"/>
      <c r="BJ337" s="1" t="s">
        <v>1383</v>
      </c>
      <c r="BK337" s="1"/>
      <c r="BL337" s="1"/>
      <c r="BM337" s="1" t="s">
        <v>6690</v>
      </c>
      <c r="BN337" s="1">
        <v>26</v>
      </c>
      <c r="BO337" s="1" t="s">
        <v>6691</v>
      </c>
      <c r="BP337" s="1" t="str">
        <f>HYPERLINK("https://nconnect.nicmar.ac.in/storage/profile/ProfilePhoto_P25700285_743596.jpg","Download")</f>
        <v>0</v>
      </c>
      <c r="BQ337" s="3"/>
      <c r="BR337" s="3"/>
    </row>
    <row r="338" spans="1:70">
      <c r="A338" s="1" t="s">
        <v>70</v>
      </c>
      <c r="B338" s="1" t="s">
        <v>1269</v>
      </c>
      <c r="C338" s="1" t="s">
        <v>6692</v>
      </c>
      <c r="D338" s="1" t="s">
        <v>4134</v>
      </c>
      <c r="E338" s="1" t="s">
        <v>6693</v>
      </c>
      <c r="F338" s="1" t="s">
        <v>1390</v>
      </c>
      <c r="G338" s="1" t="s">
        <v>6694</v>
      </c>
      <c r="H338" s="1" t="s">
        <v>6695</v>
      </c>
      <c r="I338" s="1" t="s">
        <v>6696</v>
      </c>
      <c r="J338" s="1">
        <v>8139045033</v>
      </c>
      <c r="K338" s="1" t="s">
        <v>79</v>
      </c>
      <c r="L338" s="1" t="s">
        <v>6697</v>
      </c>
      <c r="M338" s="1" t="s">
        <v>81</v>
      </c>
      <c r="N338" s="1" t="s">
        <v>3325</v>
      </c>
      <c r="O338" s="1"/>
      <c r="P338" s="1" t="s">
        <v>1323</v>
      </c>
      <c r="Q338" s="1" t="s">
        <v>6698</v>
      </c>
      <c r="R338" s="1" t="s">
        <v>6699</v>
      </c>
      <c r="S338" s="1">
        <v>9447453418</v>
      </c>
      <c r="T338" s="1" t="s">
        <v>6700</v>
      </c>
      <c r="U338" s="1" t="s">
        <v>6701</v>
      </c>
      <c r="V338" s="1">
        <v>6282314227</v>
      </c>
      <c r="W338" s="1" t="s">
        <v>6702</v>
      </c>
      <c r="X338" s="1" t="s">
        <v>6703</v>
      </c>
      <c r="Y338" s="1" t="s">
        <v>1260</v>
      </c>
      <c r="Z338" s="1" t="s">
        <v>125</v>
      </c>
      <c r="AA338" s="1" t="s">
        <v>6703</v>
      </c>
      <c r="AB338" s="1" t="s">
        <v>1260</v>
      </c>
      <c r="AC338" s="1" t="s">
        <v>125</v>
      </c>
      <c r="AD338" s="1">
        <v>9.07</v>
      </c>
      <c r="AE338" s="1" t="s">
        <v>93</v>
      </c>
      <c r="AF338" s="1" t="s">
        <v>6704</v>
      </c>
      <c r="AG338" s="1" t="s">
        <v>6705</v>
      </c>
      <c r="AH338" s="1" t="s">
        <v>281</v>
      </c>
      <c r="AI338" s="1" t="s">
        <v>308</v>
      </c>
      <c r="AJ338" s="1">
        <v>91</v>
      </c>
      <c r="AK338" s="1"/>
      <c r="AL338" s="1" t="s">
        <v>6704</v>
      </c>
      <c r="AM338" s="1" t="s">
        <v>6706</v>
      </c>
      <c r="AN338" s="1" t="s">
        <v>941</v>
      </c>
      <c r="AO338" s="1" t="s">
        <v>506</v>
      </c>
      <c r="AP338" s="1">
        <v>98.66</v>
      </c>
      <c r="AQ338" s="1"/>
      <c r="AR338" s="1"/>
      <c r="AS338" s="1"/>
      <c r="AT338" s="1"/>
      <c r="AU338" s="1"/>
      <c r="AV338" s="1"/>
      <c r="AW338" s="1"/>
      <c r="AX338" s="1" t="s">
        <v>132</v>
      </c>
      <c r="AY338" s="1" t="s">
        <v>6707</v>
      </c>
      <c r="AZ338" s="1" t="s">
        <v>135</v>
      </c>
      <c r="BA338" s="1" t="s">
        <v>1714</v>
      </c>
      <c r="BB338" s="1">
        <v>83.9</v>
      </c>
      <c r="BC338" s="1"/>
      <c r="BD338" s="1"/>
      <c r="BE338" s="1"/>
      <c r="BF338" s="1"/>
      <c r="BG338" s="1"/>
      <c r="BH338" s="1"/>
      <c r="BI338" s="1"/>
      <c r="BJ338" s="1" t="s">
        <v>1383</v>
      </c>
      <c r="BK338" s="1"/>
      <c r="BL338" s="1"/>
      <c r="BM338" s="1" t="s">
        <v>6708</v>
      </c>
      <c r="BN338" s="1">
        <v>7</v>
      </c>
      <c r="BO338" s="1" t="s">
        <v>6632</v>
      </c>
      <c r="BP338" s="1" t="str">
        <f>HYPERLINK("https://nconnect.nicmar.ac.in/storage/profile/ProfilePhoto_P25700286_398214.jpg","Download")</f>
        <v>0</v>
      </c>
      <c r="BQ338" s="3"/>
      <c r="BR338" s="3"/>
    </row>
    <row r="339" spans="1:70">
      <c r="A339" s="1" t="s">
        <v>70</v>
      </c>
      <c r="B339" s="1" t="s">
        <v>1269</v>
      </c>
      <c r="C339" s="1" t="s">
        <v>6709</v>
      </c>
      <c r="D339" s="1" t="s">
        <v>5615</v>
      </c>
      <c r="E339" s="1" t="s">
        <v>6710</v>
      </c>
      <c r="F339" s="1" t="s">
        <v>6711</v>
      </c>
      <c r="G339" s="1" t="s">
        <v>6712</v>
      </c>
      <c r="H339" s="1" t="s">
        <v>6713</v>
      </c>
      <c r="I339" s="1" t="s">
        <v>6714</v>
      </c>
      <c r="J339" s="1">
        <v>9834762330</v>
      </c>
      <c r="K339" s="1" t="s">
        <v>79</v>
      </c>
      <c r="L339" s="1" t="s">
        <v>6715</v>
      </c>
      <c r="M339" s="1" t="s">
        <v>81</v>
      </c>
      <c r="N339" s="1" t="s">
        <v>860</v>
      </c>
      <c r="O339" s="1"/>
      <c r="P339" s="1" t="s">
        <v>1278</v>
      </c>
      <c r="Q339" s="1" t="s">
        <v>6716</v>
      </c>
      <c r="R339" s="1" t="s">
        <v>6717</v>
      </c>
      <c r="S339" s="1">
        <v>9421510620</v>
      </c>
      <c r="T339" s="1" t="s">
        <v>122</v>
      </c>
      <c r="U339" s="1" t="s">
        <v>6718</v>
      </c>
      <c r="V339" s="1">
        <v>9423114762</v>
      </c>
      <c r="W339" s="1" t="s">
        <v>122</v>
      </c>
      <c r="X339" s="1" t="s">
        <v>6719</v>
      </c>
      <c r="Y339" s="1" t="s">
        <v>1174</v>
      </c>
      <c r="Z339" s="1" t="s">
        <v>92</v>
      </c>
      <c r="AA339" s="1" t="s">
        <v>6719</v>
      </c>
      <c r="AB339" s="1" t="s">
        <v>1174</v>
      </c>
      <c r="AC339" s="1" t="s">
        <v>92</v>
      </c>
      <c r="AD339" s="1">
        <v>8.08</v>
      </c>
      <c r="AE339" s="1" t="s">
        <v>93</v>
      </c>
      <c r="AF339" s="1" t="s">
        <v>6720</v>
      </c>
      <c r="AG339" s="1" t="s">
        <v>476</v>
      </c>
      <c r="AH339" s="1" t="s">
        <v>999</v>
      </c>
      <c r="AI339" s="1" t="s">
        <v>97</v>
      </c>
      <c r="AJ339" s="1">
        <v>85.8</v>
      </c>
      <c r="AK339" s="1"/>
      <c r="AL339" s="1" t="s">
        <v>6720</v>
      </c>
      <c r="AM339" s="1" t="s">
        <v>476</v>
      </c>
      <c r="AN339" s="1" t="s">
        <v>1001</v>
      </c>
      <c r="AO339" s="1" t="s">
        <v>1332</v>
      </c>
      <c r="AP339" s="1">
        <v>72</v>
      </c>
      <c r="AQ339" s="1"/>
      <c r="AR339" s="1"/>
      <c r="AS339" s="1"/>
      <c r="AT339" s="1"/>
      <c r="AU339" s="1"/>
      <c r="AV339" s="1"/>
      <c r="AW339" s="1"/>
      <c r="AX339" s="1" t="s">
        <v>361</v>
      </c>
      <c r="AY339" s="1" t="s">
        <v>6721</v>
      </c>
      <c r="AZ339" s="1" t="s">
        <v>2910</v>
      </c>
      <c r="BA339" s="1" t="s">
        <v>1712</v>
      </c>
      <c r="BB339" s="1">
        <v>63.7</v>
      </c>
      <c r="BC339" s="1">
        <v>7.12</v>
      </c>
      <c r="BD339" s="1"/>
      <c r="BE339" s="1"/>
      <c r="BF339" s="1"/>
      <c r="BG339" s="1"/>
      <c r="BH339" s="1"/>
      <c r="BI339" s="1"/>
      <c r="BJ339" s="1" t="s">
        <v>4508</v>
      </c>
      <c r="BK339" s="1" t="s">
        <v>6722</v>
      </c>
      <c r="BL339" s="1" t="s">
        <v>1385</v>
      </c>
      <c r="BM339" s="1" t="s">
        <v>6723</v>
      </c>
      <c r="BN339" s="1">
        <v>57</v>
      </c>
      <c r="BO339" s="1" t="s">
        <v>6724</v>
      </c>
      <c r="BP339" s="1" t="str">
        <f>HYPERLINK("https://nconnect.nicmar.ac.in/storage/profile/ProfilePhoto_P25700287_896372.jpg","Download")</f>
        <v>0</v>
      </c>
      <c r="BQ339" s="3"/>
      <c r="BR339" s="3"/>
    </row>
    <row r="340" spans="1:70">
      <c r="A340" s="1" t="s">
        <v>70</v>
      </c>
      <c r="B340" s="1" t="s">
        <v>1269</v>
      </c>
      <c r="C340" s="1" t="s">
        <v>6725</v>
      </c>
      <c r="D340" s="1" t="s">
        <v>1455</v>
      </c>
      <c r="E340" s="1"/>
      <c r="F340" s="1" t="s">
        <v>6726</v>
      </c>
      <c r="G340" s="1" t="s">
        <v>6727</v>
      </c>
      <c r="H340" s="1" t="s">
        <v>6728</v>
      </c>
      <c r="I340" s="1" t="s">
        <v>6729</v>
      </c>
      <c r="J340" s="1">
        <v>7980380083</v>
      </c>
      <c r="K340" s="1" t="s">
        <v>79</v>
      </c>
      <c r="L340" s="1" t="s">
        <v>6730</v>
      </c>
      <c r="M340" s="1" t="s">
        <v>81</v>
      </c>
      <c r="N340" s="1" t="s">
        <v>2067</v>
      </c>
      <c r="O340" s="1"/>
      <c r="P340" s="1" t="s">
        <v>1323</v>
      </c>
      <c r="Q340" s="1" t="s">
        <v>6731</v>
      </c>
      <c r="R340" s="1" t="s">
        <v>6732</v>
      </c>
      <c r="S340" s="1">
        <v>9831075337</v>
      </c>
      <c r="T340" s="1" t="s">
        <v>216</v>
      </c>
      <c r="U340" s="1" t="s">
        <v>6733</v>
      </c>
      <c r="V340" s="1">
        <v>9831735275</v>
      </c>
      <c r="W340" s="1" t="s">
        <v>89</v>
      </c>
      <c r="X340" s="1" t="s">
        <v>6734</v>
      </c>
      <c r="Y340" s="1" t="s">
        <v>2072</v>
      </c>
      <c r="Z340" s="1" t="s">
        <v>783</v>
      </c>
      <c r="AA340" s="1" t="s">
        <v>6734</v>
      </c>
      <c r="AB340" s="1" t="s">
        <v>2072</v>
      </c>
      <c r="AC340" s="1" t="s">
        <v>783</v>
      </c>
      <c r="AD340" s="1">
        <v>8.84</v>
      </c>
      <c r="AE340" s="1" t="s">
        <v>93</v>
      </c>
      <c r="AF340" s="1" t="s">
        <v>6735</v>
      </c>
      <c r="AG340" s="1" t="s">
        <v>6736</v>
      </c>
      <c r="AH340" s="1" t="s">
        <v>131</v>
      </c>
      <c r="AI340" s="1" t="s">
        <v>527</v>
      </c>
      <c r="AJ340" s="1">
        <v>77.9</v>
      </c>
      <c r="AK340" s="1">
        <v>8.2</v>
      </c>
      <c r="AL340" s="1" t="s">
        <v>6735</v>
      </c>
      <c r="AM340" s="1" t="s">
        <v>6736</v>
      </c>
      <c r="AN340" s="1" t="s">
        <v>166</v>
      </c>
      <c r="AO340" s="1" t="s">
        <v>308</v>
      </c>
      <c r="AP340" s="1">
        <v>63.67</v>
      </c>
      <c r="AQ340" s="1"/>
      <c r="AR340" s="1"/>
      <c r="AS340" s="1"/>
      <c r="AT340" s="1"/>
      <c r="AU340" s="1"/>
      <c r="AV340" s="1"/>
      <c r="AW340" s="1"/>
      <c r="AX340" s="1" t="s">
        <v>2078</v>
      </c>
      <c r="AY340" s="1" t="s">
        <v>6737</v>
      </c>
      <c r="AZ340" s="1" t="s">
        <v>201</v>
      </c>
      <c r="BA340" s="1" t="s">
        <v>229</v>
      </c>
      <c r="BB340" s="1">
        <v>73.9</v>
      </c>
      <c r="BC340" s="1">
        <v>8.14</v>
      </c>
      <c r="BD340" s="1"/>
      <c r="BE340" s="1"/>
      <c r="BF340" s="1"/>
      <c r="BG340" s="1"/>
      <c r="BH340" s="1"/>
      <c r="BI340" s="1"/>
      <c r="BJ340" s="1" t="s">
        <v>6738</v>
      </c>
      <c r="BK340" s="1" t="s">
        <v>6739</v>
      </c>
      <c r="BL340" s="1" t="s">
        <v>2305</v>
      </c>
      <c r="BM340" s="1" t="s">
        <v>6740</v>
      </c>
      <c r="BN340" s="1">
        <v>4</v>
      </c>
      <c r="BO340" s="1" t="s">
        <v>6741</v>
      </c>
      <c r="BP340" s="1" t="str">
        <f>HYPERLINK("https://nconnect.nicmar.ac.in/storage/profile/ProfilePhoto_P25700288_156498.jpg","Download")</f>
        <v>0</v>
      </c>
      <c r="BQ340" s="3"/>
      <c r="BR340" s="3"/>
    </row>
    <row r="341" spans="1:70">
      <c r="A341" s="1" t="s">
        <v>70</v>
      </c>
      <c r="B341" s="1" t="s">
        <v>1269</v>
      </c>
      <c r="C341" s="1" t="s">
        <v>6742</v>
      </c>
      <c r="D341" s="1" t="s">
        <v>6743</v>
      </c>
      <c r="E341" s="1" t="s">
        <v>6744</v>
      </c>
      <c r="F341" s="1" t="s">
        <v>6745</v>
      </c>
      <c r="G341" s="1" t="s">
        <v>6746</v>
      </c>
      <c r="H341" s="1" t="s">
        <v>6747</v>
      </c>
      <c r="I341" s="1" t="s">
        <v>6748</v>
      </c>
      <c r="J341" s="1">
        <v>9689670454</v>
      </c>
      <c r="K341" s="1" t="s">
        <v>148</v>
      </c>
      <c r="L341" s="1" t="s">
        <v>6749</v>
      </c>
      <c r="M341" s="1" t="s">
        <v>81</v>
      </c>
      <c r="N341" s="1" t="s">
        <v>1418</v>
      </c>
      <c r="O341" s="1"/>
      <c r="P341" s="1" t="s">
        <v>1323</v>
      </c>
      <c r="Q341" s="1" t="s">
        <v>6750</v>
      </c>
      <c r="R341" s="1" t="s">
        <v>2485</v>
      </c>
      <c r="S341" s="1">
        <v>9823494139</v>
      </c>
      <c r="T341" s="1" t="s">
        <v>6751</v>
      </c>
      <c r="U341" s="1" t="s">
        <v>6752</v>
      </c>
      <c r="V341" s="1">
        <v>9158976637</v>
      </c>
      <c r="W341" s="1" t="s">
        <v>156</v>
      </c>
      <c r="X341" s="1" t="s">
        <v>6753</v>
      </c>
      <c r="Y341" s="1" t="s">
        <v>405</v>
      </c>
      <c r="Z341" s="1" t="s">
        <v>92</v>
      </c>
      <c r="AA341" s="1" t="s">
        <v>6753</v>
      </c>
      <c r="AB341" s="1" t="s">
        <v>405</v>
      </c>
      <c r="AC341" s="1" t="s">
        <v>92</v>
      </c>
      <c r="AD341" s="1">
        <v>8.16</v>
      </c>
      <c r="AE341" s="1" t="s">
        <v>93</v>
      </c>
      <c r="AF341" s="1" t="s">
        <v>6754</v>
      </c>
      <c r="AG341" s="1" t="s">
        <v>476</v>
      </c>
      <c r="AH341" s="1" t="s">
        <v>161</v>
      </c>
      <c r="AI341" s="1" t="s">
        <v>162</v>
      </c>
      <c r="AJ341" s="1">
        <v>96</v>
      </c>
      <c r="AK341" s="1"/>
      <c r="AL341" s="1" t="s">
        <v>6755</v>
      </c>
      <c r="AM341" s="1" t="s">
        <v>476</v>
      </c>
      <c r="AN341" s="1" t="s">
        <v>165</v>
      </c>
      <c r="AO341" s="1" t="s">
        <v>457</v>
      </c>
      <c r="AP341" s="1">
        <v>74</v>
      </c>
      <c r="AQ341" s="1"/>
      <c r="AR341" s="1"/>
      <c r="AS341" s="1"/>
      <c r="AT341" s="1"/>
      <c r="AU341" s="1"/>
      <c r="AV341" s="1"/>
      <c r="AW341" s="1"/>
      <c r="AX341" s="1" t="s">
        <v>547</v>
      </c>
      <c r="AY341" s="1" t="s">
        <v>6208</v>
      </c>
      <c r="AZ341" s="1" t="s">
        <v>636</v>
      </c>
      <c r="BA341" s="1" t="s">
        <v>229</v>
      </c>
      <c r="BB341" s="1">
        <v>66.2</v>
      </c>
      <c r="BC341" s="1">
        <v>7.37</v>
      </c>
      <c r="BD341" s="1" t="s">
        <v>6756</v>
      </c>
      <c r="BE341" s="1" t="s">
        <v>6757</v>
      </c>
      <c r="BF341" s="1" t="s">
        <v>386</v>
      </c>
      <c r="BG341" s="1" t="s">
        <v>1361</v>
      </c>
      <c r="BH341" s="1">
        <v>58</v>
      </c>
      <c r="BI341" s="1"/>
      <c r="BJ341" s="1" t="s">
        <v>6758</v>
      </c>
      <c r="BK341" s="1"/>
      <c r="BL341" s="1"/>
      <c r="BM341" s="1" t="s">
        <v>6759</v>
      </c>
      <c r="BN341" s="1">
        <v>13</v>
      </c>
      <c r="BO341" s="1" t="s">
        <v>1499</v>
      </c>
      <c r="BP341" s="1" t="str">
        <f>HYPERLINK("https://nconnect.nicmar.ac.in/storage/profile/ProfilePhoto_P25700289_126498.jpg","Download")</f>
        <v>0</v>
      </c>
      <c r="BQ341" s="3"/>
      <c r="BR341" s="3"/>
    </row>
    <row r="342" spans="1:70">
      <c r="A342" s="1" t="s">
        <v>70</v>
      </c>
      <c r="B342" s="1" t="s">
        <v>1269</v>
      </c>
      <c r="C342" s="1" t="s">
        <v>6760</v>
      </c>
      <c r="D342" s="1" t="s">
        <v>6489</v>
      </c>
      <c r="E342" s="1" t="s">
        <v>1925</v>
      </c>
      <c r="F342" s="1" t="s">
        <v>6761</v>
      </c>
      <c r="G342" s="1" t="s">
        <v>6762</v>
      </c>
      <c r="H342" s="1" t="s">
        <v>6763</v>
      </c>
      <c r="I342" s="1" t="s">
        <v>6764</v>
      </c>
      <c r="J342" s="1">
        <v>9404709592</v>
      </c>
      <c r="K342" s="1" t="s">
        <v>79</v>
      </c>
      <c r="L342" s="1" t="s">
        <v>6765</v>
      </c>
      <c r="M342" s="1" t="s">
        <v>81</v>
      </c>
      <c r="N342" s="1" t="s">
        <v>1418</v>
      </c>
      <c r="O342" s="1"/>
      <c r="P342" s="1" t="s">
        <v>1323</v>
      </c>
      <c r="Q342" s="1" t="s">
        <v>6766</v>
      </c>
      <c r="R342" s="1" t="s">
        <v>6767</v>
      </c>
      <c r="S342" s="1">
        <v>9423669295</v>
      </c>
      <c r="T342" s="1" t="s">
        <v>154</v>
      </c>
      <c r="U342" s="1" t="s">
        <v>6768</v>
      </c>
      <c r="V342" s="1">
        <v>9373981479</v>
      </c>
      <c r="W342" s="1" t="s">
        <v>273</v>
      </c>
      <c r="X342" s="1" t="s">
        <v>6769</v>
      </c>
      <c r="Y342" s="1" t="s">
        <v>191</v>
      </c>
      <c r="Z342" s="1" t="s">
        <v>92</v>
      </c>
      <c r="AA342" s="1" t="s">
        <v>6770</v>
      </c>
      <c r="AB342" s="1" t="s">
        <v>405</v>
      </c>
      <c r="AC342" s="1" t="s">
        <v>92</v>
      </c>
      <c r="AD342" s="1">
        <v>8.27</v>
      </c>
      <c r="AE342" s="1" t="s">
        <v>93</v>
      </c>
      <c r="AF342" s="1" t="s">
        <v>6771</v>
      </c>
      <c r="AG342" s="1" t="s">
        <v>939</v>
      </c>
      <c r="AH342" s="1" t="s">
        <v>96</v>
      </c>
      <c r="AI342" s="1" t="s">
        <v>131</v>
      </c>
      <c r="AJ342" s="1">
        <v>70.3</v>
      </c>
      <c r="AK342" s="1">
        <v>7.4</v>
      </c>
      <c r="AL342" s="1" t="s">
        <v>1153</v>
      </c>
      <c r="AM342" s="1" t="s">
        <v>6347</v>
      </c>
      <c r="AN342" s="1" t="s">
        <v>337</v>
      </c>
      <c r="AO342" s="1" t="s">
        <v>195</v>
      </c>
      <c r="AP342" s="1">
        <v>84.2</v>
      </c>
      <c r="AQ342" s="1"/>
      <c r="AR342" s="1"/>
      <c r="AS342" s="1"/>
      <c r="AT342" s="1"/>
      <c r="AU342" s="1"/>
      <c r="AV342" s="1"/>
      <c r="AW342" s="1"/>
      <c r="AX342" s="1" t="s">
        <v>410</v>
      </c>
      <c r="AY342" s="1" t="s">
        <v>6772</v>
      </c>
      <c r="AZ342" s="1" t="s">
        <v>383</v>
      </c>
      <c r="BA342" s="1" t="s">
        <v>1712</v>
      </c>
      <c r="BB342" s="1">
        <v>70.8</v>
      </c>
      <c r="BC342" s="1">
        <v>7.83</v>
      </c>
      <c r="BD342" s="1"/>
      <c r="BE342" s="1"/>
      <c r="BF342" s="1"/>
      <c r="BG342" s="1"/>
      <c r="BH342" s="1"/>
      <c r="BI342" s="1"/>
      <c r="BJ342" s="1" t="s">
        <v>6773</v>
      </c>
      <c r="BK342" s="1" t="s">
        <v>6774</v>
      </c>
      <c r="BL342" s="1" t="s">
        <v>2187</v>
      </c>
      <c r="BM342" s="1" t="s">
        <v>6775</v>
      </c>
      <c r="BN342" s="1">
        <v>66</v>
      </c>
      <c r="BO342" s="1"/>
      <c r="BP342" s="1" t="str">
        <f>HYPERLINK("https://nconnect.nicmar.ac.in/storage/profile/ProfilePhoto_P25700290_567841.jpg","Download")</f>
        <v>0</v>
      </c>
      <c r="BQ342" s="3"/>
      <c r="BR342" s="3"/>
    </row>
    <row r="343" spans="1:70">
      <c r="A343" s="1" t="s">
        <v>70</v>
      </c>
      <c r="B343" s="1" t="s">
        <v>1269</v>
      </c>
      <c r="C343" s="1" t="s">
        <v>6776</v>
      </c>
      <c r="D343" s="1" t="s">
        <v>1800</v>
      </c>
      <c r="E343" s="1" t="s">
        <v>5472</v>
      </c>
      <c r="F343" s="1" t="s">
        <v>6777</v>
      </c>
      <c r="G343" s="1" t="s">
        <v>6778</v>
      </c>
      <c r="H343" s="1" t="s">
        <v>6779</v>
      </c>
      <c r="I343" s="1" t="s">
        <v>6780</v>
      </c>
      <c r="J343" s="1">
        <v>7768806989</v>
      </c>
      <c r="K343" s="1" t="s">
        <v>79</v>
      </c>
      <c r="L343" s="1" t="s">
        <v>6781</v>
      </c>
      <c r="M343" s="1" t="s">
        <v>81</v>
      </c>
      <c r="N343" s="1" t="s">
        <v>6782</v>
      </c>
      <c r="O343" s="1"/>
      <c r="P343" s="1" t="s">
        <v>1278</v>
      </c>
      <c r="Q343" s="1" t="s">
        <v>6783</v>
      </c>
      <c r="R343" s="1" t="s">
        <v>5472</v>
      </c>
      <c r="S343" s="1">
        <v>9730033322</v>
      </c>
      <c r="T343" s="1" t="s">
        <v>496</v>
      </c>
      <c r="U343" s="1" t="s">
        <v>6784</v>
      </c>
      <c r="V343" s="1">
        <v>7588714571</v>
      </c>
      <c r="W343" s="1" t="s">
        <v>156</v>
      </c>
      <c r="X343" s="1" t="s">
        <v>6785</v>
      </c>
      <c r="Y343" s="1" t="s">
        <v>1018</v>
      </c>
      <c r="Z343" s="1" t="s">
        <v>92</v>
      </c>
      <c r="AA343" s="1" t="s">
        <v>6785</v>
      </c>
      <c r="AB343" s="1" t="s">
        <v>1018</v>
      </c>
      <c r="AC343" s="1" t="s">
        <v>92</v>
      </c>
      <c r="AD343" s="1">
        <v>8.77</v>
      </c>
      <c r="AE343" s="1" t="s">
        <v>93</v>
      </c>
      <c r="AF343" s="1" t="s">
        <v>6786</v>
      </c>
      <c r="AG343" s="1" t="s">
        <v>6787</v>
      </c>
      <c r="AH343" s="1" t="s">
        <v>162</v>
      </c>
      <c r="AI343" s="1" t="s">
        <v>195</v>
      </c>
      <c r="AJ343" s="1">
        <v>81.6</v>
      </c>
      <c r="AK343" s="1">
        <v>0</v>
      </c>
      <c r="AL343" s="1"/>
      <c r="AM343" s="1"/>
      <c r="AN343" s="1"/>
      <c r="AO343" s="1"/>
      <c r="AP343" s="1"/>
      <c r="AQ343" s="1"/>
      <c r="AR343" s="1" t="s">
        <v>434</v>
      </c>
      <c r="AS343" s="1" t="s">
        <v>3412</v>
      </c>
      <c r="AT343" s="1" t="s">
        <v>383</v>
      </c>
      <c r="AU343" s="1" t="s">
        <v>412</v>
      </c>
      <c r="AV343" s="1">
        <v>95.44</v>
      </c>
      <c r="AW343" s="1">
        <v>0</v>
      </c>
      <c r="AX343" s="1" t="s">
        <v>253</v>
      </c>
      <c r="AY343" s="1" t="s">
        <v>6788</v>
      </c>
      <c r="AZ343" s="1" t="s">
        <v>173</v>
      </c>
      <c r="BA343" s="1" t="s">
        <v>682</v>
      </c>
      <c r="BB343" s="1">
        <v>80.73</v>
      </c>
      <c r="BC343" s="1">
        <v>9.15</v>
      </c>
      <c r="BD343" s="1"/>
      <c r="BE343" s="1"/>
      <c r="BF343" s="1"/>
      <c r="BG343" s="1"/>
      <c r="BH343" s="1"/>
      <c r="BI343" s="1"/>
      <c r="BJ343" s="1" t="s">
        <v>6789</v>
      </c>
      <c r="BK343" s="1" t="s">
        <v>6790</v>
      </c>
      <c r="BL343" s="1" t="s">
        <v>1497</v>
      </c>
      <c r="BM343" s="1" t="s">
        <v>6791</v>
      </c>
      <c r="BN343" s="1">
        <v>83</v>
      </c>
      <c r="BO343" s="1"/>
      <c r="BP343" s="1" t="str">
        <f>HYPERLINK("https://nconnect.nicmar.ac.in/storage/profile/ProfilePhoto_P25700291_245196.jpg","Download")</f>
        <v>0</v>
      </c>
      <c r="BQ343" s="3"/>
      <c r="BR343" s="3"/>
    </row>
    <row r="344" spans="1:70">
      <c r="A344" s="1" t="s">
        <v>70</v>
      </c>
      <c r="B344" s="1" t="s">
        <v>1269</v>
      </c>
      <c r="C344" s="1" t="s">
        <v>6792</v>
      </c>
      <c r="D344" s="1" t="s">
        <v>6793</v>
      </c>
      <c r="E344" s="1"/>
      <c r="F344" s="1" t="s">
        <v>3342</v>
      </c>
      <c r="G344" s="1" t="s">
        <v>6794</v>
      </c>
      <c r="H344" s="1" t="s">
        <v>6795</v>
      </c>
      <c r="I344" s="1" t="s">
        <v>6796</v>
      </c>
      <c r="J344" s="1">
        <v>8085206366</v>
      </c>
      <c r="K344" s="1" t="s">
        <v>148</v>
      </c>
      <c r="L344" s="1" t="s">
        <v>6797</v>
      </c>
      <c r="M344" s="1" t="s">
        <v>81</v>
      </c>
      <c r="N344" s="1" t="s">
        <v>350</v>
      </c>
      <c r="O344" s="1"/>
      <c r="P344" s="1" t="s">
        <v>1278</v>
      </c>
      <c r="Q344" s="1" t="s">
        <v>6798</v>
      </c>
      <c r="R344" s="1" t="s">
        <v>6799</v>
      </c>
      <c r="S344" s="1">
        <v>8085189955</v>
      </c>
      <c r="T344" s="1" t="s">
        <v>4199</v>
      </c>
      <c r="U344" s="1" t="s">
        <v>6800</v>
      </c>
      <c r="V344" s="1">
        <v>9752997968</v>
      </c>
      <c r="W344" s="1" t="s">
        <v>156</v>
      </c>
      <c r="X344" s="1" t="s">
        <v>6801</v>
      </c>
      <c r="Y344" s="1" t="s">
        <v>6802</v>
      </c>
      <c r="Z344" s="1" t="s">
        <v>1237</v>
      </c>
      <c r="AA344" s="1" t="s">
        <v>6801</v>
      </c>
      <c r="AB344" s="1" t="s">
        <v>6802</v>
      </c>
      <c r="AC344" s="1" t="s">
        <v>1237</v>
      </c>
      <c r="AD344" s="1">
        <v>8.25</v>
      </c>
      <c r="AE344" s="1" t="s">
        <v>93</v>
      </c>
      <c r="AF344" s="1" t="s">
        <v>6803</v>
      </c>
      <c r="AG344" s="1" t="s">
        <v>6804</v>
      </c>
      <c r="AH344" s="1" t="s">
        <v>195</v>
      </c>
      <c r="AI344" s="1" t="s">
        <v>166</v>
      </c>
      <c r="AJ344" s="1">
        <v>86.2</v>
      </c>
      <c r="AK344" s="1"/>
      <c r="AL344" s="1" t="s">
        <v>6805</v>
      </c>
      <c r="AM344" s="1" t="s">
        <v>6806</v>
      </c>
      <c r="AN344" s="1" t="s">
        <v>409</v>
      </c>
      <c r="AO344" s="1" t="s">
        <v>173</v>
      </c>
      <c r="AP344" s="1">
        <v>78</v>
      </c>
      <c r="AQ344" s="1"/>
      <c r="AR344" s="1"/>
      <c r="AS344" s="1"/>
      <c r="AT344" s="1"/>
      <c r="AU344" s="1"/>
      <c r="AV344" s="1"/>
      <c r="AW344" s="1"/>
      <c r="AX344" s="1" t="s">
        <v>1243</v>
      </c>
      <c r="AY344" s="1" t="s">
        <v>6807</v>
      </c>
      <c r="AZ344" s="1" t="s">
        <v>173</v>
      </c>
      <c r="BA344" s="1" t="s">
        <v>202</v>
      </c>
      <c r="BB344" s="1">
        <v>76.71</v>
      </c>
      <c r="BC344" s="1"/>
      <c r="BD344" s="1"/>
      <c r="BE344" s="1"/>
      <c r="BF344" s="1"/>
      <c r="BG344" s="1"/>
      <c r="BH344" s="1"/>
      <c r="BI344" s="1"/>
      <c r="BJ344" s="1" t="s">
        <v>6808</v>
      </c>
      <c r="BK344" s="1"/>
      <c r="BL344" s="1"/>
      <c r="BM344" s="1" t="s">
        <v>6809</v>
      </c>
      <c r="BN344" s="1">
        <v>8</v>
      </c>
      <c r="BO344" s="1"/>
      <c r="BP344" s="1" t="str">
        <f>HYPERLINK("https://nconnect.nicmar.ac.in/storage/profile/ProfilePhoto_P25700292_526814.jpg","Download")</f>
        <v>0</v>
      </c>
      <c r="BQ344" s="3"/>
      <c r="BR344" s="3"/>
    </row>
    <row r="345" spans="1:70">
      <c r="A345" s="1" t="s">
        <v>70</v>
      </c>
      <c r="B345" s="1" t="s">
        <v>1269</v>
      </c>
      <c r="C345" s="1" t="s">
        <v>6810</v>
      </c>
      <c r="D345" s="1" t="s">
        <v>143</v>
      </c>
      <c r="E345" s="1" t="s">
        <v>6811</v>
      </c>
      <c r="F345" s="1" t="s">
        <v>6812</v>
      </c>
      <c r="G345" s="1" t="s">
        <v>6813</v>
      </c>
      <c r="H345" s="1" t="s">
        <v>6814</v>
      </c>
      <c r="I345" s="1" t="s">
        <v>6815</v>
      </c>
      <c r="J345" s="1">
        <v>8767880915</v>
      </c>
      <c r="K345" s="1" t="s">
        <v>148</v>
      </c>
      <c r="L345" s="1" t="s">
        <v>6816</v>
      </c>
      <c r="M345" s="1" t="s">
        <v>81</v>
      </c>
      <c r="N345" s="1" t="s">
        <v>6817</v>
      </c>
      <c r="O345" s="1"/>
      <c r="P345" s="1" t="s">
        <v>1278</v>
      </c>
      <c r="Q345" s="1" t="s">
        <v>6818</v>
      </c>
      <c r="R345" s="1" t="s">
        <v>6811</v>
      </c>
      <c r="S345" s="1">
        <v>9823049607</v>
      </c>
      <c r="T345" s="1" t="s">
        <v>496</v>
      </c>
      <c r="U345" s="1" t="s">
        <v>6819</v>
      </c>
      <c r="V345" s="1">
        <v>7798726230</v>
      </c>
      <c r="W345" s="1" t="s">
        <v>156</v>
      </c>
      <c r="X345" s="1" t="s">
        <v>6820</v>
      </c>
      <c r="Y345" s="1" t="s">
        <v>191</v>
      </c>
      <c r="Z345" s="1" t="s">
        <v>92</v>
      </c>
      <c r="AA345" s="1" t="s">
        <v>6821</v>
      </c>
      <c r="AB345" s="1" t="s">
        <v>5937</v>
      </c>
      <c r="AC345" s="1" t="s">
        <v>92</v>
      </c>
      <c r="AD345" s="1">
        <v>8.98</v>
      </c>
      <c r="AE345" s="1" t="s">
        <v>93</v>
      </c>
      <c r="AF345" s="1" t="s">
        <v>6822</v>
      </c>
      <c r="AG345" s="1" t="s">
        <v>6823</v>
      </c>
      <c r="AH345" s="1" t="s">
        <v>162</v>
      </c>
      <c r="AI345" s="1" t="s">
        <v>195</v>
      </c>
      <c r="AJ345" s="1">
        <v>81</v>
      </c>
      <c r="AK345" s="1"/>
      <c r="AL345" s="1" t="s">
        <v>6824</v>
      </c>
      <c r="AM345" s="1" t="s">
        <v>6823</v>
      </c>
      <c r="AN345" s="1" t="s">
        <v>101</v>
      </c>
      <c r="AO345" s="1" t="s">
        <v>198</v>
      </c>
      <c r="AP345" s="1">
        <v>66.77</v>
      </c>
      <c r="AQ345" s="1"/>
      <c r="AR345" s="1"/>
      <c r="AS345" s="1"/>
      <c r="AT345" s="1"/>
      <c r="AU345" s="1"/>
      <c r="AV345" s="1"/>
      <c r="AW345" s="1"/>
      <c r="AX345" s="1" t="s">
        <v>361</v>
      </c>
      <c r="AY345" s="1" t="s">
        <v>6825</v>
      </c>
      <c r="AZ345" s="1" t="s">
        <v>201</v>
      </c>
      <c r="BA345" s="1" t="s">
        <v>229</v>
      </c>
      <c r="BB345" s="1">
        <v>79.65</v>
      </c>
      <c r="BC345" s="1">
        <v>8.95</v>
      </c>
      <c r="BD345" s="1"/>
      <c r="BE345" s="1"/>
      <c r="BF345" s="1"/>
      <c r="BG345" s="1"/>
      <c r="BH345" s="1"/>
      <c r="BI345" s="1"/>
      <c r="BJ345" s="1" t="s">
        <v>6826</v>
      </c>
      <c r="BK345" s="1"/>
      <c r="BL345" s="1"/>
      <c r="BM345" s="1" t="s">
        <v>6827</v>
      </c>
      <c r="BN345" s="1">
        <v>43</v>
      </c>
      <c r="BO345" s="1"/>
      <c r="BP345" s="1" t="str">
        <f>HYPERLINK("https://nconnect.nicmar.ac.in/storage/profile/ProfilePhoto_P25700293_417563.jpg","Download")</f>
        <v>0</v>
      </c>
      <c r="BQ345" s="3"/>
      <c r="BR345" s="3"/>
    </row>
    <row r="346" spans="1:70">
      <c r="A346" s="1" t="s">
        <v>70</v>
      </c>
      <c r="B346" s="1" t="s">
        <v>1269</v>
      </c>
      <c r="C346" s="1" t="s">
        <v>6828</v>
      </c>
      <c r="D346" s="1" t="s">
        <v>6829</v>
      </c>
      <c r="E346" s="1" t="s">
        <v>6830</v>
      </c>
      <c r="F346" s="1" t="s">
        <v>6831</v>
      </c>
      <c r="G346" s="1" t="s">
        <v>6832</v>
      </c>
      <c r="H346" s="1" t="s">
        <v>6833</v>
      </c>
      <c r="I346" s="1" t="s">
        <v>6834</v>
      </c>
      <c r="J346" s="1">
        <v>7993688799</v>
      </c>
      <c r="K346" s="1" t="s">
        <v>79</v>
      </c>
      <c r="L346" s="1" t="s">
        <v>6835</v>
      </c>
      <c r="M346" s="1" t="s">
        <v>81</v>
      </c>
      <c r="N346" s="1" t="s">
        <v>6836</v>
      </c>
      <c r="O346" s="1"/>
      <c r="P346" s="1" t="s">
        <v>1278</v>
      </c>
      <c r="Q346" s="1" t="s">
        <v>6837</v>
      </c>
      <c r="R346" s="1" t="s">
        <v>6830</v>
      </c>
      <c r="S346" s="1">
        <v>8412995054</v>
      </c>
      <c r="T346" s="1" t="s">
        <v>1351</v>
      </c>
      <c r="U346" s="1" t="s">
        <v>6838</v>
      </c>
      <c r="V346" s="1">
        <v>8412995054</v>
      </c>
      <c r="W346" s="1" t="s">
        <v>651</v>
      </c>
      <c r="X346" s="1" t="s">
        <v>6839</v>
      </c>
      <c r="Y346" s="1" t="s">
        <v>191</v>
      </c>
      <c r="Z346" s="1" t="s">
        <v>92</v>
      </c>
      <c r="AA346" s="1" t="s">
        <v>6839</v>
      </c>
      <c r="AB346" s="1" t="s">
        <v>191</v>
      </c>
      <c r="AC346" s="1" t="s">
        <v>92</v>
      </c>
      <c r="AD346" s="1">
        <v>9.07</v>
      </c>
      <c r="AE346" s="1" t="s">
        <v>93</v>
      </c>
      <c r="AF346" s="1" t="s">
        <v>6840</v>
      </c>
      <c r="AG346" s="1" t="s">
        <v>6841</v>
      </c>
      <c r="AH346" s="1" t="s">
        <v>678</v>
      </c>
      <c r="AI346" s="1" t="s">
        <v>166</v>
      </c>
      <c r="AJ346" s="1">
        <v>75.8</v>
      </c>
      <c r="AK346" s="1"/>
      <c r="AL346" s="1" t="s">
        <v>612</v>
      </c>
      <c r="AM346" s="1" t="s">
        <v>613</v>
      </c>
      <c r="AN346" s="1" t="s">
        <v>1065</v>
      </c>
      <c r="AO346" s="1" t="s">
        <v>699</v>
      </c>
      <c r="AP346" s="1">
        <v>86</v>
      </c>
      <c r="AQ346" s="1"/>
      <c r="AR346" s="1"/>
      <c r="AS346" s="1"/>
      <c r="AT346" s="1"/>
      <c r="AU346" s="1"/>
      <c r="AV346" s="1"/>
      <c r="AW346" s="1"/>
      <c r="AX346" s="1" t="s">
        <v>3432</v>
      </c>
      <c r="AY346" s="1" t="s">
        <v>6842</v>
      </c>
      <c r="AZ346" s="1" t="s">
        <v>2463</v>
      </c>
      <c r="BA346" s="1" t="s">
        <v>413</v>
      </c>
      <c r="BB346" s="1">
        <v>92.9</v>
      </c>
      <c r="BC346" s="1"/>
      <c r="BD346" s="1"/>
      <c r="BE346" s="1"/>
      <c r="BF346" s="1"/>
      <c r="BG346" s="1"/>
      <c r="BH346" s="1"/>
      <c r="BI346" s="1"/>
      <c r="BJ346" s="1" t="s">
        <v>6843</v>
      </c>
      <c r="BK346" s="1" t="s">
        <v>6844</v>
      </c>
      <c r="BL346" s="1" t="s">
        <v>287</v>
      </c>
      <c r="BM346" s="1" t="s">
        <v>6845</v>
      </c>
      <c r="BN346" s="1">
        <v>4</v>
      </c>
      <c r="BO346" s="1"/>
      <c r="BP346" s="1" t="str">
        <f>HYPERLINK("https://nconnect.nicmar.ac.in/storage/profile/ProfilePhoto_P25700294_947681.jpg","Download")</f>
        <v>0</v>
      </c>
      <c r="BQ346" s="3"/>
      <c r="BR346" s="3"/>
    </row>
    <row r="347" spans="1:70">
      <c r="A347" s="1" t="s">
        <v>70</v>
      </c>
      <c r="B347" s="1" t="s">
        <v>1269</v>
      </c>
      <c r="C347" s="1" t="s">
        <v>6846</v>
      </c>
      <c r="D347" s="1" t="s">
        <v>2150</v>
      </c>
      <c r="E347" s="1" t="s">
        <v>6847</v>
      </c>
      <c r="F347" s="1" t="s">
        <v>236</v>
      </c>
      <c r="G347" s="1" t="s">
        <v>6848</v>
      </c>
      <c r="H347" s="1" t="s">
        <v>6849</v>
      </c>
      <c r="I347" s="1" t="s">
        <v>6850</v>
      </c>
      <c r="J347" s="1">
        <v>7620520360</v>
      </c>
      <c r="K347" s="1" t="s">
        <v>79</v>
      </c>
      <c r="L347" s="1" t="s">
        <v>6851</v>
      </c>
      <c r="M347" s="1" t="s">
        <v>81</v>
      </c>
      <c r="N347" s="1" t="s">
        <v>1418</v>
      </c>
      <c r="O347" s="1"/>
      <c r="P347" s="1" t="s">
        <v>1278</v>
      </c>
      <c r="Q347" s="1" t="s">
        <v>6852</v>
      </c>
      <c r="R347" s="1" t="s">
        <v>6853</v>
      </c>
      <c r="S347" s="1">
        <v>9923345160</v>
      </c>
      <c r="T347" s="1" t="s">
        <v>6854</v>
      </c>
      <c r="U347" s="1" t="s">
        <v>6855</v>
      </c>
      <c r="V347" s="1">
        <v>9403031440</v>
      </c>
      <c r="W347" s="1" t="s">
        <v>156</v>
      </c>
      <c r="X347" s="1" t="s">
        <v>6856</v>
      </c>
      <c r="Y347" s="1" t="s">
        <v>6857</v>
      </c>
      <c r="Z347" s="1" t="s">
        <v>92</v>
      </c>
      <c r="AA347" s="1" t="s">
        <v>6856</v>
      </c>
      <c r="AB347" s="1" t="s">
        <v>6857</v>
      </c>
      <c r="AC347" s="1" t="s">
        <v>92</v>
      </c>
      <c r="AD347" s="1">
        <v>8.56</v>
      </c>
      <c r="AE347" s="1" t="s">
        <v>93</v>
      </c>
      <c r="AF347" s="1" t="s">
        <v>6858</v>
      </c>
      <c r="AG347" s="1" t="s">
        <v>160</v>
      </c>
      <c r="AH347" s="1" t="s">
        <v>165</v>
      </c>
      <c r="AI347" s="1" t="s">
        <v>281</v>
      </c>
      <c r="AJ347" s="1">
        <v>90.6</v>
      </c>
      <c r="AK347" s="1"/>
      <c r="AL347" s="1"/>
      <c r="AM347" s="1"/>
      <c r="AN347" s="1"/>
      <c r="AO347" s="1"/>
      <c r="AP347" s="1"/>
      <c r="AQ347" s="1"/>
      <c r="AR347" s="1" t="s">
        <v>98</v>
      </c>
      <c r="AS347" s="1" t="s">
        <v>6859</v>
      </c>
      <c r="AT347" s="1" t="s">
        <v>636</v>
      </c>
      <c r="AU347" s="1" t="s">
        <v>436</v>
      </c>
      <c r="AV347" s="1">
        <v>92.47</v>
      </c>
      <c r="AW347" s="1"/>
      <c r="AX347" s="1" t="s">
        <v>253</v>
      </c>
      <c r="AY347" s="1" t="s">
        <v>6860</v>
      </c>
      <c r="AZ347" s="1" t="s">
        <v>897</v>
      </c>
      <c r="BA347" s="1" t="s">
        <v>1939</v>
      </c>
      <c r="BB347" s="1">
        <v>60.13</v>
      </c>
      <c r="BC347" s="1"/>
      <c r="BD347" s="1"/>
      <c r="BE347" s="1"/>
      <c r="BF347" s="1"/>
      <c r="BG347" s="1"/>
      <c r="BH347" s="1"/>
      <c r="BI347" s="1"/>
      <c r="BJ347" s="1" t="s">
        <v>364</v>
      </c>
      <c r="BK347" s="1" t="s">
        <v>6861</v>
      </c>
      <c r="BL347" s="1" t="s">
        <v>484</v>
      </c>
      <c r="BM347" s="1" t="s">
        <v>6862</v>
      </c>
      <c r="BN347" s="1">
        <v>8</v>
      </c>
      <c r="BO347" s="1"/>
      <c r="BP347" s="1" t="str">
        <f>HYPERLINK("https://nconnect.nicmar.ac.in/storage/profile/ProfilePhoto_P25700295_417832.jpg","Download")</f>
        <v>0</v>
      </c>
      <c r="BQ347" s="3"/>
      <c r="BR347" s="3"/>
    </row>
    <row r="348" spans="1:70">
      <c r="A348" s="1" t="s">
        <v>70</v>
      </c>
      <c r="B348" s="1" t="s">
        <v>1269</v>
      </c>
      <c r="C348" s="1" t="s">
        <v>6863</v>
      </c>
      <c r="D348" s="1" t="s">
        <v>816</v>
      </c>
      <c r="E348" s="1" t="s">
        <v>6490</v>
      </c>
      <c r="F348" s="1" t="s">
        <v>6864</v>
      </c>
      <c r="G348" s="1" t="s">
        <v>6865</v>
      </c>
      <c r="H348" s="1" t="s">
        <v>6866</v>
      </c>
      <c r="I348" s="1" t="s">
        <v>6867</v>
      </c>
      <c r="J348" s="1">
        <v>8317281697</v>
      </c>
      <c r="K348" s="1" t="s">
        <v>79</v>
      </c>
      <c r="L348" s="1" t="s">
        <v>6868</v>
      </c>
      <c r="M348" s="1" t="s">
        <v>81</v>
      </c>
      <c r="N348" s="1" t="s">
        <v>1930</v>
      </c>
      <c r="O348" s="1"/>
      <c r="P348" s="1" t="s">
        <v>1278</v>
      </c>
      <c r="Q348" s="1" t="s">
        <v>6869</v>
      </c>
      <c r="R348" s="1" t="s">
        <v>6870</v>
      </c>
      <c r="S348" s="1">
        <v>9422459072</v>
      </c>
      <c r="T348" s="1" t="s">
        <v>4581</v>
      </c>
      <c r="U348" s="1" t="s">
        <v>6871</v>
      </c>
      <c r="V348" s="1">
        <v>7057241917</v>
      </c>
      <c r="W348" s="1" t="s">
        <v>273</v>
      </c>
      <c r="X348" s="1" t="s">
        <v>6872</v>
      </c>
      <c r="Y348" s="1" t="s">
        <v>405</v>
      </c>
      <c r="Z348" s="1" t="s">
        <v>92</v>
      </c>
      <c r="AA348" s="1" t="s">
        <v>6872</v>
      </c>
      <c r="AB348" s="1" t="s">
        <v>405</v>
      </c>
      <c r="AC348" s="1" t="s">
        <v>92</v>
      </c>
      <c r="AD348" s="1">
        <v>8.2</v>
      </c>
      <c r="AE348" s="1" t="s">
        <v>93</v>
      </c>
      <c r="AF348" s="1" t="s">
        <v>6873</v>
      </c>
      <c r="AG348" s="1" t="s">
        <v>160</v>
      </c>
      <c r="AH348" s="1" t="s">
        <v>166</v>
      </c>
      <c r="AI348" s="1" t="s">
        <v>433</v>
      </c>
      <c r="AJ348" s="1">
        <v>73.2</v>
      </c>
      <c r="AK348" s="1">
        <v>0</v>
      </c>
      <c r="AL348" s="1"/>
      <c r="AM348" s="1"/>
      <c r="AN348" s="1"/>
      <c r="AO348" s="1"/>
      <c r="AP348" s="1"/>
      <c r="AQ348" s="1"/>
      <c r="AR348" s="1" t="s">
        <v>223</v>
      </c>
      <c r="AS348" s="1" t="s">
        <v>6874</v>
      </c>
      <c r="AT348" s="1" t="s">
        <v>310</v>
      </c>
      <c r="AU348" s="1" t="s">
        <v>481</v>
      </c>
      <c r="AV348" s="1">
        <v>75.95</v>
      </c>
      <c r="AW348" s="1">
        <v>0</v>
      </c>
      <c r="AX348" s="1" t="s">
        <v>361</v>
      </c>
      <c r="AY348" s="1" t="s">
        <v>6875</v>
      </c>
      <c r="AZ348" s="1" t="s">
        <v>2693</v>
      </c>
      <c r="BA348" s="1" t="s">
        <v>1714</v>
      </c>
      <c r="BB348" s="1">
        <v>68.8</v>
      </c>
      <c r="BC348" s="1">
        <v>7.63</v>
      </c>
      <c r="BD348" s="1"/>
      <c r="BE348" s="1"/>
      <c r="BF348" s="1"/>
      <c r="BG348" s="1"/>
      <c r="BH348" s="1"/>
      <c r="BI348" s="1"/>
      <c r="BJ348" s="1" t="s">
        <v>6876</v>
      </c>
      <c r="BK348" s="1"/>
      <c r="BL348" s="1"/>
      <c r="BM348" s="1" t="s">
        <v>6877</v>
      </c>
      <c r="BN348" s="1">
        <v>12</v>
      </c>
      <c r="BO348" s="1"/>
      <c r="BP348" s="1" t="str">
        <f>HYPERLINK("https://nconnect.nicmar.ac.in/storage/profile/ProfilePhoto_P25700296_392684.jpg","Download")</f>
        <v>0</v>
      </c>
      <c r="BQ348" s="3"/>
      <c r="BR348" s="3"/>
    </row>
    <row r="349" spans="1:70">
      <c r="A349" s="1" t="s">
        <v>70</v>
      </c>
      <c r="B349" s="1" t="s">
        <v>1269</v>
      </c>
      <c r="C349" s="1" t="s">
        <v>6878</v>
      </c>
      <c r="D349" s="1" t="s">
        <v>6879</v>
      </c>
      <c r="E349" s="1"/>
      <c r="F349" s="1" t="s">
        <v>6880</v>
      </c>
      <c r="G349" s="1" t="s">
        <v>6881</v>
      </c>
      <c r="H349" s="1" t="s">
        <v>6882</v>
      </c>
      <c r="I349" s="1" t="s">
        <v>6883</v>
      </c>
      <c r="J349" s="1">
        <v>8919304008</v>
      </c>
      <c r="K349" s="1" t="s">
        <v>79</v>
      </c>
      <c r="L349" s="1" t="s">
        <v>6884</v>
      </c>
      <c r="M349" s="1" t="s">
        <v>81</v>
      </c>
      <c r="N349" s="1" t="s">
        <v>6269</v>
      </c>
      <c r="O349" s="1"/>
      <c r="P349" s="1" t="s">
        <v>1323</v>
      </c>
      <c r="Q349" s="1" t="s">
        <v>6885</v>
      </c>
      <c r="R349" s="1" t="s">
        <v>6886</v>
      </c>
      <c r="S349" s="1">
        <v>9866349968</v>
      </c>
      <c r="T349" s="1" t="s">
        <v>6887</v>
      </c>
      <c r="U349" s="1" t="s">
        <v>6888</v>
      </c>
      <c r="V349" s="1">
        <v>9491222511</v>
      </c>
      <c r="W349" s="1" t="s">
        <v>651</v>
      </c>
      <c r="X349" s="1" t="s">
        <v>6889</v>
      </c>
      <c r="Y349" s="1" t="s">
        <v>608</v>
      </c>
      <c r="Z349" s="1" t="s">
        <v>609</v>
      </c>
      <c r="AA349" s="1" t="s">
        <v>6890</v>
      </c>
      <c r="AB349" s="1" t="s">
        <v>608</v>
      </c>
      <c r="AC349" s="1" t="s">
        <v>609</v>
      </c>
      <c r="AD349" s="1">
        <v>8.59</v>
      </c>
      <c r="AE349" s="1" t="s">
        <v>93</v>
      </c>
      <c r="AF349" s="1" t="s">
        <v>6891</v>
      </c>
      <c r="AG349" s="1" t="s">
        <v>6892</v>
      </c>
      <c r="AH349" s="1" t="s">
        <v>101</v>
      </c>
      <c r="AI349" s="1" t="s">
        <v>308</v>
      </c>
      <c r="AJ349" s="1">
        <v>82</v>
      </c>
      <c r="AK349" s="1">
        <v>8.2</v>
      </c>
      <c r="AL349" s="1" t="s">
        <v>6893</v>
      </c>
      <c r="AM349" s="1" t="s">
        <v>6892</v>
      </c>
      <c r="AN349" s="1" t="s">
        <v>699</v>
      </c>
      <c r="AO349" s="1" t="s">
        <v>1131</v>
      </c>
      <c r="AP349" s="1">
        <v>81.4</v>
      </c>
      <c r="AQ349" s="1">
        <v>8.14</v>
      </c>
      <c r="AR349" s="1"/>
      <c r="AS349" s="1"/>
      <c r="AT349" s="1"/>
      <c r="AU349" s="1"/>
      <c r="AV349" s="1"/>
      <c r="AW349" s="1"/>
      <c r="AX349" s="1" t="s">
        <v>6894</v>
      </c>
      <c r="AY349" s="1" t="s">
        <v>6895</v>
      </c>
      <c r="AZ349" s="1" t="s">
        <v>1131</v>
      </c>
      <c r="BA349" s="1" t="s">
        <v>1361</v>
      </c>
      <c r="BB349" s="1">
        <v>71.2</v>
      </c>
      <c r="BC349" s="1">
        <v>7.12</v>
      </c>
      <c r="BD349" s="1"/>
      <c r="BE349" s="1"/>
      <c r="BF349" s="1"/>
      <c r="BG349" s="1"/>
      <c r="BH349" s="1"/>
      <c r="BI349" s="1"/>
      <c r="BJ349" s="1" t="s">
        <v>6896</v>
      </c>
      <c r="BK349" s="1"/>
      <c r="BL349" s="1"/>
      <c r="BM349" s="1" t="s">
        <v>6897</v>
      </c>
      <c r="BN349" s="1">
        <v>11</v>
      </c>
      <c r="BO349" s="1" t="s">
        <v>6898</v>
      </c>
      <c r="BP349" s="1" t="str">
        <f>HYPERLINK("https://nconnect.nicmar.ac.in/storage/profile/ProfilePhoto_P25700297_213596.jpg","Download")</f>
        <v>0</v>
      </c>
      <c r="BQ349" s="3"/>
      <c r="BR349" s="3"/>
    </row>
    <row r="350" spans="1:70">
      <c r="A350" s="1" t="s">
        <v>70</v>
      </c>
      <c r="B350" s="1" t="s">
        <v>1269</v>
      </c>
      <c r="C350" s="1" t="s">
        <v>6899</v>
      </c>
      <c r="D350" s="1" t="s">
        <v>5994</v>
      </c>
      <c r="E350" s="1" t="s">
        <v>6900</v>
      </c>
      <c r="F350" s="1" t="s">
        <v>4460</v>
      </c>
      <c r="G350" s="1" t="s">
        <v>6901</v>
      </c>
      <c r="H350" s="1" t="s">
        <v>6902</v>
      </c>
      <c r="I350" s="1" t="s">
        <v>6903</v>
      </c>
      <c r="J350" s="1">
        <v>8956224681</v>
      </c>
      <c r="K350" s="1" t="s">
        <v>148</v>
      </c>
      <c r="L350" s="1" t="s">
        <v>6904</v>
      </c>
      <c r="M350" s="1" t="s">
        <v>81</v>
      </c>
      <c r="N350" s="1" t="s">
        <v>6905</v>
      </c>
      <c r="O350" s="1"/>
      <c r="P350" s="1" t="s">
        <v>1323</v>
      </c>
      <c r="Q350" s="1" t="s">
        <v>6906</v>
      </c>
      <c r="R350" s="1" t="s">
        <v>6900</v>
      </c>
      <c r="S350" s="1">
        <v>7387747887</v>
      </c>
      <c r="T350" s="1" t="s">
        <v>496</v>
      </c>
      <c r="U350" s="1" t="s">
        <v>6907</v>
      </c>
      <c r="V350" s="1">
        <v>9890140647</v>
      </c>
      <c r="W350" s="1" t="s">
        <v>156</v>
      </c>
      <c r="X350" s="1" t="s">
        <v>6908</v>
      </c>
      <c r="Y350" s="1" t="s">
        <v>91</v>
      </c>
      <c r="Z350" s="1" t="s">
        <v>92</v>
      </c>
      <c r="AA350" s="1" t="s">
        <v>6908</v>
      </c>
      <c r="AB350" s="1" t="s">
        <v>91</v>
      </c>
      <c r="AC350" s="1" t="s">
        <v>92</v>
      </c>
      <c r="AD350" s="1">
        <v>7.91</v>
      </c>
      <c r="AE350" s="1" t="s">
        <v>93</v>
      </c>
      <c r="AF350" s="1" t="s">
        <v>6909</v>
      </c>
      <c r="AG350" s="1" t="s">
        <v>194</v>
      </c>
      <c r="AH350" s="1" t="s">
        <v>678</v>
      </c>
      <c r="AI350" s="1" t="s">
        <v>281</v>
      </c>
      <c r="AJ350" s="1">
        <v>90.2</v>
      </c>
      <c r="AK350" s="1">
        <v>0</v>
      </c>
      <c r="AL350" s="1" t="s">
        <v>6910</v>
      </c>
      <c r="AM350" s="1" t="s">
        <v>197</v>
      </c>
      <c r="AN350" s="1" t="s">
        <v>359</v>
      </c>
      <c r="AO350" s="1" t="s">
        <v>360</v>
      </c>
      <c r="AP350" s="1">
        <v>66.92</v>
      </c>
      <c r="AQ350" s="1">
        <v>0</v>
      </c>
      <c r="AR350" s="1"/>
      <c r="AS350" s="1"/>
      <c r="AT350" s="1"/>
      <c r="AU350" s="1"/>
      <c r="AV350" s="1"/>
      <c r="AW350" s="1"/>
      <c r="AX350" s="1" t="s">
        <v>5048</v>
      </c>
      <c r="AY350" s="1" t="s">
        <v>6911</v>
      </c>
      <c r="AZ350" s="1" t="s">
        <v>1834</v>
      </c>
      <c r="BA350" s="1" t="s">
        <v>413</v>
      </c>
      <c r="BB350" s="1">
        <v>71.53</v>
      </c>
      <c r="BC350" s="1">
        <v>7.15</v>
      </c>
      <c r="BD350" s="1"/>
      <c r="BE350" s="1"/>
      <c r="BF350" s="1"/>
      <c r="BG350" s="1"/>
      <c r="BH350" s="1"/>
      <c r="BI350" s="1"/>
      <c r="BJ350" s="1" t="s">
        <v>6912</v>
      </c>
      <c r="BK350" s="1" t="s">
        <v>6913</v>
      </c>
      <c r="BL350" s="1" t="s">
        <v>2892</v>
      </c>
      <c r="BM350" s="1" t="s">
        <v>6914</v>
      </c>
      <c r="BN350" s="1">
        <v>30</v>
      </c>
      <c r="BO350" s="1" t="s">
        <v>6915</v>
      </c>
      <c r="BP350" s="1" t="str">
        <f>HYPERLINK("https://nconnect.nicmar.ac.in/storage/profile/ProfilePhoto_P25700298_589421.jpg","Download")</f>
        <v>0</v>
      </c>
      <c r="BQ350" s="3"/>
      <c r="BR350" s="3"/>
    </row>
    <row r="351" spans="1:70">
      <c r="A351" s="1" t="s">
        <v>70</v>
      </c>
      <c r="B351" s="1" t="s">
        <v>1269</v>
      </c>
      <c r="C351" s="1" t="s">
        <v>6916</v>
      </c>
      <c r="D351" s="1" t="s">
        <v>443</v>
      </c>
      <c r="E351" s="1"/>
      <c r="F351" s="1" t="s">
        <v>5649</v>
      </c>
      <c r="G351" s="1" t="s">
        <v>6917</v>
      </c>
      <c r="H351" s="1" t="s">
        <v>6918</v>
      </c>
      <c r="I351" s="1" t="s">
        <v>6919</v>
      </c>
      <c r="J351" s="1">
        <v>9881045980</v>
      </c>
      <c r="K351" s="1" t="s">
        <v>79</v>
      </c>
      <c r="L351" s="1" t="s">
        <v>4365</v>
      </c>
      <c r="M351" s="1" t="s">
        <v>81</v>
      </c>
      <c r="N351" s="1" t="s">
        <v>6920</v>
      </c>
      <c r="O351" s="1"/>
      <c r="P351" s="1" t="s">
        <v>1323</v>
      </c>
      <c r="Q351" s="1" t="s">
        <v>6921</v>
      </c>
      <c r="R351" s="1" t="s">
        <v>6408</v>
      </c>
      <c r="S351" s="1">
        <v>9422531010</v>
      </c>
      <c r="T351" s="1" t="s">
        <v>842</v>
      </c>
      <c r="U351" s="1" t="s">
        <v>6922</v>
      </c>
      <c r="V351" s="1">
        <v>7522952032</v>
      </c>
      <c r="W351" s="1" t="s">
        <v>89</v>
      </c>
      <c r="X351" s="1" t="s">
        <v>6923</v>
      </c>
      <c r="Y351" s="1" t="s">
        <v>191</v>
      </c>
      <c r="Z351" s="1" t="s">
        <v>92</v>
      </c>
      <c r="AA351" s="1" t="s">
        <v>6924</v>
      </c>
      <c r="AB351" s="1" t="s">
        <v>91</v>
      </c>
      <c r="AC351" s="1" t="s">
        <v>92</v>
      </c>
      <c r="AD351" s="1">
        <v>7.9</v>
      </c>
      <c r="AE351" s="1" t="s">
        <v>93</v>
      </c>
      <c r="AF351" s="1" t="s">
        <v>6925</v>
      </c>
      <c r="AG351" s="1" t="s">
        <v>6926</v>
      </c>
      <c r="AH351" s="1" t="s">
        <v>101</v>
      </c>
      <c r="AI351" s="1" t="s">
        <v>308</v>
      </c>
      <c r="AJ351" s="1">
        <v>88.4</v>
      </c>
      <c r="AK351" s="1">
        <v>0</v>
      </c>
      <c r="AL351" s="1" t="s">
        <v>6927</v>
      </c>
      <c r="AM351" s="1" t="s">
        <v>160</v>
      </c>
      <c r="AN351" s="1" t="s">
        <v>699</v>
      </c>
      <c r="AO351" s="1" t="s">
        <v>1712</v>
      </c>
      <c r="AP351" s="1">
        <v>91.17</v>
      </c>
      <c r="AQ351" s="1">
        <v>0</v>
      </c>
      <c r="AR351" s="1"/>
      <c r="AS351" s="1"/>
      <c r="AT351" s="1"/>
      <c r="AU351" s="1"/>
      <c r="AV351" s="1"/>
      <c r="AW351" s="1"/>
      <c r="AX351" s="1" t="s">
        <v>6928</v>
      </c>
      <c r="AY351" s="1" t="s">
        <v>6929</v>
      </c>
      <c r="AZ351" s="1" t="s">
        <v>897</v>
      </c>
      <c r="BA351" s="1" t="s">
        <v>1714</v>
      </c>
      <c r="BB351" s="1">
        <v>66.19</v>
      </c>
      <c r="BC351" s="1">
        <v>6.61</v>
      </c>
      <c r="BD351" s="1"/>
      <c r="BE351" s="1"/>
      <c r="BF351" s="1"/>
      <c r="BG351" s="1"/>
      <c r="BH351" s="1"/>
      <c r="BI351" s="1"/>
      <c r="BJ351" s="1" t="s">
        <v>364</v>
      </c>
      <c r="BK351" s="1"/>
      <c r="BL351" s="1"/>
      <c r="BM351" s="1"/>
      <c r="BN351" s="1"/>
      <c r="BO351" s="1"/>
      <c r="BP351" s="1" t="str">
        <f>HYPERLINK("https://nconnect.nicmar.ac.in/storage/profile/ProfilePhoto_P25700299_148926.jpg","Download")</f>
        <v>0</v>
      </c>
      <c r="BQ351" s="3"/>
      <c r="BR351" s="3"/>
    </row>
    <row r="352" spans="1:70">
      <c r="A352" s="1" t="s">
        <v>70</v>
      </c>
      <c r="B352" s="1" t="s">
        <v>1269</v>
      </c>
      <c r="C352" s="1" t="s">
        <v>6930</v>
      </c>
      <c r="D352" s="1" t="s">
        <v>6931</v>
      </c>
      <c r="E352" s="1" t="s">
        <v>6932</v>
      </c>
      <c r="F352" s="1" t="s">
        <v>6933</v>
      </c>
      <c r="G352" s="1" t="s">
        <v>6934</v>
      </c>
      <c r="H352" s="1" t="s">
        <v>6935</v>
      </c>
      <c r="I352" s="1" t="s">
        <v>6936</v>
      </c>
      <c r="J352" s="1">
        <v>7249391222</v>
      </c>
      <c r="K352" s="1" t="s">
        <v>79</v>
      </c>
      <c r="L352" s="1" t="s">
        <v>6937</v>
      </c>
      <c r="M352" s="1" t="s">
        <v>81</v>
      </c>
      <c r="N352" s="1" t="s">
        <v>1418</v>
      </c>
      <c r="O352" s="1"/>
      <c r="P352" s="1" t="s">
        <v>1278</v>
      </c>
      <c r="Q352" s="1" t="s">
        <v>6938</v>
      </c>
      <c r="R352" s="1" t="s">
        <v>6932</v>
      </c>
      <c r="S352" s="1">
        <v>9028294000</v>
      </c>
      <c r="T352" s="1" t="s">
        <v>496</v>
      </c>
      <c r="U352" s="1" t="s">
        <v>6939</v>
      </c>
      <c r="V352" s="1">
        <v>9421836969</v>
      </c>
      <c r="W352" s="1" t="s">
        <v>156</v>
      </c>
      <c r="X352" s="1" t="s">
        <v>6940</v>
      </c>
      <c r="Y352" s="1" t="s">
        <v>328</v>
      </c>
      <c r="Z352" s="1" t="s">
        <v>92</v>
      </c>
      <c r="AA352" s="1" t="s">
        <v>6940</v>
      </c>
      <c r="AB352" s="1" t="s">
        <v>328</v>
      </c>
      <c r="AC352" s="1" t="s">
        <v>92</v>
      </c>
      <c r="AD352" s="1">
        <v>7.58</v>
      </c>
      <c r="AE352" s="1" t="s">
        <v>93</v>
      </c>
      <c r="AF352" s="1" t="s">
        <v>6941</v>
      </c>
      <c r="AG352" s="1" t="s">
        <v>160</v>
      </c>
      <c r="AH352" s="1" t="s">
        <v>998</v>
      </c>
      <c r="AI352" s="1" t="s">
        <v>433</v>
      </c>
      <c r="AJ352" s="1">
        <v>78.2</v>
      </c>
      <c r="AK352" s="1"/>
      <c r="AL352" s="1" t="s">
        <v>6942</v>
      </c>
      <c r="AM352" s="1" t="s">
        <v>160</v>
      </c>
      <c r="AN352" s="1" t="s">
        <v>310</v>
      </c>
      <c r="AO352" s="1" t="s">
        <v>436</v>
      </c>
      <c r="AP352" s="1">
        <v>94.5</v>
      </c>
      <c r="AQ352" s="1"/>
      <c r="AR352" s="1"/>
      <c r="AS352" s="1"/>
      <c r="AT352" s="1"/>
      <c r="AU352" s="1"/>
      <c r="AV352" s="1"/>
      <c r="AW352" s="1"/>
      <c r="AX352" s="1" t="s">
        <v>6943</v>
      </c>
      <c r="AY352" s="1" t="s">
        <v>6944</v>
      </c>
      <c r="AZ352" s="1" t="s">
        <v>897</v>
      </c>
      <c r="BA352" s="1" t="s">
        <v>1584</v>
      </c>
      <c r="BB352" s="1">
        <v>70.29</v>
      </c>
      <c r="BC352" s="1">
        <v>8.07</v>
      </c>
      <c r="BD352" s="1"/>
      <c r="BE352" s="1"/>
      <c r="BF352" s="1"/>
      <c r="BG352" s="1"/>
      <c r="BH352" s="1"/>
      <c r="BI352" s="1"/>
      <c r="BJ352" s="1" t="s">
        <v>6945</v>
      </c>
      <c r="BK352" s="1"/>
      <c r="BL352" s="1"/>
      <c r="BM352" s="1" t="s">
        <v>6946</v>
      </c>
      <c r="BN352" s="1">
        <v>11</v>
      </c>
      <c r="BO352" s="1" t="s">
        <v>6947</v>
      </c>
      <c r="BP352" s="1" t="str">
        <f>HYPERLINK("https://nconnect.nicmar.ac.in/storage/profile/ProfilePhoto_P25700300_153649.jpg","Download")</f>
        <v>0</v>
      </c>
      <c r="BQ352" s="3"/>
      <c r="BR352" s="3"/>
    </row>
    <row r="353" spans="1:70">
      <c r="A353" s="1" t="s">
        <v>70</v>
      </c>
      <c r="B353" s="1" t="s">
        <v>1269</v>
      </c>
      <c r="C353" s="1" t="s">
        <v>6948</v>
      </c>
      <c r="D353" s="1" t="s">
        <v>6949</v>
      </c>
      <c r="E353" s="1"/>
      <c r="F353" s="1" t="s">
        <v>835</v>
      </c>
      <c r="G353" s="1" t="s">
        <v>6950</v>
      </c>
      <c r="H353" s="1" t="s">
        <v>6951</v>
      </c>
      <c r="I353" s="1" t="s">
        <v>6952</v>
      </c>
      <c r="J353" s="1">
        <v>7078578902</v>
      </c>
      <c r="K353" s="1" t="s">
        <v>79</v>
      </c>
      <c r="L353" s="1" t="s">
        <v>6953</v>
      </c>
      <c r="M353" s="1" t="s">
        <v>81</v>
      </c>
      <c r="N353" s="1" t="s">
        <v>241</v>
      </c>
      <c r="O353" s="1"/>
      <c r="P353" s="1" t="s">
        <v>1278</v>
      </c>
      <c r="Q353" s="1" t="s">
        <v>6954</v>
      </c>
      <c r="R353" s="1" t="s">
        <v>6955</v>
      </c>
      <c r="S353" s="1">
        <v>7500947699</v>
      </c>
      <c r="T353" s="1" t="s">
        <v>4687</v>
      </c>
      <c r="U353" s="1" t="s">
        <v>6956</v>
      </c>
      <c r="V353" s="1">
        <v>7906433225</v>
      </c>
      <c r="W353" s="1" t="s">
        <v>156</v>
      </c>
      <c r="X353" s="1" t="s">
        <v>6957</v>
      </c>
      <c r="Y353" s="1" t="s">
        <v>6958</v>
      </c>
      <c r="Z353" s="1" t="s">
        <v>1355</v>
      </c>
      <c r="AA353" s="1" t="s">
        <v>6957</v>
      </c>
      <c r="AB353" s="1" t="s">
        <v>6958</v>
      </c>
      <c r="AC353" s="1" t="s">
        <v>1355</v>
      </c>
      <c r="AD353" s="1">
        <v>9.18</v>
      </c>
      <c r="AE353" s="1" t="s">
        <v>93</v>
      </c>
      <c r="AF353" s="1" t="s">
        <v>6959</v>
      </c>
      <c r="AG353" s="1" t="s">
        <v>6960</v>
      </c>
      <c r="AH353" s="1" t="s">
        <v>281</v>
      </c>
      <c r="AI353" s="1" t="s">
        <v>308</v>
      </c>
      <c r="AJ353" s="1">
        <v>86.4</v>
      </c>
      <c r="AK353" s="1"/>
      <c r="AL353" s="1" t="s">
        <v>6961</v>
      </c>
      <c r="AM353" s="1" t="s">
        <v>6960</v>
      </c>
      <c r="AN353" s="1" t="s">
        <v>1834</v>
      </c>
      <c r="AO353" s="1" t="s">
        <v>506</v>
      </c>
      <c r="AP353" s="1">
        <v>84.16</v>
      </c>
      <c r="AQ353" s="1"/>
      <c r="AR353" s="1"/>
      <c r="AS353" s="1"/>
      <c r="AT353" s="1"/>
      <c r="AU353" s="1"/>
      <c r="AV353" s="1"/>
      <c r="AW353" s="1"/>
      <c r="AX353" s="1" t="s">
        <v>1835</v>
      </c>
      <c r="AY353" s="1" t="s">
        <v>6962</v>
      </c>
      <c r="AZ353" s="1" t="s">
        <v>436</v>
      </c>
      <c r="BA353" s="1" t="s">
        <v>1361</v>
      </c>
      <c r="BB353" s="1">
        <v>86.9</v>
      </c>
      <c r="BC353" s="1">
        <v>8.69</v>
      </c>
      <c r="BD353" s="1"/>
      <c r="BE353" s="1"/>
      <c r="BF353" s="1"/>
      <c r="BG353" s="1"/>
      <c r="BH353" s="1"/>
      <c r="BI353" s="1"/>
      <c r="BJ353" s="1" t="s">
        <v>6963</v>
      </c>
      <c r="BK353" s="1"/>
      <c r="BL353" s="1"/>
      <c r="BM353" s="1" t="s">
        <v>6964</v>
      </c>
      <c r="BN353" s="1">
        <v>13</v>
      </c>
      <c r="BO353" s="1" t="s">
        <v>6965</v>
      </c>
      <c r="BP353" s="1" t="str">
        <f>HYPERLINK("https://nconnect.nicmar.ac.in/storage/profile/ProfilePhoto_P25700301_346981.jpg","Download")</f>
        <v>0</v>
      </c>
      <c r="BQ353" s="3"/>
      <c r="BR353" s="3"/>
    </row>
    <row r="354" spans="1:70">
      <c r="A354" s="1" t="s">
        <v>70</v>
      </c>
      <c r="B354" s="1" t="s">
        <v>1269</v>
      </c>
      <c r="C354" s="1" t="s">
        <v>6966</v>
      </c>
      <c r="D354" s="1" t="s">
        <v>6967</v>
      </c>
      <c r="E354" s="1" t="s">
        <v>6968</v>
      </c>
      <c r="F354" s="1" t="s">
        <v>2597</v>
      </c>
      <c r="G354" s="1" t="s">
        <v>6969</v>
      </c>
      <c r="H354" s="1" t="s">
        <v>6970</v>
      </c>
      <c r="I354" s="1" t="s">
        <v>6971</v>
      </c>
      <c r="J354" s="1">
        <v>7972098689</v>
      </c>
      <c r="K354" s="1" t="s">
        <v>79</v>
      </c>
      <c r="L354" s="1" t="s">
        <v>6972</v>
      </c>
      <c r="M354" s="1" t="s">
        <v>81</v>
      </c>
      <c r="N354" s="1" t="s">
        <v>6973</v>
      </c>
      <c r="O354" s="1"/>
      <c r="P354" s="1" t="s">
        <v>1323</v>
      </c>
      <c r="Q354" s="1" t="s">
        <v>6974</v>
      </c>
      <c r="R354" s="1" t="s">
        <v>2597</v>
      </c>
      <c r="S354" s="1">
        <v>7972098689</v>
      </c>
      <c r="T354" s="1" t="s">
        <v>154</v>
      </c>
      <c r="U354" s="1" t="s">
        <v>4367</v>
      </c>
      <c r="V354" s="1">
        <v>7972098689</v>
      </c>
      <c r="W354" s="1" t="s">
        <v>156</v>
      </c>
      <c r="X354" s="1" t="s">
        <v>6975</v>
      </c>
      <c r="Y354" s="1" t="s">
        <v>191</v>
      </c>
      <c r="Z354" s="1" t="s">
        <v>92</v>
      </c>
      <c r="AA354" s="1" t="s">
        <v>6976</v>
      </c>
      <c r="AB354" s="1" t="s">
        <v>1018</v>
      </c>
      <c r="AC354" s="1" t="s">
        <v>92</v>
      </c>
      <c r="AD354" s="1">
        <v>8.43</v>
      </c>
      <c r="AE354" s="1" t="s">
        <v>93</v>
      </c>
      <c r="AF354" s="1" t="s">
        <v>6977</v>
      </c>
      <c r="AG354" s="1" t="s">
        <v>6978</v>
      </c>
      <c r="AH354" s="1" t="s">
        <v>657</v>
      </c>
      <c r="AI354" s="1" t="s">
        <v>128</v>
      </c>
      <c r="AJ354" s="1">
        <v>81.27</v>
      </c>
      <c r="AK354" s="1"/>
      <c r="AL354" s="1" t="s">
        <v>6979</v>
      </c>
      <c r="AM354" s="1" t="s">
        <v>6980</v>
      </c>
      <c r="AN354" s="1" t="s">
        <v>2403</v>
      </c>
      <c r="AO354" s="1" t="s">
        <v>96</v>
      </c>
      <c r="AP354" s="1">
        <v>66.31</v>
      </c>
      <c r="AQ354" s="1"/>
      <c r="AR354" s="1"/>
      <c r="AS354" s="1"/>
      <c r="AT354" s="1"/>
      <c r="AU354" s="1"/>
      <c r="AV354" s="1"/>
      <c r="AW354" s="1"/>
      <c r="AX354" s="1" t="s">
        <v>361</v>
      </c>
      <c r="AY354" s="1" t="s">
        <v>6981</v>
      </c>
      <c r="AZ354" s="1" t="s">
        <v>130</v>
      </c>
      <c r="BA354" s="1" t="s">
        <v>169</v>
      </c>
      <c r="BB354" s="1">
        <v>65.54</v>
      </c>
      <c r="BC354" s="1"/>
      <c r="BD354" s="1"/>
      <c r="BE354" s="1"/>
      <c r="BF354" s="1"/>
      <c r="BG354" s="1"/>
      <c r="BH354" s="1"/>
      <c r="BI354" s="1"/>
      <c r="BJ354" s="1" t="s">
        <v>364</v>
      </c>
      <c r="BK354" s="1" t="s">
        <v>6982</v>
      </c>
      <c r="BL354" s="1" t="s">
        <v>6983</v>
      </c>
      <c r="BM354" s="1" t="s">
        <v>6984</v>
      </c>
      <c r="BN354" s="1">
        <v>9</v>
      </c>
      <c r="BO354" s="1" t="s">
        <v>6985</v>
      </c>
      <c r="BP354" s="1" t="str">
        <f>HYPERLINK("https://nconnect.nicmar.ac.in/storage/profile/ProfilePhoto_P25700302_214356.jpg","Download")</f>
        <v>0</v>
      </c>
      <c r="BQ354" s="3"/>
      <c r="BR354" s="3"/>
    </row>
    <row r="355" spans="1:70">
      <c r="A355" s="1" t="s">
        <v>70</v>
      </c>
      <c r="B355" s="1" t="s">
        <v>1269</v>
      </c>
      <c r="C355" s="1" t="s">
        <v>6986</v>
      </c>
      <c r="D355" s="1" t="s">
        <v>3455</v>
      </c>
      <c r="E355" s="1" t="s">
        <v>6180</v>
      </c>
      <c r="F355" s="1" t="s">
        <v>4444</v>
      </c>
      <c r="G355" s="1" t="s">
        <v>6987</v>
      </c>
      <c r="H355" s="1" t="s">
        <v>6988</v>
      </c>
      <c r="I355" s="1" t="s">
        <v>6989</v>
      </c>
      <c r="J355" s="1">
        <v>9704344140</v>
      </c>
      <c r="K355" s="1" t="s">
        <v>79</v>
      </c>
      <c r="L355" s="1" t="s">
        <v>1846</v>
      </c>
      <c r="M355" s="1" t="s">
        <v>81</v>
      </c>
      <c r="N355" s="1" t="s">
        <v>6990</v>
      </c>
      <c r="O355" s="1"/>
      <c r="P355" s="1" t="s">
        <v>1298</v>
      </c>
      <c r="Q355" s="1" t="s">
        <v>6991</v>
      </c>
      <c r="R355" s="1" t="s">
        <v>6992</v>
      </c>
      <c r="S355" s="1">
        <v>8919045993</v>
      </c>
      <c r="T355" s="1" t="s">
        <v>496</v>
      </c>
      <c r="U355" s="1" t="s">
        <v>6993</v>
      </c>
      <c r="V355" s="1">
        <v>9618089886</v>
      </c>
      <c r="W355" s="1" t="s">
        <v>651</v>
      </c>
      <c r="X355" s="1" t="s">
        <v>6994</v>
      </c>
      <c r="Y355" s="1" t="s">
        <v>4636</v>
      </c>
      <c r="Z355" s="1" t="s">
        <v>276</v>
      </c>
      <c r="AA355" s="1" t="s">
        <v>6994</v>
      </c>
      <c r="AB355" s="1" t="s">
        <v>4636</v>
      </c>
      <c r="AC355" s="1" t="s">
        <v>276</v>
      </c>
      <c r="AD355" s="1">
        <v>8.26</v>
      </c>
      <c r="AE355" s="1" t="s">
        <v>93</v>
      </c>
      <c r="AF355" s="1" t="s">
        <v>6995</v>
      </c>
      <c r="AG355" s="1" t="s">
        <v>6996</v>
      </c>
      <c r="AH355" s="1" t="s">
        <v>195</v>
      </c>
      <c r="AI355" s="1" t="s">
        <v>166</v>
      </c>
      <c r="AJ355" s="1">
        <v>86</v>
      </c>
      <c r="AK355" s="1"/>
      <c r="AL355" s="1" t="s">
        <v>6997</v>
      </c>
      <c r="AM355" s="1" t="s">
        <v>6998</v>
      </c>
      <c r="AN355" s="1" t="s">
        <v>101</v>
      </c>
      <c r="AO355" s="1" t="s">
        <v>699</v>
      </c>
      <c r="AP355" s="1">
        <v>84.3</v>
      </c>
      <c r="AQ355" s="1">
        <v>8.86</v>
      </c>
      <c r="AR355" s="1"/>
      <c r="AS355" s="1"/>
      <c r="AT355" s="1"/>
      <c r="AU355" s="1"/>
      <c r="AV355" s="1"/>
      <c r="AW355" s="1"/>
      <c r="AX355" s="1" t="s">
        <v>282</v>
      </c>
      <c r="AY355" s="1" t="s">
        <v>6999</v>
      </c>
      <c r="AZ355" s="1" t="s">
        <v>681</v>
      </c>
      <c r="BA355" s="1" t="s">
        <v>1939</v>
      </c>
      <c r="BB355" s="1">
        <v>72.82</v>
      </c>
      <c r="BC355" s="1">
        <v>7.76</v>
      </c>
      <c r="BD355" s="1"/>
      <c r="BE355" s="1"/>
      <c r="BF355" s="1"/>
      <c r="BG355" s="1"/>
      <c r="BH355" s="1"/>
      <c r="BI355" s="1"/>
      <c r="BJ355" s="1" t="s">
        <v>2733</v>
      </c>
      <c r="BK355" s="1"/>
      <c r="BL355" s="1"/>
      <c r="BM355" s="1" t="s">
        <v>7000</v>
      </c>
      <c r="BN355" s="1">
        <v>30</v>
      </c>
      <c r="BO355" s="1"/>
      <c r="BP355" s="1" t="str">
        <f>HYPERLINK("https://nconnect.nicmar.ac.in/storage/profile/ProfilePhoto_P25700303_641892.jpg","Download")</f>
        <v>0</v>
      </c>
      <c r="BQ355" s="3"/>
      <c r="BR355" s="3"/>
    </row>
    <row r="356" spans="1:70">
      <c r="A356" s="1" t="s">
        <v>70</v>
      </c>
      <c r="B356" s="1" t="s">
        <v>1269</v>
      </c>
      <c r="C356" s="1" t="s">
        <v>7001</v>
      </c>
      <c r="D356" s="1" t="s">
        <v>7002</v>
      </c>
      <c r="E356" s="1" t="s">
        <v>7003</v>
      </c>
      <c r="F356" s="1" t="s">
        <v>7004</v>
      </c>
      <c r="G356" s="1" t="s">
        <v>7005</v>
      </c>
      <c r="H356" s="1" t="s">
        <v>7006</v>
      </c>
      <c r="I356" s="1" t="s">
        <v>7007</v>
      </c>
      <c r="J356" s="1">
        <v>9494842354</v>
      </c>
      <c r="K356" s="1" t="s">
        <v>79</v>
      </c>
      <c r="L356" s="1" t="s">
        <v>7008</v>
      </c>
      <c r="M356" s="1" t="s">
        <v>81</v>
      </c>
      <c r="N356" s="1" t="s">
        <v>5603</v>
      </c>
      <c r="O356" s="1"/>
      <c r="P356" s="1" t="s">
        <v>1278</v>
      </c>
      <c r="Q356" s="1" t="s">
        <v>7009</v>
      </c>
      <c r="R356" s="1" t="s">
        <v>7010</v>
      </c>
      <c r="S356" s="1">
        <v>9948281111</v>
      </c>
      <c r="T356" s="1" t="s">
        <v>154</v>
      </c>
      <c r="U356" s="1" t="s">
        <v>7011</v>
      </c>
      <c r="V356" s="1">
        <v>9000911266</v>
      </c>
      <c r="W356" s="1" t="s">
        <v>273</v>
      </c>
      <c r="X356" s="1" t="s">
        <v>7012</v>
      </c>
      <c r="Y356" s="1" t="s">
        <v>4321</v>
      </c>
      <c r="Z356" s="1" t="s">
        <v>276</v>
      </c>
      <c r="AA356" s="1" t="s">
        <v>7012</v>
      </c>
      <c r="AB356" s="1" t="s">
        <v>4321</v>
      </c>
      <c r="AC356" s="1" t="s">
        <v>276</v>
      </c>
      <c r="AD356" s="1">
        <v>9.07</v>
      </c>
      <c r="AE356" s="1" t="s">
        <v>93</v>
      </c>
      <c r="AF356" s="1" t="s">
        <v>7013</v>
      </c>
      <c r="AG356" s="1" t="s">
        <v>7014</v>
      </c>
      <c r="AH356" s="1" t="s">
        <v>165</v>
      </c>
      <c r="AI356" s="1" t="s">
        <v>281</v>
      </c>
      <c r="AJ356" s="1">
        <v>95</v>
      </c>
      <c r="AK356" s="1">
        <v>9.5</v>
      </c>
      <c r="AL356" s="1" t="s">
        <v>7015</v>
      </c>
      <c r="AM356" s="1" t="s">
        <v>2247</v>
      </c>
      <c r="AN356" s="1" t="s">
        <v>101</v>
      </c>
      <c r="AO356" s="1" t="s">
        <v>941</v>
      </c>
      <c r="AP356" s="1">
        <v>89.9</v>
      </c>
      <c r="AQ356" s="1">
        <v>9.29</v>
      </c>
      <c r="AR356" s="1"/>
      <c r="AS356" s="1"/>
      <c r="AT356" s="1"/>
      <c r="AU356" s="1"/>
      <c r="AV356" s="1"/>
      <c r="AW356" s="1"/>
      <c r="AX356" s="1" t="s">
        <v>3468</v>
      </c>
      <c r="AY356" s="1" t="s">
        <v>7016</v>
      </c>
      <c r="AZ356" s="1" t="s">
        <v>699</v>
      </c>
      <c r="BA356" s="1" t="s">
        <v>702</v>
      </c>
      <c r="BB356" s="1">
        <v>75.3</v>
      </c>
      <c r="BC356" s="1">
        <v>8.28</v>
      </c>
      <c r="BD356" s="1"/>
      <c r="BE356" s="1"/>
      <c r="BF356" s="1"/>
      <c r="BG356" s="1"/>
      <c r="BH356" s="1"/>
      <c r="BI356" s="1"/>
      <c r="BJ356" s="1" t="s">
        <v>364</v>
      </c>
      <c r="BK356" s="1"/>
      <c r="BL356" s="1"/>
      <c r="BM356" s="1" t="s">
        <v>7017</v>
      </c>
      <c r="BN356" s="1">
        <v>26</v>
      </c>
      <c r="BO356" s="1"/>
      <c r="BP356" s="1" t="str">
        <f>HYPERLINK("https://nconnect.nicmar.ac.in/storage/profile/ProfilePhoto_P25700304_328576.jpg","Download")</f>
        <v>0</v>
      </c>
      <c r="BQ356" s="3"/>
      <c r="BR356" s="3"/>
    </row>
    <row r="357" spans="1:70">
      <c r="A357" s="1" t="s">
        <v>70</v>
      </c>
      <c r="B357" s="1" t="s">
        <v>1269</v>
      </c>
      <c r="C357" s="1" t="s">
        <v>7018</v>
      </c>
      <c r="D357" s="1" t="s">
        <v>533</v>
      </c>
      <c r="E357" s="1" t="s">
        <v>7019</v>
      </c>
      <c r="F357" s="1" t="s">
        <v>7020</v>
      </c>
      <c r="G357" s="1" t="s">
        <v>7021</v>
      </c>
      <c r="H357" s="1" t="s">
        <v>7022</v>
      </c>
      <c r="I357" s="1" t="s">
        <v>7023</v>
      </c>
      <c r="J357" s="1">
        <v>9325587022</v>
      </c>
      <c r="K357" s="1" t="s">
        <v>79</v>
      </c>
      <c r="L357" s="1" t="s">
        <v>4765</v>
      </c>
      <c r="M357" s="1" t="s">
        <v>81</v>
      </c>
      <c r="N357" s="1" t="s">
        <v>1765</v>
      </c>
      <c r="O357" s="1"/>
      <c r="P357" s="1" t="s">
        <v>1278</v>
      </c>
      <c r="Q357" s="1" t="s">
        <v>7024</v>
      </c>
      <c r="R357" s="1" t="s">
        <v>7025</v>
      </c>
      <c r="S357" s="1">
        <v>9158878170</v>
      </c>
      <c r="T357" s="1" t="s">
        <v>154</v>
      </c>
      <c r="U357" s="1" t="s">
        <v>7026</v>
      </c>
      <c r="V357" s="1">
        <v>9158878170</v>
      </c>
      <c r="W357" s="1" t="s">
        <v>156</v>
      </c>
      <c r="X357" s="1" t="s">
        <v>7027</v>
      </c>
      <c r="Y357" s="1" t="s">
        <v>523</v>
      </c>
      <c r="Z357" s="1" t="s">
        <v>92</v>
      </c>
      <c r="AA357" s="1" t="s">
        <v>7027</v>
      </c>
      <c r="AB357" s="1" t="s">
        <v>523</v>
      </c>
      <c r="AC357" s="1" t="s">
        <v>92</v>
      </c>
      <c r="AD357" s="1">
        <v>7.25</v>
      </c>
      <c r="AE357" s="1" t="s">
        <v>93</v>
      </c>
      <c r="AF357" s="1" t="s">
        <v>7028</v>
      </c>
      <c r="AG357" s="1" t="s">
        <v>7029</v>
      </c>
      <c r="AH357" s="1" t="s">
        <v>162</v>
      </c>
      <c r="AI357" s="1" t="s">
        <v>195</v>
      </c>
      <c r="AJ357" s="1">
        <v>70.6</v>
      </c>
      <c r="AK357" s="1">
        <v>0</v>
      </c>
      <c r="AL357" s="1" t="s">
        <v>7030</v>
      </c>
      <c r="AM357" s="1" t="s">
        <v>7031</v>
      </c>
      <c r="AN357" s="1" t="s">
        <v>101</v>
      </c>
      <c r="AO357" s="1" t="s">
        <v>198</v>
      </c>
      <c r="AP357" s="1">
        <v>50.31</v>
      </c>
      <c r="AQ357" s="1">
        <v>0</v>
      </c>
      <c r="AR357" s="1" t="s">
        <v>98</v>
      </c>
      <c r="AS357" s="1" t="s">
        <v>7032</v>
      </c>
      <c r="AT357" s="1" t="s">
        <v>433</v>
      </c>
      <c r="AU357" s="1" t="s">
        <v>1712</v>
      </c>
      <c r="AV357" s="1">
        <v>81.89</v>
      </c>
      <c r="AW357" s="1">
        <v>0</v>
      </c>
      <c r="AX357" s="1" t="s">
        <v>361</v>
      </c>
      <c r="AY357" s="1" t="s">
        <v>7033</v>
      </c>
      <c r="AZ357" s="1" t="s">
        <v>897</v>
      </c>
      <c r="BA357" s="1" t="s">
        <v>413</v>
      </c>
      <c r="BB357" s="1">
        <v>60.4</v>
      </c>
      <c r="BC357" s="1">
        <v>6.79</v>
      </c>
      <c r="BD357" s="1"/>
      <c r="BE357" s="1"/>
      <c r="BF357" s="1"/>
      <c r="BG357" s="1"/>
      <c r="BH357" s="1"/>
      <c r="BI357" s="1"/>
      <c r="BJ357" s="1" t="s">
        <v>7034</v>
      </c>
      <c r="BK357" s="1" t="s">
        <v>7035</v>
      </c>
      <c r="BL357" s="1" t="s">
        <v>1896</v>
      </c>
      <c r="BM357" s="1" t="s">
        <v>7036</v>
      </c>
      <c r="BN357" s="1">
        <v>9</v>
      </c>
      <c r="BO357" s="1" t="s">
        <v>7037</v>
      </c>
      <c r="BP357" s="1" t="str">
        <f>HYPERLINK("https://nconnect.nicmar.ac.in/storage/profile/ProfilePhoto_P25700305_358149.jpg","Download")</f>
        <v>0</v>
      </c>
      <c r="BQ357" s="3"/>
      <c r="BR357" s="3"/>
    </row>
    <row r="358" spans="1:70">
      <c r="A358" s="1" t="s">
        <v>70</v>
      </c>
      <c r="B358" s="1" t="s">
        <v>1269</v>
      </c>
      <c r="C358" s="1" t="s">
        <v>7038</v>
      </c>
      <c r="D358" s="1" t="s">
        <v>7039</v>
      </c>
      <c r="E358" s="1"/>
      <c r="F358" s="1" t="s">
        <v>7040</v>
      </c>
      <c r="G358" s="1" t="s">
        <v>7041</v>
      </c>
      <c r="H358" s="1" t="s">
        <v>7042</v>
      </c>
      <c r="I358" s="1" t="s">
        <v>7043</v>
      </c>
      <c r="J358" s="1">
        <v>9249411028</v>
      </c>
      <c r="K358" s="1" t="s">
        <v>79</v>
      </c>
      <c r="L358" s="1" t="s">
        <v>7044</v>
      </c>
      <c r="M358" s="1" t="s">
        <v>81</v>
      </c>
      <c r="N358" s="1" t="s">
        <v>1395</v>
      </c>
      <c r="O358" s="1"/>
      <c r="P358" s="1" t="s">
        <v>1323</v>
      </c>
      <c r="Q358" s="1" t="s">
        <v>7045</v>
      </c>
      <c r="R358" s="1" t="s">
        <v>7046</v>
      </c>
      <c r="S358" s="1">
        <v>9847281242</v>
      </c>
      <c r="T358" s="1" t="s">
        <v>496</v>
      </c>
      <c r="U358" s="1" t="s">
        <v>7047</v>
      </c>
      <c r="V358" s="1">
        <v>8089122440</v>
      </c>
      <c r="W358" s="1" t="s">
        <v>496</v>
      </c>
      <c r="X358" s="1" t="s">
        <v>7048</v>
      </c>
      <c r="Y358" s="1" t="s">
        <v>1491</v>
      </c>
      <c r="Z358" s="1" t="s">
        <v>125</v>
      </c>
      <c r="AA358" s="1" t="s">
        <v>7048</v>
      </c>
      <c r="AB358" s="1" t="s">
        <v>1491</v>
      </c>
      <c r="AC358" s="1" t="s">
        <v>125</v>
      </c>
      <c r="AD358" s="1">
        <v>8.61</v>
      </c>
      <c r="AE358" s="1" t="s">
        <v>93</v>
      </c>
      <c r="AF358" s="1" t="s">
        <v>7049</v>
      </c>
      <c r="AG358" s="1" t="s">
        <v>939</v>
      </c>
      <c r="AH358" s="1" t="s">
        <v>161</v>
      </c>
      <c r="AI358" s="1" t="s">
        <v>131</v>
      </c>
      <c r="AJ358" s="1">
        <v>83.6</v>
      </c>
      <c r="AK358" s="1">
        <v>8.8</v>
      </c>
      <c r="AL358" s="1" t="s">
        <v>7049</v>
      </c>
      <c r="AM358" s="1" t="s">
        <v>939</v>
      </c>
      <c r="AN358" s="1" t="s">
        <v>162</v>
      </c>
      <c r="AO358" s="1" t="s">
        <v>479</v>
      </c>
      <c r="AP358" s="1">
        <v>85.8</v>
      </c>
      <c r="AQ358" s="1">
        <v>0</v>
      </c>
      <c r="AR358" s="1"/>
      <c r="AS358" s="1"/>
      <c r="AT358" s="1"/>
      <c r="AU358" s="1"/>
      <c r="AV358" s="1"/>
      <c r="AW358" s="1"/>
      <c r="AX358" s="1" t="s">
        <v>7050</v>
      </c>
      <c r="AY358" s="1" t="s">
        <v>7051</v>
      </c>
      <c r="AZ358" s="1" t="s">
        <v>225</v>
      </c>
      <c r="BA358" s="1" t="s">
        <v>575</v>
      </c>
      <c r="BB358" s="1">
        <v>65.9</v>
      </c>
      <c r="BC358" s="1">
        <v>6.59</v>
      </c>
      <c r="BD358" s="1"/>
      <c r="BE358" s="1"/>
      <c r="BF358" s="1"/>
      <c r="BG358" s="1"/>
      <c r="BH358" s="1"/>
      <c r="BI358" s="1"/>
      <c r="BJ358" s="1" t="s">
        <v>7052</v>
      </c>
      <c r="BK358" s="1" t="s">
        <v>7053</v>
      </c>
      <c r="BL358" s="1" t="s">
        <v>4933</v>
      </c>
      <c r="BM358" s="1" t="s">
        <v>7054</v>
      </c>
      <c r="BN358" s="1">
        <v>70</v>
      </c>
      <c r="BO358" s="1"/>
      <c r="BP358" s="1" t="str">
        <f>HYPERLINK("https://nconnect.nicmar.ac.in/storage/profile/ProfilePhoto_P25700306_128963.jpg","Download")</f>
        <v>0</v>
      </c>
      <c r="BQ358" s="3"/>
      <c r="BR358" s="3"/>
    </row>
    <row r="359" spans="1:70">
      <c r="A359" s="1" t="s">
        <v>70</v>
      </c>
      <c r="B359" s="1" t="s">
        <v>1269</v>
      </c>
      <c r="C359" s="1" t="s">
        <v>7055</v>
      </c>
      <c r="D359" s="1" t="s">
        <v>7056</v>
      </c>
      <c r="E359" s="1" t="s">
        <v>7057</v>
      </c>
      <c r="F359" s="1" t="s">
        <v>7058</v>
      </c>
      <c r="G359" s="1" t="s">
        <v>7059</v>
      </c>
      <c r="H359" s="1" t="s">
        <v>7060</v>
      </c>
      <c r="I359" s="1" t="s">
        <v>7061</v>
      </c>
      <c r="J359" s="1">
        <v>8605723457</v>
      </c>
      <c r="K359" s="1" t="s">
        <v>79</v>
      </c>
      <c r="L359" s="1" t="s">
        <v>7062</v>
      </c>
      <c r="M359" s="1" t="s">
        <v>81</v>
      </c>
      <c r="N359" s="1" t="s">
        <v>1418</v>
      </c>
      <c r="O359" s="1"/>
      <c r="P359" s="1" t="s">
        <v>1298</v>
      </c>
      <c r="Q359" s="1" t="s">
        <v>7063</v>
      </c>
      <c r="R359" s="1" t="s">
        <v>7057</v>
      </c>
      <c r="S359" s="1">
        <v>8605723457</v>
      </c>
      <c r="T359" s="1" t="s">
        <v>93</v>
      </c>
      <c r="U359" s="1" t="s">
        <v>7064</v>
      </c>
      <c r="V359" s="1">
        <v>8862021135</v>
      </c>
      <c r="W359" s="1" t="s">
        <v>2335</v>
      </c>
      <c r="X359" s="1" t="s">
        <v>7065</v>
      </c>
      <c r="Y359" s="1" t="s">
        <v>191</v>
      </c>
      <c r="Z359" s="1" t="s">
        <v>92</v>
      </c>
      <c r="AA359" s="1" t="s">
        <v>7065</v>
      </c>
      <c r="AB359" s="1" t="s">
        <v>191</v>
      </c>
      <c r="AC359" s="1" t="s">
        <v>92</v>
      </c>
      <c r="AD359" s="1">
        <v>8.36</v>
      </c>
      <c r="AE359" s="1" t="s">
        <v>93</v>
      </c>
      <c r="AF359" s="1" t="s">
        <v>7066</v>
      </c>
      <c r="AG359" s="1" t="s">
        <v>160</v>
      </c>
      <c r="AH359" s="1" t="s">
        <v>161</v>
      </c>
      <c r="AI359" s="1" t="s">
        <v>162</v>
      </c>
      <c r="AJ359" s="1">
        <v>86.4</v>
      </c>
      <c r="AK359" s="1">
        <v>0</v>
      </c>
      <c r="AL359" s="1"/>
      <c r="AM359" s="1"/>
      <c r="AN359" s="1"/>
      <c r="AO359" s="1"/>
      <c r="AP359" s="1"/>
      <c r="AQ359" s="1"/>
      <c r="AR359" s="1" t="s">
        <v>98</v>
      </c>
      <c r="AS359" s="1" t="s">
        <v>7067</v>
      </c>
      <c r="AT359" s="1" t="s">
        <v>162</v>
      </c>
      <c r="AU359" s="1" t="s">
        <v>433</v>
      </c>
      <c r="AV359" s="1">
        <v>84.3</v>
      </c>
      <c r="AW359" s="1">
        <v>0</v>
      </c>
      <c r="AX359" s="1" t="s">
        <v>361</v>
      </c>
      <c r="AY359" s="1" t="s">
        <v>7068</v>
      </c>
      <c r="AZ359" s="1" t="s">
        <v>433</v>
      </c>
      <c r="BA359" s="1" t="s">
        <v>105</v>
      </c>
      <c r="BB359" s="1">
        <v>84.68</v>
      </c>
      <c r="BC359" s="1">
        <v>9.14</v>
      </c>
      <c r="BD359" s="1"/>
      <c r="BE359" s="1"/>
      <c r="BF359" s="1"/>
      <c r="BG359" s="1"/>
      <c r="BH359" s="1"/>
      <c r="BI359" s="1"/>
      <c r="BJ359" s="1" t="s">
        <v>4508</v>
      </c>
      <c r="BK359" s="1" t="s">
        <v>7069</v>
      </c>
      <c r="BL359" s="1" t="s">
        <v>1920</v>
      </c>
      <c r="BM359" s="1" t="s">
        <v>7070</v>
      </c>
      <c r="BN359" s="1">
        <v>39</v>
      </c>
      <c r="BO359" s="1" t="s">
        <v>4781</v>
      </c>
      <c r="BP359" s="1" t="str">
        <f>HYPERLINK("https://nconnect.nicmar.ac.in/storage/profile/ProfilePhoto_P25700307_873512.jpg","Download")</f>
        <v>0</v>
      </c>
      <c r="BQ359" s="3"/>
      <c r="BR359" s="3"/>
    </row>
    <row r="360" spans="1:70">
      <c r="A360" s="1" t="s">
        <v>70</v>
      </c>
      <c r="B360" s="1" t="s">
        <v>1269</v>
      </c>
      <c r="C360" s="1" t="s">
        <v>7071</v>
      </c>
      <c r="D360" s="1" t="s">
        <v>7072</v>
      </c>
      <c r="E360" s="1"/>
      <c r="F360" s="1" t="s">
        <v>7073</v>
      </c>
      <c r="G360" s="1" t="s">
        <v>7074</v>
      </c>
      <c r="H360" s="1" t="s">
        <v>7075</v>
      </c>
      <c r="I360" s="1" t="s">
        <v>7076</v>
      </c>
      <c r="J360" s="1">
        <v>9162596927</v>
      </c>
      <c r="K360" s="1" t="s">
        <v>79</v>
      </c>
      <c r="L360" s="1" t="s">
        <v>7077</v>
      </c>
      <c r="M360" s="1" t="s">
        <v>81</v>
      </c>
      <c r="N360" s="1" t="s">
        <v>7078</v>
      </c>
      <c r="O360" s="1"/>
      <c r="P360" s="1" t="s">
        <v>1278</v>
      </c>
      <c r="Q360" s="1" t="s">
        <v>7079</v>
      </c>
      <c r="R360" s="1" t="s">
        <v>7080</v>
      </c>
      <c r="S360" s="1">
        <v>6206009766</v>
      </c>
      <c r="T360" s="1" t="s">
        <v>120</v>
      </c>
      <c r="U360" s="1" t="s">
        <v>7081</v>
      </c>
      <c r="V360" s="1">
        <v>9162596927</v>
      </c>
      <c r="W360" s="1" t="s">
        <v>156</v>
      </c>
      <c r="X360" s="1" t="s">
        <v>7082</v>
      </c>
      <c r="Y360" s="1" t="s">
        <v>845</v>
      </c>
      <c r="Z360" s="1" t="s">
        <v>846</v>
      </c>
      <c r="AA360" s="1" t="s">
        <v>7082</v>
      </c>
      <c r="AB360" s="1" t="s">
        <v>845</v>
      </c>
      <c r="AC360" s="1" t="s">
        <v>846</v>
      </c>
      <c r="AD360" s="1">
        <v>7.28</v>
      </c>
      <c r="AE360" s="1" t="s">
        <v>93</v>
      </c>
      <c r="AF360" s="1" t="s">
        <v>7083</v>
      </c>
      <c r="AG360" s="1" t="s">
        <v>7084</v>
      </c>
      <c r="AH360" s="1" t="s">
        <v>4223</v>
      </c>
      <c r="AI360" s="1" t="s">
        <v>131</v>
      </c>
      <c r="AJ360" s="1">
        <v>74.1</v>
      </c>
      <c r="AK360" s="1">
        <v>7.8</v>
      </c>
      <c r="AL360" s="1" t="s">
        <v>7085</v>
      </c>
      <c r="AM360" s="1" t="s">
        <v>7086</v>
      </c>
      <c r="AN360" s="1" t="s">
        <v>195</v>
      </c>
      <c r="AO360" s="1" t="s">
        <v>409</v>
      </c>
      <c r="AP360" s="1">
        <v>68</v>
      </c>
      <c r="AQ360" s="1"/>
      <c r="AR360" s="1"/>
      <c r="AS360" s="1"/>
      <c r="AT360" s="1"/>
      <c r="AU360" s="1"/>
      <c r="AV360" s="1"/>
      <c r="AW360" s="1"/>
      <c r="AX360" s="1" t="s">
        <v>5722</v>
      </c>
      <c r="AY360" s="1" t="s">
        <v>7087</v>
      </c>
      <c r="AZ360" s="1" t="s">
        <v>433</v>
      </c>
      <c r="BA360" s="1" t="s">
        <v>682</v>
      </c>
      <c r="BB360" s="1">
        <v>82.2</v>
      </c>
      <c r="BC360" s="1">
        <v>8.22</v>
      </c>
      <c r="BD360" s="1"/>
      <c r="BE360" s="1"/>
      <c r="BF360" s="1"/>
      <c r="BG360" s="1"/>
      <c r="BH360" s="1"/>
      <c r="BI360" s="1"/>
      <c r="BJ360" s="1" t="s">
        <v>364</v>
      </c>
      <c r="BK360" s="1" t="s">
        <v>7088</v>
      </c>
      <c r="BL360" s="1" t="s">
        <v>5645</v>
      </c>
      <c r="BM360" s="1" t="s">
        <v>7089</v>
      </c>
      <c r="BN360" s="1">
        <v>8</v>
      </c>
      <c r="BO360" s="1"/>
      <c r="BP360" s="1" t="str">
        <f>HYPERLINK("https://nconnect.nicmar.ac.in/storage/profile/ProfilePhoto_P25700308_942517.jpg","Download")</f>
        <v>0</v>
      </c>
      <c r="BQ360" s="3"/>
      <c r="BR360" s="3"/>
    </row>
    <row r="361" spans="1:70">
      <c r="A361" s="1" t="s">
        <v>70</v>
      </c>
      <c r="B361" s="1" t="s">
        <v>1269</v>
      </c>
      <c r="C361" s="1" t="s">
        <v>7090</v>
      </c>
      <c r="D361" s="1" t="s">
        <v>7091</v>
      </c>
      <c r="E361" s="1"/>
      <c r="F361" s="1" t="s">
        <v>4784</v>
      </c>
      <c r="G361" s="1" t="s">
        <v>7092</v>
      </c>
      <c r="H361" s="1" t="s">
        <v>7093</v>
      </c>
      <c r="I361" s="1" t="s">
        <v>7094</v>
      </c>
      <c r="J361" s="1">
        <v>9994273557</v>
      </c>
      <c r="K361" s="1" t="s">
        <v>79</v>
      </c>
      <c r="L361" s="1" t="s">
        <v>7095</v>
      </c>
      <c r="M361" s="1" t="s">
        <v>81</v>
      </c>
      <c r="N361" s="1" t="s">
        <v>7096</v>
      </c>
      <c r="O361" s="1"/>
      <c r="P361" s="1" t="s">
        <v>1278</v>
      </c>
      <c r="Q361" s="1" t="s">
        <v>7097</v>
      </c>
      <c r="R361" s="1" t="s">
        <v>7098</v>
      </c>
      <c r="S361" s="1">
        <v>8012502994</v>
      </c>
      <c r="T361" s="1" t="s">
        <v>7099</v>
      </c>
      <c r="U361" s="1" t="s">
        <v>7100</v>
      </c>
      <c r="V361" s="1">
        <v>6369457817</v>
      </c>
      <c r="W361" s="1" t="s">
        <v>651</v>
      </c>
      <c r="X361" s="1" t="s">
        <v>7101</v>
      </c>
      <c r="Y361" s="1" t="s">
        <v>2669</v>
      </c>
      <c r="Z361" s="1" t="s">
        <v>1377</v>
      </c>
      <c r="AA361" s="1" t="s">
        <v>7101</v>
      </c>
      <c r="AB361" s="1" t="s">
        <v>2669</v>
      </c>
      <c r="AC361" s="1" t="s">
        <v>1377</v>
      </c>
      <c r="AD361" s="1">
        <v>8.31</v>
      </c>
      <c r="AE361" s="1" t="s">
        <v>93</v>
      </c>
      <c r="AF361" s="1" t="s">
        <v>7102</v>
      </c>
      <c r="AG361" s="1" t="s">
        <v>1379</v>
      </c>
      <c r="AH361" s="1" t="s">
        <v>101</v>
      </c>
      <c r="AI361" s="1" t="s">
        <v>1065</v>
      </c>
      <c r="AJ361" s="1">
        <v>83</v>
      </c>
      <c r="AK361" s="1">
        <v>0</v>
      </c>
      <c r="AL361" s="1" t="s">
        <v>7102</v>
      </c>
      <c r="AM361" s="1" t="s">
        <v>1379</v>
      </c>
      <c r="AN361" s="1" t="s">
        <v>699</v>
      </c>
      <c r="AO361" s="1" t="s">
        <v>506</v>
      </c>
      <c r="AP361" s="1">
        <v>85</v>
      </c>
      <c r="AQ361" s="1">
        <v>0</v>
      </c>
      <c r="AR361" s="1"/>
      <c r="AS361" s="1"/>
      <c r="AT361" s="1"/>
      <c r="AU361" s="1"/>
      <c r="AV361" s="1"/>
      <c r="AW361" s="1"/>
      <c r="AX361" s="1" t="s">
        <v>1381</v>
      </c>
      <c r="AY361" s="1" t="s">
        <v>7103</v>
      </c>
      <c r="AZ361" s="1" t="s">
        <v>1407</v>
      </c>
      <c r="BA361" s="1" t="s">
        <v>1408</v>
      </c>
      <c r="BB361" s="1">
        <v>81.8</v>
      </c>
      <c r="BC361" s="1">
        <v>8.18</v>
      </c>
      <c r="BD361" s="1"/>
      <c r="BE361" s="1"/>
      <c r="BF361" s="1"/>
      <c r="BG361" s="1"/>
      <c r="BH361" s="1"/>
      <c r="BI361" s="1"/>
      <c r="BJ361" s="1" t="s">
        <v>7104</v>
      </c>
      <c r="BK361" s="1"/>
      <c r="BL361" s="1"/>
      <c r="BM361" s="1" t="s">
        <v>7105</v>
      </c>
      <c r="BN361" s="1">
        <v>14</v>
      </c>
      <c r="BO361" s="1" t="s">
        <v>7106</v>
      </c>
      <c r="BP361" s="1" t="str">
        <f>HYPERLINK("https://nconnect.nicmar.ac.in/storage/profile/ProfilePhoto_P25700309_361294.jpg","Download")</f>
        <v>0</v>
      </c>
      <c r="BQ361" s="3"/>
      <c r="BR361" s="3"/>
    </row>
    <row r="362" spans="1:70">
      <c r="A362" s="1" t="s">
        <v>70</v>
      </c>
      <c r="B362" s="1" t="s">
        <v>1269</v>
      </c>
      <c r="C362" s="1" t="s">
        <v>7107</v>
      </c>
      <c r="D362" s="1" t="s">
        <v>5986</v>
      </c>
      <c r="E362" s="1"/>
      <c r="F362" s="1" t="s">
        <v>3676</v>
      </c>
      <c r="G362" s="1" t="s">
        <v>7108</v>
      </c>
      <c r="H362" s="1" t="s">
        <v>7109</v>
      </c>
      <c r="I362" s="1" t="s">
        <v>7110</v>
      </c>
      <c r="J362" s="1">
        <v>8669109766</v>
      </c>
      <c r="K362" s="1" t="s">
        <v>79</v>
      </c>
      <c r="L362" s="1" t="s">
        <v>7111</v>
      </c>
      <c r="M362" s="1" t="s">
        <v>81</v>
      </c>
      <c r="N362" s="1" t="s">
        <v>7112</v>
      </c>
      <c r="O362" s="1"/>
      <c r="P362" s="1" t="s">
        <v>1278</v>
      </c>
      <c r="Q362" s="1" t="s">
        <v>7113</v>
      </c>
      <c r="R362" s="1" t="s">
        <v>7114</v>
      </c>
      <c r="S362" s="1">
        <v>9923699521</v>
      </c>
      <c r="T362" s="1" t="s">
        <v>863</v>
      </c>
      <c r="U362" s="1" t="s">
        <v>7115</v>
      </c>
      <c r="V362" s="1">
        <v>8669101539</v>
      </c>
      <c r="W362" s="1" t="s">
        <v>156</v>
      </c>
      <c r="X362" s="1" t="s">
        <v>7116</v>
      </c>
      <c r="Y362" s="1" t="s">
        <v>405</v>
      </c>
      <c r="Z362" s="1" t="s">
        <v>92</v>
      </c>
      <c r="AA362" s="1" t="s">
        <v>7117</v>
      </c>
      <c r="AB362" s="1" t="s">
        <v>766</v>
      </c>
      <c r="AC362" s="1" t="s">
        <v>92</v>
      </c>
      <c r="AD362" s="1">
        <v>8.87</v>
      </c>
      <c r="AE362" s="1" t="s">
        <v>93</v>
      </c>
      <c r="AF362" s="1" t="s">
        <v>7118</v>
      </c>
      <c r="AG362" s="1" t="s">
        <v>7119</v>
      </c>
      <c r="AH362" s="1" t="s">
        <v>281</v>
      </c>
      <c r="AI362" s="1" t="s">
        <v>409</v>
      </c>
      <c r="AJ362" s="1">
        <v>69.8</v>
      </c>
      <c r="AK362" s="1"/>
      <c r="AL362" s="1" t="s">
        <v>7120</v>
      </c>
      <c r="AM362" s="1" t="s">
        <v>7119</v>
      </c>
      <c r="AN362" s="1" t="s">
        <v>941</v>
      </c>
      <c r="AO362" s="1" t="s">
        <v>504</v>
      </c>
      <c r="AP362" s="1">
        <v>90.67</v>
      </c>
      <c r="AQ362" s="1"/>
      <c r="AR362" s="1"/>
      <c r="AS362" s="1"/>
      <c r="AT362" s="1"/>
      <c r="AU362" s="1"/>
      <c r="AV362" s="1"/>
      <c r="AW362" s="1"/>
      <c r="AX362" s="1" t="s">
        <v>410</v>
      </c>
      <c r="AY362" s="1" t="s">
        <v>7121</v>
      </c>
      <c r="AZ362" s="1" t="s">
        <v>897</v>
      </c>
      <c r="BA362" s="1" t="s">
        <v>1714</v>
      </c>
      <c r="BB362" s="1">
        <v>83.1</v>
      </c>
      <c r="BC362" s="1">
        <v>8.31</v>
      </c>
      <c r="BD362" s="1"/>
      <c r="BE362" s="1"/>
      <c r="BF362" s="1"/>
      <c r="BG362" s="1"/>
      <c r="BH362" s="1"/>
      <c r="BI362" s="1"/>
      <c r="BJ362" s="1" t="s">
        <v>7122</v>
      </c>
      <c r="BK362" s="1" t="s">
        <v>7123</v>
      </c>
      <c r="BL362" s="1" t="s">
        <v>947</v>
      </c>
      <c r="BM362" s="1" t="s">
        <v>7124</v>
      </c>
      <c r="BN362" s="1">
        <v>29</v>
      </c>
      <c r="BO362" s="1" t="s">
        <v>7125</v>
      </c>
      <c r="BP362" s="1" t="str">
        <f>HYPERLINK("https://nconnect.nicmar.ac.in/storage/profile/6a6247b201416.png","Download")</f>
        <v>0</v>
      </c>
      <c r="BQ362" s="3"/>
      <c r="BR362" s="3"/>
    </row>
    <row r="363" spans="1:70">
      <c r="A363" s="1" t="s">
        <v>70</v>
      </c>
      <c r="B363" s="1" t="s">
        <v>1269</v>
      </c>
      <c r="C363" s="1" t="s">
        <v>7126</v>
      </c>
      <c r="D363" s="1" t="s">
        <v>650</v>
      </c>
      <c r="E363" s="1"/>
      <c r="F363" s="1" t="s">
        <v>650</v>
      </c>
      <c r="G363" s="1" t="s">
        <v>7127</v>
      </c>
      <c r="H363" s="1" t="s">
        <v>7128</v>
      </c>
      <c r="I363" s="1" t="s">
        <v>7129</v>
      </c>
      <c r="J363" s="1">
        <v>9972187849</v>
      </c>
      <c r="K363" s="1" t="s">
        <v>148</v>
      </c>
      <c r="L363" s="1" t="s">
        <v>7130</v>
      </c>
      <c r="M363" s="1" t="s">
        <v>81</v>
      </c>
      <c r="N363" s="1" t="s">
        <v>4848</v>
      </c>
      <c r="O363" s="1"/>
      <c r="P363" s="1" t="s">
        <v>1278</v>
      </c>
      <c r="Q363" s="1" t="s">
        <v>7131</v>
      </c>
      <c r="R363" s="1" t="s">
        <v>7132</v>
      </c>
      <c r="S363" s="1">
        <v>9036267539</v>
      </c>
      <c r="T363" s="1" t="s">
        <v>7133</v>
      </c>
      <c r="U363" s="1" t="s">
        <v>7134</v>
      </c>
      <c r="V363" s="1">
        <v>9449642810</v>
      </c>
      <c r="W363" s="1" t="s">
        <v>651</v>
      </c>
      <c r="X363" s="1" t="s">
        <v>7135</v>
      </c>
      <c r="Y363" s="1" t="s">
        <v>7136</v>
      </c>
      <c r="Z363" s="1" t="s">
        <v>1084</v>
      </c>
      <c r="AA363" s="1" t="s">
        <v>7135</v>
      </c>
      <c r="AB363" s="1" t="s">
        <v>7136</v>
      </c>
      <c r="AC363" s="1" t="s">
        <v>1084</v>
      </c>
      <c r="AD363" s="1">
        <v>7.94</v>
      </c>
      <c r="AE363" s="1" t="s">
        <v>93</v>
      </c>
      <c r="AF363" s="1" t="s">
        <v>7137</v>
      </c>
      <c r="AG363" s="1" t="s">
        <v>7138</v>
      </c>
      <c r="AH363" s="1" t="s">
        <v>1197</v>
      </c>
      <c r="AI363" s="1" t="s">
        <v>131</v>
      </c>
      <c r="AJ363" s="1">
        <v>81.7</v>
      </c>
      <c r="AK363" s="1">
        <v>8.6</v>
      </c>
      <c r="AL363" s="1" t="s">
        <v>7139</v>
      </c>
      <c r="AM363" s="1" t="s">
        <v>7140</v>
      </c>
      <c r="AN363" s="1" t="s">
        <v>279</v>
      </c>
      <c r="AO363" s="1" t="s">
        <v>281</v>
      </c>
      <c r="AP363" s="1">
        <v>73.66</v>
      </c>
      <c r="AQ363" s="1"/>
      <c r="AR363" s="1"/>
      <c r="AS363" s="1"/>
      <c r="AT363" s="1" t="s">
        <v>228</v>
      </c>
      <c r="AU363" s="1" t="s">
        <v>549</v>
      </c>
      <c r="AV363" s="1"/>
      <c r="AW363" s="1"/>
      <c r="AX363" s="1" t="s">
        <v>7141</v>
      </c>
      <c r="AY363" s="1" t="s">
        <v>7142</v>
      </c>
      <c r="AZ363" s="1" t="s">
        <v>169</v>
      </c>
      <c r="BA363" s="1" t="s">
        <v>202</v>
      </c>
      <c r="BB363" s="1">
        <v>69.8</v>
      </c>
      <c r="BC363" s="1">
        <v>7.73</v>
      </c>
      <c r="BD363" s="1"/>
      <c r="BE363" s="1"/>
      <c r="BF363" s="1"/>
      <c r="BG363" s="1"/>
      <c r="BH363" s="1"/>
      <c r="BI363" s="1"/>
      <c r="BJ363" s="1" t="s">
        <v>7143</v>
      </c>
      <c r="BK363" s="1" t="s">
        <v>7144</v>
      </c>
      <c r="BL363" s="1" t="s">
        <v>1920</v>
      </c>
      <c r="BM363" s="1" t="s">
        <v>7145</v>
      </c>
      <c r="BN363" s="1">
        <v>61</v>
      </c>
      <c r="BO363" s="1" t="s">
        <v>7146</v>
      </c>
      <c r="BP363" s="1" t="str">
        <f>HYPERLINK("https://nconnect.nicmar.ac.in/storage/profile/ProfilePhoto_P25700311_175346.jpg","Download")</f>
        <v>0</v>
      </c>
      <c r="BQ363" s="3"/>
      <c r="BR363" s="3"/>
    </row>
    <row r="364" spans="1:70">
      <c r="A364" s="1" t="s">
        <v>70</v>
      </c>
      <c r="B364" s="1" t="s">
        <v>1269</v>
      </c>
      <c r="C364" s="1" t="s">
        <v>7147</v>
      </c>
      <c r="D364" s="1" t="s">
        <v>7148</v>
      </c>
      <c r="E364" s="1" t="s">
        <v>7149</v>
      </c>
      <c r="F364" s="1" t="s">
        <v>2024</v>
      </c>
      <c r="G364" s="1" t="s">
        <v>7150</v>
      </c>
      <c r="H364" s="1" t="s">
        <v>7151</v>
      </c>
      <c r="I364" s="1" t="s">
        <v>7152</v>
      </c>
      <c r="J364" s="1">
        <v>9623087386</v>
      </c>
      <c r="K364" s="1" t="s">
        <v>79</v>
      </c>
      <c r="L364" s="1" t="s">
        <v>7153</v>
      </c>
      <c r="M364" s="1" t="s">
        <v>81</v>
      </c>
      <c r="N364" s="1" t="s">
        <v>4981</v>
      </c>
      <c r="O364" s="1"/>
      <c r="P364" s="1" t="s">
        <v>1766</v>
      </c>
      <c r="Q364" s="1" t="s">
        <v>7154</v>
      </c>
      <c r="R364" s="1" t="s">
        <v>7155</v>
      </c>
      <c r="S364" s="1">
        <v>9075184735</v>
      </c>
      <c r="T364" s="1" t="s">
        <v>154</v>
      </c>
      <c r="U364" s="1" t="s">
        <v>7156</v>
      </c>
      <c r="V364" s="1">
        <v>9075184735</v>
      </c>
      <c r="W364" s="1" t="s">
        <v>154</v>
      </c>
      <c r="X364" s="1" t="s">
        <v>7157</v>
      </c>
      <c r="Y364" s="1" t="s">
        <v>191</v>
      </c>
      <c r="Z364" s="1" t="s">
        <v>92</v>
      </c>
      <c r="AA364" s="1" t="s">
        <v>7157</v>
      </c>
      <c r="AB364" s="1" t="s">
        <v>191</v>
      </c>
      <c r="AC364" s="1" t="s">
        <v>92</v>
      </c>
      <c r="AD364" s="1">
        <v>7.82</v>
      </c>
      <c r="AE364" s="1" t="s">
        <v>93</v>
      </c>
      <c r="AF364" s="1" t="s">
        <v>7158</v>
      </c>
      <c r="AG364" s="1" t="s">
        <v>476</v>
      </c>
      <c r="AH364" s="1" t="s">
        <v>96</v>
      </c>
      <c r="AI364" s="1" t="s">
        <v>97</v>
      </c>
      <c r="AJ364" s="1">
        <v>80.8</v>
      </c>
      <c r="AK364" s="1"/>
      <c r="AL364" s="1"/>
      <c r="AM364" s="1"/>
      <c r="AN364" s="1"/>
      <c r="AO364" s="1"/>
      <c r="AP364" s="1"/>
      <c r="AQ364" s="1"/>
      <c r="AR364" s="1" t="s">
        <v>98</v>
      </c>
      <c r="AS364" s="1" t="s">
        <v>7159</v>
      </c>
      <c r="AT364" s="1" t="s">
        <v>636</v>
      </c>
      <c r="AU364" s="1" t="s">
        <v>436</v>
      </c>
      <c r="AV364" s="1">
        <v>92.11</v>
      </c>
      <c r="AW364" s="1"/>
      <c r="AX364" s="1" t="s">
        <v>361</v>
      </c>
      <c r="AY364" s="1" t="s">
        <v>7160</v>
      </c>
      <c r="AZ364" s="1" t="s">
        <v>1407</v>
      </c>
      <c r="BA364" s="1" t="s">
        <v>702</v>
      </c>
      <c r="BB364" s="1">
        <v>72.7</v>
      </c>
      <c r="BC364" s="1">
        <v>8.02</v>
      </c>
      <c r="BD364" s="1"/>
      <c r="BE364" s="1"/>
      <c r="BF364" s="1"/>
      <c r="BG364" s="1"/>
      <c r="BH364" s="1"/>
      <c r="BI364" s="1"/>
      <c r="BJ364" s="1" t="s">
        <v>7161</v>
      </c>
      <c r="BK364" s="1"/>
      <c r="BL364" s="1"/>
      <c r="BM364" s="1" t="s">
        <v>7162</v>
      </c>
      <c r="BN364" s="1">
        <v>165</v>
      </c>
      <c r="BO364" s="1" t="s">
        <v>7163</v>
      </c>
      <c r="BP364" s="1" t="str">
        <f>HYPERLINK("https://nconnect.nicmar.ac.in/storage/profile/ProfilePhoto_P25700312_491872.jpg","Download")</f>
        <v>0</v>
      </c>
      <c r="BQ364" s="3"/>
      <c r="BR364" s="3"/>
    </row>
    <row r="365" spans="1:70">
      <c r="A365" s="1" t="s">
        <v>70</v>
      </c>
      <c r="B365" s="1" t="s">
        <v>1269</v>
      </c>
      <c r="C365" s="1" t="s">
        <v>7164</v>
      </c>
      <c r="D365" s="1" t="s">
        <v>1316</v>
      </c>
      <c r="E365" s="1"/>
      <c r="F365" s="1" t="s">
        <v>7165</v>
      </c>
      <c r="G365" s="1" t="s">
        <v>7166</v>
      </c>
      <c r="H365" s="1" t="s">
        <v>7167</v>
      </c>
      <c r="I365" s="1" t="s">
        <v>7168</v>
      </c>
      <c r="J365" s="1">
        <v>7899628030</v>
      </c>
      <c r="K365" s="1" t="s">
        <v>79</v>
      </c>
      <c r="L365" s="1" t="s">
        <v>7169</v>
      </c>
      <c r="M365" s="1" t="s">
        <v>81</v>
      </c>
      <c r="N365" s="1" t="s">
        <v>5257</v>
      </c>
      <c r="O365" s="1"/>
      <c r="P365" s="1" t="s">
        <v>1278</v>
      </c>
      <c r="Q365" s="1" t="s">
        <v>7170</v>
      </c>
      <c r="R365" s="1" t="s">
        <v>7171</v>
      </c>
      <c r="S365" s="1">
        <v>9980809271</v>
      </c>
      <c r="T365" s="1" t="s">
        <v>154</v>
      </c>
      <c r="U365" s="1" t="s">
        <v>7172</v>
      </c>
      <c r="V365" s="1">
        <v>9980797785</v>
      </c>
      <c r="W365" s="1" t="s">
        <v>651</v>
      </c>
      <c r="X365" s="1" t="s">
        <v>7173</v>
      </c>
      <c r="Y365" s="1" t="s">
        <v>7174</v>
      </c>
      <c r="Z365" s="1" t="s">
        <v>1084</v>
      </c>
      <c r="AA365" s="1" t="s">
        <v>7173</v>
      </c>
      <c r="AB365" s="1" t="s">
        <v>7174</v>
      </c>
      <c r="AC365" s="1" t="s">
        <v>1084</v>
      </c>
      <c r="AD365" s="1">
        <v>8.46</v>
      </c>
      <c r="AE365" s="1" t="s">
        <v>93</v>
      </c>
      <c r="AF365" s="1" t="s">
        <v>7175</v>
      </c>
      <c r="AG365" s="1" t="s">
        <v>5264</v>
      </c>
      <c r="AH365" s="1" t="s">
        <v>96</v>
      </c>
      <c r="AI365" s="1" t="s">
        <v>131</v>
      </c>
      <c r="AJ365" s="1">
        <v>79.8</v>
      </c>
      <c r="AK365" s="1">
        <v>8.4</v>
      </c>
      <c r="AL365" s="1" t="s">
        <v>7176</v>
      </c>
      <c r="AM365" s="1" t="s">
        <v>7177</v>
      </c>
      <c r="AN365" s="1" t="s">
        <v>162</v>
      </c>
      <c r="AO365" s="1" t="s">
        <v>479</v>
      </c>
      <c r="AP365" s="1">
        <v>89.67</v>
      </c>
      <c r="AQ365" s="1">
        <v>0</v>
      </c>
      <c r="AR365" s="1"/>
      <c r="AS365" s="1"/>
      <c r="AT365" s="1"/>
      <c r="AU365" s="1"/>
      <c r="AV365" s="1"/>
      <c r="AW365" s="1"/>
      <c r="AX365" s="1" t="s">
        <v>1088</v>
      </c>
      <c r="AY365" s="1" t="s">
        <v>7178</v>
      </c>
      <c r="AZ365" s="1" t="s">
        <v>225</v>
      </c>
      <c r="BA365" s="1" t="s">
        <v>436</v>
      </c>
      <c r="BB365" s="1">
        <v>71.8</v>
      </c>
      <c r="BC365" s="1">
        <v>7.93</v>
      </c>
      <c r="BD365" s="1"/>
      <c r="BE365" s="1"/>
      <c r="BF365" s="1"/>
      <c r="BG365" s="1"/>
      <c r="BH365" s="1"/>
      <c r="BI365" s="1"/>
      <c r="BJ365" s="1" t="s">
        <v>7179</v>
      </c>
      <c r="BK365" s="1" t="s">
        <v>7180</v>
      </c>
      <c r="BL365" s="1" t="s">
        <v>5705</v>
      </c>
      <c r="BM365" s="1" t="s">
        <v>7181</v>
      </c>
      <c r="BN365" s="1">
        <v>16</v>
      </c>
      <c r="BO365" s="1" t="s">
        <v>7182</v>
      </c>
      <c r="BP365" s="1" t="str">
        <f>HYPERLINK("https://nconnect.nicmar.ac.in/storage/profile/ProfilePhoto_P25700313_351694.jpg","Download")</f>
        <v>0</v>
      </c>
      <c r="BQ365" s="3"/>
      <c r="BR365" s="3"/>
    </row>
    <row r="366" spans="1:70">
      <c r="A366" s="1" t="s">
        <v>70</v>
      </c>
      <c r="B366" s="1" t="s">
        <v>1269</v>
      </c>
      <c r="C366" s="1" t="s">
        <v>7183</v>
      </c>
      <c r="D366" s="1" t="s">
        <v>7184</v>
      </c>
      <c r="E366" s="1" t="s">
        <v>144</v>
      </c>
      <c r="F366" s="1" t="s">
        <v>7185</v>
      </c>
      <c r="G366" s="1" t="s">
        <v>7186</v>
      </c>
      <c r="H366" s="1" t="s">
        <v>7187</v>
      </c>
      <c r="I366" s="1" t="s">
        <v>7188</v>
      </c>
      <c r="J366" s="1">
        <v>9403661274</v>
      </c>
      <c r="K366" s="1" t="s">
        <v>148</v>
      </c>
      <c r="L366" s="1" t="s">
        <v>7189</v>
      </c>
      <c r="M366" s="1" t="s">
        <v>81</v>
      </c>
      <c r="N366" s="1" t="s">
        <v>1418</v>
      </c>
      <c r="O366" s="1"/>
      <c r="P366" s="1" t="s">
        <v>2507</v>
      </c>
      <c r="Q366" s="1" t="s">
        <v>7190</v>
      </c>
      <c r="R366" s="1" t="s">
        <v>144</v>
      </c>
      <c r="S366" s="1">
        <v>9975571256</v>
      </c>
      <c r="T366" s="1" t="s">
        <v>1351</v>
      </c>
      <c r="U366" s="1" t="s">
        <v>1071</v>
      </c>
      <c r="V366" s="1">
        <v>9404684258</v>
      </c>
      <c r="W366" s="1" t="s">
        <v>651</v>
      </c>
      <c r="X366" s="1" t="s">
        <v>7191</v>
      </c>
      <c r="Y366" s="1" t="s">
        <v>191</v>
      </c>
      <c r="Z366" s="1" t="s">
        <v>92</v>
      </c>
      <c r="AA366" s="1" t="s">
        <v>7191</v>
      </c>
      <c r="AB366" s="1" t="s">
        <v>191</v>
      </c>
      <c r="AC366" s="1" t="s">
        <v>92</v>
      </c>
      <c r="AD366" s="1">
        <v>8.41</v>
      </c>
      <c r="AE366" s="1" t="s">
        <v>93</v>
      </c>
      <c r="AF366" s="1" t="s">
        <v>7192</v>
      </c>
      <c r="AG366" s="1" t="s">
        <v>1086</v>
      </c>
      <c r="AH366" s="1" t="s">
        <v>279</v>
      </c>
      <c r="AI366" s="1" t="s">
        <v>479</v>
      </c>
      <c r="AJ366" s="1">
        <v>84.8</v>
      </c>
      <c r="AK366" s="1"/>
      <c r="AL366" s="1"/>
      <c r="AM366" s="1"/>
      <c r="AN366" s="1"/>
      <c r="AO366" s="1"/>
      <c r="AP366" s="1"/>
      <c r="AQ366" s="1"/>
      <c r="AR366" s="1" t="s">
        <v>98</v>
      </c>
      <c r="AS366" s="1" t="s">
        <v>7193</v>
      </c>
      <c r="AT366" s="1" t="s">
        <v>225</v>
      </c>
      <c r="AU366" s="1" t="s">
        <v>2463</v>
      </c>
      <c r="AV366" s="1">
        <v>82.25</v>
      </c>
      <c r="AW366" s="1"/>
      <c r="AX366" s="1" t="s">
        <v>361</v>
      </c>
      <c r="AY366" s="1" t="s">
        <v>7194</v>
      </c>
      <c r="AZ366" s="1" t="s">
        <v>5504</v>
      </c>
      <c r="BA366" s="1" t="s">
        <v>174</v>
      </c>
      <c r="BB366" s="1">
        <v>77.87</v>
      </c>
      <c r="BC366" s="1">
        <v>8.75</v>
      </c>
      <c r="BD366" s="1"/>
      <c r="BE366" s="1"/>
      <c r="BF366" s="1"/>
      <c r="BG366" s="1"/>
      <c r="BH366" s="1"/>
      <c r="BI366" s="1"/>
      <c r="BJ366" s="1" t="s">
        <v>6758</v>
      </c>
      <c r="BK366" s="1"/>
      <c r="BL366" s="1"/>
      <c r="BM366" s="1" t="s">
        <v>7195</v>
      </c>
      <c r="BN366" s="1">
        <v>13</v>
      </c>
      <c r="BO366" s="1" t="s">
        <v>7196</v>
      </c>
      <c r="BP366" s="1" t="str">
        <f>HYPERLINK("https://nconnect.nicmar.ac.in/storage/profile/ProfilePhoto_P25700314_541362.jpg","Download")</f>
        <v>0</v>
      </c>
      <c r="BQ366" s="3"/>
      <c r="BR366" s="3"/>
    </row>
    <row r="367" spans="1:70">
      <c r="A367" s="1" t="s">
        <v>70</v>
      </c>
      <c r="B367" s="1" t="s">
        <v>1269</v>
      </c>
      <c r="C367" s="1" t="s">
        <v>7197</v>
      </c>
      <c r="D367" s="1" t="s">
        <v>7198</v>
      </c>
      <c r="E367" s="1"/>
      <c r="F367" s="1" t="s">
        <v>3342</v>
      </c>
      <c r="G367" s="1" t="s">
        <v>7199</v>
      </c>
      <c r="H367" s="1" t="s">
        <v>7200</v>
      </c>
      <c r="I367" s="1" t="s">
        <v>7201</v>
      </c>
      <c r="J367" s="1">
        <v>9910143216</v>
      </c>
      <c r="K367" s="1" t="s">
        <v>79</v>
      </c>
      <c r="L367" s="1" t="s">
        <v>7202</v>
      </c>
      <c r="M367" s="1" t="s">
        <v>81</v>
      </c>
      <c r="N367" s="1" t="s">
        <v>241</v>
      </c>
      <c r="O367" s="1"/>
      <c r="P367" s="1" t="s">
        <v>1298</v>
      </c>
      <c r="Q367" s="1" t="s">
        <v>7203</v>
      </c>
      <c r="R367" s="1" t="s">
        <v>7204</v>
      </c>
      <c r="S367" s="1">
        <v>7838414073</v>
      </c>
      <c r="T367" s="1" t="s">
        <v>120</v>
      </c>
      <c r="U367" s="1" t="s">
        <v>7205</v>
      </c>
      <c r="V367" s="1">
        <v>9582989699</v>
      </c>
      <c r="W367" s="1" t="s">
        <v>120</v>
      </c>
      <c r="X367" s="1" t="s">
        <v>7206</v>
      </c>
      <c r="Y367" s="1" t="s">
        <v>7207</v>
      </c>
      <c r="Z367" s="1" t="s">
        <v>722</v>
      </c>
      <c r="AA367" s="1" t="s">
        <v>7206</v>
      </c>
      <c r="AB367" s="1" t="s">
        <v>7207</v>
      </c>
      <c r="AC367" s="1" t="s">
        <v>722</v>
      </c>
      <c r="AD367" s="1">
        <v>8.95</v>
      </c>
      <c r="AE367" s="1" t="s">
        <v>93</v>
      </c>
      <c r="AF367" s="1" t="s">
        <v>7208</v>
      </c>
      <c r="AG367" s="1" t="s">
        <v>7209</v>
      </c>
      <c r="AH367" s="1" t="s">
        <v>131</v>
      </c>
      <c r="AI367" s="1" t="s">
        <v>527</v>
      </c>
      <c r="AJ367" s="1">
        <v>74.1</v>
      </c>
      <c r="AK367" s="1">
        <v>7.8</v>
      </c>
      <c r="AL367" s="1" t="s">
        <v>7208</v>
      </c>
      <c r="AM367" s="1" t="s">
        <v>7210</v>
      </c>
      <c r="AN367" s="1" t="s">
        <v>479</v>
      </c>
      <c r="AO367" s="1" t="s">
        <v>166</v>
      </c>
      <c r="AP367" s="1">
        <v>73</v>
      </c>
      <c r="AQ367" s="1"/>
      <c r="AR367" s="1"/>
      <c r="AS367" s="1"/>
      <c r="AT367" s="1"/>
      <c r="AU367" s="1"/>
      <c r="AV367" s="1"/>
      <c r="AW367" s="1"/>
      <c r="AX367" s="1" t="s">
        <v>7211</v>
      </c>
      <c r="AY367" s="1" t="s">
        <v>7212</v>
      </c>
      <c r="AZ367" s="1" t="s">
        <v>636</v>
      </c>
      <c r="BA367" s="1" t="s">
        <v>284</v>
      </c>
      <c r="BB367" s="1">
        <v>84.4</v>
      </c>
      <c r="BC367" s="1"/>
      <c r="BD367" s="1"/>
      <c r="BE367" s="1"/>
      <c r="BF367" s="1"/>
      <c r="BG367" s="1"/>
      <c r="BH367" s="1"/>
      <c r="BI367" s="1"/>
      <c r="BJ367" s="1" t="s">
        <v>7213</v>
      </c>
      <c r="BK367" s="1"/>
      <c r="BL367" s="1"/>
      <c r="BM367" s="1" t="s">
        <v>7214</v>
      </c>
      <c r="BN367" s="1">
        <v>17</v>
      </c>
      <c r="BO367" s="1" t="s">
        <v>7215</v>
      </c>
      <c r="BP367" s="1" t="str">
        <f>HYPERLINK("https://nconnect.nicmar.ac.in/storage/profile/ProfilePhoto_P25700316_645173.jpg","Download")</f>
        <v>0</v>
      </c>
      <c r="BQ367" s="3"/>
      <c r="BR367" s="3"/>
    </row>
    <row r="368" spans="1:70">
      <c r="A368" s="1" t="s">
        <v>70</v>
      </c>
      <c r="B368" s="1" t="s">
        <v>1269</v>
      </c>
      <c r="C368" s="1" t="s">
        <v>7216</v>
      </c>
      <c r="D368" s="1" t="s">
        <v>6117</v>
      </c>
      <c r="E368" s="1"/>
      <c r="F368" s="1" t="s">
        <v>7217</v>
      </c>
      <c r="G368" s="1" t="s">
        <v>7218</v>
      </c>
      <c r="H368" s="1" t="s">
        <v>7219</v>
      </c>
      <c r="I368" s="1" t="s">
        <v>7220</v>
      </c>
      <c r="J368" s="1">
        <v>7720858074</v>
      </c>
      <c r="K368" s="1" t="s">
        <v>148</v>
      </c>
      <c r="L368" s="1" t="s">
        <v>7221</v>
      </c>
      <c r="M368" s="1" t="s">
        <v>81</v>
      </c>
      <c r="N368" s="1" t="s">
        <v>7222</v>
      </c>
      <c r="O368" s="1" t="s">
        <v>152</v>
      </c>
      <c r="P368" s="1" t="s">
        <v>214</v>
      </c>
      <c r="Q368" s="1" t="s">
        <v>7223</v>
      </c>
      <c r="R368" s="1" t="s">
        <v>513</v>
      </c>
      <c r="S368" s="1">
        <v>9422135541</v>
      </c>
      <c r="T368" s="1" t="s">
        <v>4240</v>
      </c>
      <c r="U368" s="1" t="s">
        <v>7224</v>
      </c>
      <c r="V368" s="1">
        <v>9422140540</v>
      </c>
      <c r="W368" s="1" t="s">
        <v>156</v>
      </c>
      <c r="X368" s="1" t="s">
        <v>7225</v>
      </c>
      <c r="Y368" s="1" t="s">
        <v>1424</v>
      </c>
      <c r="Z368" s="1" t="s">
        <v>92</v>
      </c>
      <c r="AA368" s="1" t="s">
        <v>7225</v>
      </c>
      <c r="AB368" s="1" t="s">
        <v>1424</v>
      </c>
      <c r="AC368" s="1" t="s">
        <v>92</v>
      </c>
      <c r="AD368" s="1">
        <v>8.09</v>
      </c>
      <c r="AE368" s="1" t="s">
        <v>93</v>
      </c>
      <c r="AF368" s="1" t="s">
        <v>7226</v>
      </c>
      <c r="AG368" s="1" t="s">
        <v>476</v>
      </c>
      <c r="AH368" s="1" t="s">
        <v>161</v>
      </c>
      <c r="AI368" s="1" t="s">
        <v>456</v>
      </c>
      <c r="AJ368" s="1">
        <v>71.6</v>
      </c>
      <c r="AK368" s="1"/>
      <c r="AL368" s="1" t="s">
        <v>7227</v>
      </c>
      <c r="AM368" s="1" t="s">
        <v>613</v>
      </c>
      <c r="AN368" s="1" t="s">
        <v>165</v>
      </c>
      <c r="AO368" s="1" t="s">
        <v>281</v>
      </c>
      <c r="AP368" s="1">
        <v>85</v>
      </c>
      <c r="AQ368" s="1"/>
      <c r="AR368" s="1" t="s">
        <v>7228</v>
      </c>
      <c r="AS368" s="1" t="s">
        <v>7229</v>
      </c>
      <c r="AT368" s="1" t="s">
        <v>101</v>
      </c>
      <c r="AU368" s="1" t="s">
        <v>308</v>
      </c>
      <c r="AV368" s="1">
        <v>54.85</v>
      </c>
      <c r="AW368" s="1"/>
      <c r="AX368" s="1" t="s">
        <v>1853</v>
      </c>
      <c r="AY368" s="1" t="s">
        <v>7230</v>
      </c>
      <c r="AZ368" s="1" t="s">
        <v>433</v>
      </c>
      <c r="BA368" s="1" t="s">
        <v>202</v>
      </c>
      <c r="BB368" s="1">
        <v>66.4</v>
      </c>
      <c r="BC368" s="1">
        <v>7.21</v>
      </c>
      <c r="BD368" s="1"/>
      <c r="BE368" s="1"/>
      <c r="BF368" s="1"/>
      <c r="BG368" s="1"/>
      <c r="BH368" s="1"/>
      <c r="BI368" s="1"/>
      <c r="BJ368" s="1" t="s">
        <v>7231</v>
      </c>
      <c r="BK368" s="1"/>
      <c r="BL368" s="1"/>
      <c r="BM368" s="1" t="s">
        <v>7232</v>
      </c>
      <c r="BN368" s="1">
        <v>33</v>
      </c>
      <c r="BO368" s="1"/>
      <c r="BP368" s="1" t="str">
        <f>HYPERLINK("https://nconnect.nicmar.ac.in/storage/profile/ProfilePhoto_P25700317_381597.jpg","Download")</f>
        <v>0</v>
      </c>
      <c r="BQ368" s="3"/>
      <c r="BR368" s="3"/>
    </row>
    <row r="369" spans="1:70">
      <c r="A369" s="1" t="s">
        <v>70</v>
      </c>
      <c r="B369" s="1" t="s">
        <v>1269</v>
      </c>
      <c r="C369" s="1" t="s">
        <v>7233</v>
      </c>
      <c r="D369" s="1" t="s">
        <v>7234</v>
      </c>
      <c r="E369" s="1" t="s">
        <v>7235</v>
      </c>
      <c r="F369" s="1" t="s">
        <v>7236</v>
      </c>
      <c r="G369" s="1" t="s">
        <v>7237</v>
      </c>
      <c r="H369" s="1" t="s">
        <v>7238</v>
      </c>
      <c r="I369" s="1" t="s">
        <v>7239</v>
      </c>
      <c r="J369" s="1">
        <v>9607229977</v>
      </c>
      <c r="K369" s="1" t="s">
        <v>79</v>
      </c>
      <c r="L369" s="1" t="s">
        <v>7240</v>
      </c>
      <c r="M369" s="1" t="s">
        <v>81</v>
      </c>
      <c r="N369" s="1" t="s">
        <v>860</v>
      </c>
      <c r="O369" s="1" t="s">
        <v>7241</v>
      </c>
      <c r="P369" s="1" t="s">
        <v>117</v>
      </c>
      <c r="Q369" s="1" t="s">
        <v>7242</v>
      </c>
      <c r="R369" s="1" t="s">
        <v>7243</v>
      </c>
      <c r="S369" s="1">
        <v>9420239215</v>
      </c>
      <c r="T369" s="1" t="s">
        <v>154</v>
      </c>
      <c r="U369" s="1" t="s">
        <v>7244</v>
      </c>
      <c r="V369" s="1">
        <v>9403005017</v>
      </c>
      <c r="W369" s="1" t="s">
        <v>7245</v>
      </c>
      <c r="X369" s="1" t="s">
        <v>7246</v>
      </c>
      <c r="Y369" s="1" t="s">
        <v>219</v>
      </c>
      <c r="Z369" s="1" t="s">
        <v>92</v>
      </c>
      <c r="AA369" s="1" t="s">
        <v>7247</v>
      </c>
      <c r="AB369" s="1" t="s">
        <v>191</v>
      </c>
      <c r="AC369" s="1" t="s">
        <v>92</v>
      </c>
      <c r="AD369" s="1">
        <v>7.71</v>
      </c>
      <c r="AE369" s="1" t="s">
        <v>93</v>
      </c>
      <c r="AF369" s="1" t="s">
        <v>7248</v>
      </c>
      <c r="AG369" s="1" t="s">
        <v>6650</v>
      </c>
      <c r="AH369" s="1" t="s">
        <v>128</v>
      </c>
      <c r="AI369" s="1" t="s">
        <v>101</v>
      </c>
      <c r="AJ369" s="1">
        <v>79.2</v>
      </c>
      <c r="AK369" s="1"/>
      <c r="AL369" s="1"/>
      <c r="AM369" s="1"/>
      <c r="AN369" s="1"/>
      <c r="AO369" s="1"/>
      <c r="AP369" s="1"/>
      <c r="AQ369" s="1"/>
      <c r="AR369" s="1" t="s">
        <v>250</v>
      </c>
      <c r="AS369" s="1" t="s">
        <v>7249</v>
      </c>
      <c r="AT369" s="1" t="s">
        <v>636</v>
      </c>
      <c r="AU369" s="1" t="s">
        <v>1051</v>
      </c>
      <c r="AV369" s="1">
        <v>92.26</v>
      </c>
      <c r="AW369" s="1"/>
      <c r="AX369" s="1" t="s">
        <v>361</v>
      </c>
      <c r="AY369" s="1" t="s">
        <v>7250</v>
      </c>
      <c r="AZ369" s="1" t="s">
        <v>897</v>
      </c>
      <c r="BA369" s="1" t="s">
        <v>202</v>
      </c>
      <c r="BB369" s="1">
        <v>74.6</v>
      </c>
      <c r="BC369" s="1">
        <v>8.3</v>
      </c>
      <c r="BD369" s="1"/>
      <c r="BE369" s="1"/>
      <c r="BF369" s="1"/>
      <c r="BG369" s="1"/>
      <c r="BH369" s="1"/>
      <c r="BI369" s="1"/>
      <c r="BJ369" s="1" t="s">
        <v>7251</v>
      </c>
      <c r="BK369" s="1"/>
      <c r="BL369" s="1"/>
      <c r="BM369" s="1" t="s">
        <v>7252</v>
      </c>
      <c r="BN369" s="1">
        <v>38</v>
      </c>
      <c r="BO369" s="1" t="s">
        <v>7253</v>
      </c>
      <c r="BP369" s="1" t="str">
        <f>HYPERLINK("https://nconnect.nicmar.ac.in/storage/profile/ProfilePhoto_P25700318_763418.jpg","Download")</f>
        <v>0</v>
      </c>
      <c r="BQ369" s="3"/>
      <c r="BR369" s="3"/>
    </row>
    <row r="370" spans="1:70">
      <c r="A370" s="1" t="s">
        <v>70</v>
      </c>
      <c r="B370" s="1" t="s">
        <v>1269</v>
      </c>
      <c r="C370" s="1" t="s">
        <v>7254</v>
      </c>
      <c r="D370" s="1" t="s">
        <v>2696</v>
      </c>
      <c r="E370" s="1"/>
      <c r="F370" s="1" t="s">
        <v>7255</v>
      </c>
      <c r="G370" s="1" t="s">
        <v>7256</v>
      </c>
      <c r="H370" s="1" t="s">
        <v>7257</v>
      </c>
      <c r="I370" s="1" t="s">
        <v>7258</v>
      </c>
      <c r="J370" s="1">
        <v>8390284585</v>
      </c>
      <c r="K370" s="1" t="s">
        <v>79</v>
      </c>
      <c r="L370" s="1" t="s">
        <v>7259</v>
      </c>
      <c r="M370" s="1" t="s">
        <v>81</v>
      </c>
      <c r="N370" s="1" t="s">
        <v>7260</v>
      </c>
      <c r="O370" s="1"/>
      <c r="P370" s="1" t="s">
        <v>1298</v>
      </c>
      <c r="Q370" s="1" t="s">
        <v>7261</v>
      </c>
      <c r="R370" s="1" t="s">
        <v>7262</v>
      </c>
      <c r="S370" s="1">
        <v>9765376109</v>
      </c>
      <c r="T370" s="1" t="s">
        <v>120</v>
      </c>
      <c r="U370" s="1" t="s">
        <v>7263</v>
      </c>
      <c r="V370" s="1">
        <v>9823356378</v>
      </c>
      <c r="W370" s="1" t="s">
        <v>156</v>
      </c>
      <c r="X370" s="1" t="s">
        <v>7264</v>
      </c>
      <c r="Y370" s="1" t="s">
        <v>523</v>
      </c>
      <c r="Z370" s="1" t="s">
        <v>92</v>
      </c>
      <c r="AA370" s="1" t="s">
        <v>7265</v>
      </c>
      <c r="AB370" s="1" t="s">
        <v>7266</v>
      </c>
      <c r="AC370" s="1" t="s">
        <v>500</v>
      </c>
      <c r="AD370" s="1">
        <v>7.68</v>
      </c>
      <c r="AE370" s="1" t="s">
        <v>93</v>
      </c>
      <c r="AF370" s="1" t="s">
        <v>7267</v>
      </c>
      <c r="AG370" s="1" t="s">
        <v>7268</v>
      </c>
      <c r="AH370" s="1" t="s">
        <v>161</v>
      </c>
      <c r="AI370" s="1" t="s">
        <v>527</v>
      </c>
      <c r="AJ370" s="1">
        <v>74.67</v>
      </c>
      <c r="AK370" s="1"/>
      <c r="AL370" s="1" t="s">
        <v>7269</v>
      </c>
      <c r="AM370" s="1" t="s">
        <v>7268</v>
      </c>
      <c r="AN370" s="1" t="s">
        <v>165</v>
      </c>
      <c r="AO370" s="1" t="s">
        <v>1307</v>
      </c>
      <c r="AP370" s="1">
        <v>65.33</v>
      </c>
      <c r="AQ370" s="1"/>
      <c r="AR370" s="1"/>
      <c r="AS370" s="1"/>
      <c r="AT370" s="1"/>
      <c r="AU370" s="1"/>
      <c r="AV370" s="1"/>
      <c r="AW370" s="1"/>
      <c r="AX370" s="1" t="s">
        <v>7270</v>
      </c>
      <c r="AY370" s="1" t="s">
        <v>7271</v>
      </c>
      <c r="AZ370" s="1" t="s">
        <v>636</v>
      </c>
      <c r="BA370" s="1" t="s">
        <v>874</v>
      </c>
      <c r="BB370" s="1">
        <v>60.6</v>
      </c>
      <c r="BC370" s="1"/>
      <c r="BD370" s="1"/>
      <c r="BE370" s="1"/>
      <c r="BF370" s="1"/>
      <c r="BG370" s="1"/>
      <c r="BH370" s="1"/>
      <c r="BI370" s="1"/>
      <c r="BJ370" s="1" t="s">
        <v>7272</v>
      </c>
      <c r="BK370" s="1" t="s">
        <v>7273</v>
      </c>
      <c r="BL370" s="1" t="s">
        <v>5645</v>
      </c>
      <c r="BM370" s="1" t="s">
        <v>7274</v>
      </c>
      <c r="BN370" s="1">
        <v>9</v>
      </c>
      <c r="BO370" s="1" t="s">
        <v>7275</v>
      </c>
      <c r="BP370" s="1" t="str">
        <f>HYPERLINK("https://nconnect.nicmar.ac.in/storage/profile/ProfilePhoto_P25700320_432967.jpg","Download")</f>
        <v>0</v>
      </c>
      <c r="BQ370" s="3"/>
      <c r="BR370" s="3"/>
    </row>
    <row r="371" spans="1:70">
      <c r="A371" s="1" t="s">
        <v>70</v>
      </c>
      <c r="B371" s="1" t="s">
        <v>1269</v>
      </c>
      <c r="C371" s="1" t="s">
        <v>7276</v>
      </c>
      <c r="D371" s="1" t="s">
        <v>7277</v>
      </c>
      <c r="E371" s="1"/>
      <c r="F371" s="1" t="s">
        <v>7278</v>
      </c>
      <c r="G371" s="1" t="s">
        <v>7279</v>
      </c>
      <c r="H371" s="1" t="s">
        <v>7280</v>
      </c>
      <c r="I371" s="1" t="s">
        <v>7281</v>
      </c>
      <c r="J371" s="1">
        <v>7838940331</v>
      </c>
      <c r="K371" s="1" t="s">
        <v>79</v>
      </c>
      <c r="L371" s="1" t="s">
        <v>7282</v>
      </c>
      <c r="M371" s="1" t="s">
        <v>81</v>
      </c>
      <c r="N371" s="1" t="s">
        <v>7283</v>
      </c>
      <c r="O371" s="1"/>
      <c r="P371" s="1" t="s">
        <v>1766</v>
      </c>
      <c r="Q371" s="1" t="s">
        <v>7284</v>
      </c>
      <c r="R371" s="1" t="s">
        <v>7285</v>
      </c>
      <c r="S371" s="1">
        <v>9650036051</v>
      </c>
      <c r="T371" s="1" t="s">
        <v>7286</v>
      </c>
      <c r="U371" s="1" t="s">
        <v>7287</v>
      </c>
      <c r="V371" s="1">
        <v>9650036051</v>
      </c>
      <c r="W371" s="1" t="s">
        <v>156</v>
      </c>
      <c r="X371" s="1" t="s">
        <v>7288</v>
      </c>
      <c r="Y371" s="1" t="s">
        <v>191</v>
      </c>
      <c r="Z371" s="1" t="s">
        <v>92</v>
      </c>
      <c r="AA371" s="1" t="s">
        <v>7289</v>
      </c>
      <c r="AB371" s="1" t="s">
        <v>2550</v>
      </c>
      <c r="AC371" s="1" t="s">
        <v>722</v>
      </c>
      <c r="AD371" s="1">
        <v>8.07</v>
      </c>
      <c r="AE371" s="1" t="s">
        <v>93</v>
      </c>
      <c r="AF371" s="1" t="s">
        <v>7290</v>
      </c>
      <c r="AG371" s="1" t="s">
        <v>7291</v>
      </c>
      <c r="AH371" s="1" t="s">
        <v>1307</v>
      </c>
      <c r="AI371" s="1" t="s">
        <v>308</v>
      </c>
      <c r="AJ371" s="1">
        <v>93.4</v>
      </c>
      <c r="AK371" s="1">
        <v>0</v>
      </c>
      <c r="AL371" s="1" t="s">
        <v>7290</v>
      </c>
      <c r="AM371" s="1" t="s">
        <v>7291</v>
      </c>
      <c r="AN371" s="1" t="s">
        <v>1834</v>
      </c>
      <c r="AO371" s="1" t="s">
        <v>506</v>
      </c>
      <c r="AP371" s="1">
        <v>85.6</v>
      </c>
      <c r="AQ371" s="1">
        <v>0</v>
      </c>
      <c r="AR371" s="1"/>
      <c r="AS371" s="1"/>
      <c r="AT371" s="1"/>
      <c r="AU371" s="1"/>
      <c r="AV371" s="1"/>
      <c r="AW371" s="1"/>
      <c r="AX371" s="1" t="s">
        <v>7292</v>
      </c>
      <c r="AY371" s="1" t="s">
        <v>7293</v>
      </c>
      <c r="AZ371" s="1" t="s">
        <v>897</v>
      </c>
      <c r="BA371" s="1" t="s">
        <v>1361</v>
      </c>
      <c r="BB371" s="1">
        <v>87.9</v>
      </c>
      <c r="BC371" s="1">
        <v>8.79</v>
      </c>
      <c r="BD371" s="1"/>
      <c r="BE371" s="1"/>
      <c r="BF371" s="1"/>
      <c r="BG371" s="1"/>
      <c r="BH371" s="1"/>
      <c r="BI371" s="1"/>
      <c r="BJ371" s="1" t="s">
        <v>255</v>
      </c>
      <c r="BK371" s="1"/>
      <c r="BL371" s="1"/>
      <c r="BM371" s="1" t="s">
        <v>7294</v>
      </c>
      <c r="BN371" s="1">
        <v>60</v>
      </c>
      <c r="BO371" s="1" t="s">
        <v>7295</v>
      </c>
      <c r="BP371" s="1" t="str">
        <f>HYPERLINK("https://nconnect.nicmar.ac.in/storage/profile/ProfilePhoto_P25700321_248693.jpg","Download")</f>
        <v>0</v>
      </c>
      <c r="BQ371" s="3"/>
      <c r="BR371" s="3"/>
    </row>
    <row r="372" spans="1:70">
      <c r="A372" s="1" t="s">
        <v>70</v>
      </c>
      <c r="B372" s="1" t="s">
        <v>1269</v>
      </c>
      <c r="C372" s="1" t="s">
        <v>7296</v>
      </c>
      <c r="D372" s="1" t="s">
        <v>7297</v>
      </c>
      <c r="E372" s="1"/>
      <c r="F372" s="1" t="s">
        <v>7298</v>
      </c>
      <c r="G372" s="1" t="s">
        <v>7299</v>
      </c>
      <c r="H372" s="1" t="s">
        <v>7300</v>
      </c>
      <c r="I372" s="1" t="s">
        <v>7301</v>
      </c>
      <c r="J372" s="1">
        <v>8848590645</v>
      </c>
      <c r="K372" s="1" t="s">
        <v>79</v>
      </c>
      <c r="L372" s="1" t="s">
        <v>7302</v>
      </c>
      <c r="M372" s="1" t="s">
        <v>81</v>
      </c>
      <c r="N372" s="1" t="s">
        <v>7303</v>
      </c>
      <c r="O372" s="1"/>
      <c r="P372" s="1" t="s">
        <v>1278</v>
      </c>
      <c r="Q372" s="1" t="s">
        <v>7304</v>
      </c>
      <c r="R372" s="1" t="s">
        <v>7305</v>
      </c>
      <c r="S372" s="1">
        <v>9495679411</v>
      </c>
      <c r="T372" s="1" t="s">
        <v>7306</v>
      </c>
      <c r="U372" s="1" t="s">
        <v>7307</v>
      </c>
      <c r="V372" s="1">
        <v>8281733209</v>
      </c>
      <c r="W372" s="1" t="s">
        <v>7306</v>
      </c>
      <c r="X372" s="1" t="s">
        <v>7308</v>
      </c>
      <c r="Y372" s="1" t="s">
        <v>3998</v>
      </c>
      <c r="Z372" s="1" t="s">
        <v>125</v>
      </c>
      <c r="AA372" s="1" t="s">
        <v>7308</v>
      </c>
      <c r="AB372" s="1" t="s">
        <v>3998</v>
      </c>
      <c r="AC372" s="1" t="s">
        <v>125</v>
      </c>
      <c r="AD372" s="1">
        <v>8.64</v>
      </c>
      <c r="AE372" s="1" t="s">
        <v>93</v>
      </c>
      <c r="AF372" s="1" t="s">
        <v>7309</v>
      </c>
      <c r="AG372" s="1" t="s">
        <v>7310</v>
      </c>
      <c r="AH372" s="1" t="s">
        <v>678</v>
      </c>
      <c r="AI372" s="1" t="s">
        <v>166</v>
      </c>
      <c r="AJ372" s="1">
        <v>92.6</v>
      </c>
      <c r="AK372" s="1"/>
      <c r="AL372" s="1" t="s">
        <v>7309</v>
      </c>
      <c r="AM372" s="1" t="s">
        <v>7310</v>
      </c>
      <c r="AN372" s="1" t="s">
        <v>1065</v>
      </c>
      <c r="AO372" s="1" t="s">
        <v>173</v>
      </c>
      <c r="AP372" s="1">
        <v>90.2</v>
      </c>
      <c r="AQ372" s="1"/>
      <c r="AR372" s="1"/>
      <c r="AS372" s="1"/>
      <c r="AT372" s="1"/>
      <c r="AU372" s="1"/>
      <c r="AV372" s="1"/>
      <c r="AW372" s="1"/>
      <c r="AX372" s="1" t="s">
        <v>132</v>
      </c>
      <c r="AY372" s="1" t="s">
        <v>7311</v>
      </c>
      <c r="AZ372" s="1" t="s">
        <v>1407</v>
      </c>
      <c r="BA372" s="1" t="s">
        <v>1408</v>
      </c>
      <c r="BB372" s="1">
        <v>71.4</v>
      </c>
      <c r="BC372" s="1"/>
      <c r="BD372" s="1"/>
      <c r="BE372" s="1"/>
      <c r="BF372" s="1"/>
      <c r="BG372" s="1"/>
      <c r="BH372" s="1"/>
      <c r="BI372" s="1"/>
      <c r="BJ372" s="1" t="s">
        <v>7312</v>
      </c>
      <c r="BK372" s="1"/>
      <c r="BL372" s="1"/>
      <c r="BM372" s="1" t="s">
        <v>7313</v>
      </c>
      <c r="BN372" s="1">
        <v>9</v>
      </c>
      <c r="BO372" s="1"/>
      <c r="BP372" s="1" t="str">
        <f>HYPERLINK("https://nconnect.nicmar.ac.in/storage/profile/ProfilePhoto_P25700322_174659.jpg","Download")</f>
        <v>0</v>
      </c>
      <c r="BQ372" s="3"/>
      <c r="BR372" s="3"/>
    </row>
    <row r="373" spans="1:70">
      <c r="A373" s="1" t="s">
        <v>70</v>
      </c>
      <c r="B373" s="1" t="s">
        <v>1269</v>
      </c>
      <c r="C373" s="1" t="s">
        <v>7314</v>
      </c>
      <c r="D373" s="1" t="s">
        <v>7315</v>
      </c>
      <c r="E373" s="1"/>
      <c r="F373" s="1" t="s">
        <v>7316</v>
      </c>
      <c r="G373" s="1" t="s">
        <v>7317</v>
      </c>
      <c r="H373" s="1" t="s">
        <v>7318</v>
      </c>
      <c r="I373" s="1" t="s">
        <v>7319</v>
      </c>
      <c r="J373" s="1">
        <v>7385659046</v>
      </c>
      <c r="K373" s="1" t="s">
        <v>79</v>
      </c>
      <c r="L373" s="1" t="s">
        <v>7320</v>
      </c>
      <c r="M373" s="1" t="s">
        <v>81</v>
      </c>
      <c r="N373" s="1" t="s">
        <v>7321</v>
      </c>
      <c r="O373" s="1"/>
      <c r="P373" s="1" t="s">
        <v>1323</v>
      </c>
      <c r="Q373" s="1" t="s">
        <v>7322</v>
      </c>
      <c r="R373" s="1" t="s">
        <v>7323</v>
      </c>
      <c r="S373" s="1">
        <v>7030882121</v>
      </c>
      <c r="T373" s="1" t="s">
        <v>7324</v>
      </c>
      <c r="U373" s="1" t="s">
        <v>7325</v>
      </c>
      <c r="V373" s="1">
        <v>9970767523</v>
      </c>
      <c r="W373" s="1" t="s">
        <v>122</v>
      </c>
      <c r="X373" s="1" t="s">
        <v>7326</v>
      </c>
      <c r="Y373" s="1" t="s">
        <v>158</v>
      </c>
      <c r="Z373" s="1" t="s">
        <v>92</v>
      </c>
      <c r="AA373" s="1" t="s">
        <v>7326</v>
      </c>
      <c r="AB373" s="1" t="s">
        <v>158</v>
      </c>
      <c r="AC373" s="1" t="s">
        <v>92</v>
      </c>
      <c r="AD373" s="1">
        <v>7.34</v>
      </c>
      <c r="AE373" s="1" t="s">
        <v>93</v>
      </c>
      <c r="AF373" s="1" t="s">
        <v>5502</v>
      </c>
      <c r="AG373" s="1" t="s">
        <v>7327</v>
      </c>
      <c r="AH373" s="1" t="s">
        <v>503</v>
      </c>
      <c r="AI373" s="1" t="s">
        <v>162</v>
      </c>
      <c r="AJ373" s="1">
        <v>80.4</v>
      </c>
      <c r="AK373" s="1"/>
      <c r="AL373" s="1" t="s">
        <v>7328</v>
      </c>
      <c r="AM373" s="1" t="s">
        <v>7327</v>
      </c>
      <c r="AN373" s="1" t="s">
        <v>162</v>
      </c>
      <c r="AO373" s="1" t="s">
        <v>101</v>
      </c>
      <c r="AP373" s="1">
        <v>74.15</v>
      </c>
      <c r="AQ373" s="1"/>
      <c r="AR373" s="1"/>
      <c r="AS373" s="1"/>
      <c r="AT373" s="1"/>
      <c r="AU373" s="1"/>
      <c r="AV373" s="1"/>
      <c r="AW373" s="1"/>
      <c r="AX373" s="1" t="s">
        <v>7329</v>
      </c>
      <c r="AY373" s="1" t="s">
        <v>7330</v>
      </c>
      <c r="AZ373" s="1" t="s">
        <v>310</v>
      </c>
      <c r="BA373" s="1" t="s">
        <v>481</v>
      </c>
      <c r="BB373" s="1">
        <v>81.6</v>
      </c>
      <c r="BC373" s="1">
        <v>8.66</v>
      </c>
      <c r="BD373" s="1"/>
      <c r="BE373" s="1"/>
      <c r="BF373" s="1"/>
      <c r="BG373" s="1"/>
      <c r="BH373" s="1"/>
      <c r="BI373" s="1"/>
      <c r="BJ373" s="1" t="s">
        <v>364</v>
      </c>
      <c r="BK373" s="1"/>
      <c r="BL373" s="1"/>
      <c r="BM373" s="1" t="s">
        <v>7331</v>
      </c>
      <c r="BN373" s="1">
        <v>14</v>
      </c>
      <c r="BO373" s="1"/>
      <c r="BP373" s="1" t="str">
        <f>HYPERLINK("https://nconnect.nicmar.ac.in/storage/profile/ProfilePhoto_P25700323_852916.jpg","Download")</f>
        <v>0</v>
      </c>
      <c r="BQ373" s="3"/>
      <c r="BR373" s="3"/>
    </row>
    <row r="374" spans="1:70">
      <c r="A374" s="1" t="s">
        <v>70</v>
      </c>
      <c r="B374" s="1" t="s">
        <v>1269</v>
      </c>
      <c r="C374" s="1" t="s">
        <v>7332</v>
      </c>
      <c r="D374" s="1" t="s">
        <v>7333</v>
      </c>
      <c r="E374" s="1"/>
      <c r="F374" s="1" t="s">
        <v>6545</v>
      </c>
      <c r="G374" s="1" t="s">
        <v>7334</v>
      </c>
      <c r="H374" s="1" t="s">
        <v>7335</v>
      </c>
      <c r="I374" s="1" t="s">
        <v>7336</v>
      </c>
      <c r="J374" s="1">
        <v>9720745458</v>
      </c>
      <c r="K374" s="1" t="s">
        <v>79</v>
      </c>
      <c r="L374" s="1" t="s">
        <v>7337</v>
      </c>
      <c r="M374" s="1" t="s">
        <v>81</v>
      </c>
      <c r="N374" s="1" t="s">
        <v>350</v>
      </c>
      <c r="O374" s="1"/>
      <c r="P374" s="1" t="s">
        <v>1323</v>
      </c>
      <c r="Q374" s="1" t="s">
        <v>7338</v>
      </c>
      <c r="R374" s="1" t="s">
        <v>7339</v>
      </c>
      <c r="S374" s="1">
        <v>9719832735</v>
      </c>
      <c r="T374" s="1" t="s">
        <v>154</v>
      </c>
      <c r="U374" s="1" t="s">
        <v>7340</v>
      </c>
      <c r="V374" s="1">
        <v>8006914895</v>
      </c>
      <c r="W374" s="1" t="s">
        <v>89</v>
      </c>
      <c r="X374" s="1" t="s">
        <v>7341</v>
      </c>
      <c r="Y374" s="1" t="s">
        <v>1663</v>
      </c>
      <c r="Z374" s="1" t="s">
        <v>1355</v>
      </c>
      <c r="AA374" s="1" t="s">
        <v>7341</v>
      </c>
      <c r="AB374" s="1" t="s">
        <v>1663</v>
      </c>
      <c r="AC374" s="1" t="s">
        <v>1355</v>
      </c>
      <c r="AD374" s="1">
        <v>8.04</v>
      </c>
      <c r="AE374" s="1" t="s">
        <v>93</v>
      </c>
      <c r="AF374" s="1" t="s">
        <v>7342</v>
      </c>
      <c r="AG374" s="1" t="s">
        <v>7343</v>
      </c>
      <c r="AH374" s="1" t="s">
        <v>678</v>
      </c>
      <c r="AI374" s="1" t="s">
        <v>166</v>
      </c>
      <c r="AJ374" s="1">
        <v>76.4</v>
      </c>
      <c r="AK374" s="1"/>
      <c r="AL374" s="1" t="s">
        <v>7344</v>
      </c>
      <c r="AM374" s="1" t="s">
        <v>7343</v>
      </c>
      <c r="AN374" s="1" t="s">
        <v>1065</v>
      </c>
      <c r="AO374" s="1" t="s">
        <v>173</v>
      </c>
      <c r="AP374" s="1">
        <v>75</v>
      </c>
      <c r="AQ374" s="1"/>
      <c r="AR374" s="1"/>
      <c r="AS374" s="1"/>
      <c r="AT374" s="1"/>
      <c r="AU374" s="1"/>
      <c r="AV374" s="1"/>
      <c r="AW374" s="1"/>
      <c r="AX374" s="1" t="s">
        <v>7345</v>
      </c>
      <c r="AY374" s="1" t="s">
        <v>7346</v>
      </c>
      <c r="AZ374" s="1" t="s">
        <v>681</v>
      </c>
      <c r="BA374" s="1" t="s">
        <v>1939</v>
      </c>
      <c r="BB374" s="1">
        <v>73.6</v>
      </c>
      <c r="BC374" s="1">
        <v>7.36</v>
      </c>
      <c r="BD374" s="1"/>
      <c r="BE374" s="1"/>
      <c r="BF374" s="1"/>
      <c r="BG374" s="1"/>
      <c r="BH374" s="1"/>
      <c r="BI374" s="1"/>
      <c r="BJ374" s="1" t="s">
        <v>1383</v>
      </c>
      <c r="BK374" s="1"/>
      <c r="BL374" s="1"/>
      <c r="BM374" s="1" t="s">
        <v>7347</v>
      </c>
      <c r="BN374" s="1">
        <v>16</v>
      </c>
      <c r="BO374" s="1"/>
      <c r="BP374" s="1" t="str">
        <f>HYPERLINK("https://nconnect.nicmar.ac.in/storage/profile/ProfilePhoto_P25700324_649581.jpg","Download")</f>
        <v>0</v>
      </c>
      <c r="BQ374" s="3"/>
      <c r="BR374" s="3"/>
    </row>
    <row r="375" spans="1:70">
      <c r="A375" s="1" t="s">
        <v>70</v>
      </c>
      <c r="B375" s="1" t="s">
        <v>1269</v>
      </c>
      <c r="C375" s="1" t="s">
        <v>7348</v>
      </c>
      <c r="D375" s="1" t="s">
        <v>6489</v>
      </c>
      <c r="E375" s="1" t="s">
        <v>7349</v>
      </c>
      <c r="F375" s="1" t="s">
        <v>7350</v>
      </c>
      <c r="G375" s="1" t="s">
        <v>7351</v>
      </c>
      <c r="H375" s="1" t="s">
        <v>7352</v>
      </c>
      <c r="I375" s="1" t="s">
        <v>7353</v>
      </c>
      <c r="J375" s="1">
        <v>8866685393</v>
      </c>
      <c r="K375" s="1" t="s">
        <v>79</v>
      </c>
      <c r="L375" s="1" t="s">
        <v>7354</v>
      </c>
      <c r="M375" s="1" t="s">
        <v>81</v>
      </c>
      <c r="N375" s="1" t="s">
        <v>7355</v>
      </c>
      <c r="O375" s="1"/>
      <c r="P375" s="1" t="s">
        <v>1323</v>
      </c>
      <c r="Q375" s="1" t="s">
        <v>7356</v>
      </c>
      <c r="R375" s="1" t="s">
        <v>7357</v>
      </c>
      <c r="S375" s="1">
        <v>9879360698</v>
      </c>
      <c r="T375" s="1" t="s">
        <v>7358</v>
      </c>
      <c r="U375" s="1" t="s">
        <v>7359</v>
      </c>
      <c r="V375" s="1">
        <v>7874786501</v>
      </c>
      <c r="W375" s="1" t="s">
        <v>122</v>
      </c>
      <c r="X375" s="1" t="s">
        <v>7360</v>
      </c>
      <c r="Y375" s="1" t="s">
        <v>5894</v>
      </c>
      <c r="Z375" s="1" t="s">
        <v>1468</v>
      </c>
      <c r="AA375" s="1" t="s">
        <v>7360</v>
      </c>
      <c r="AB375" s="1" t="s">
        <v>5894</v>
      </c>
      <c r="AC375" s="1" t="s">
        <v>1468</v>
      </c>
      <c r="AD375" s="1">
        <v>9.02</v>
      </c>
      <c r="AE375" s="1" t="s">
        <v>93</v>
      </c>
      <c r="AF375" s="1" t="s">
        <v>7361</v>
      </c>
      <c r="AG375" s="1" t="s">
        <v>7362</v>
      </c>
      <c r="AH375" s="1" t="s">
        <v>96</v>
      </c>
      <c r="AI375" s="1" t="s">
        <v>97</v>
      </c>
      <c r="AJ375" s="1">
        <v>71.5</v>
      </c>
      <c r="AK375" s="1">
        <v>0</v>
      </c>
      <c r="AL375" s="1" t="s">
        <v>7361</v>
      </c>
      <c r="AM375" s="1" t="s">
        <v>7362</v>
      </c>
      <c r="AN375" s="1" t="s">
        <v>162</v>
      </c>
      <c r="AO375" s="1" t="s">
        <v>195</v>
      </c>
      <c r="AP375" s="1">
        <v>64</v>
      </c>
      <c r="AQ375" s="1">
        <v>0</v>
      </c>
      <c r="AR375" s="1"/>
      <c r="AS375" s="1"/>
      <c r="AT375" s="1"/>
      <c r="AU375" s="1"/>
      <c r="AV375" s="1"/>
      <c r="AW375" s="1"/>
      <c r="AX375" s="1" t="s">
        <v>5997</v>
      </c>
      <c r="AY375" s="1" t="s">
        <v>7363</v>
      </c>
      <c r="AZ375" s="1" t="s">
        <v>383</v>
      </c>
      <c r="BA375" s="1" t="s">
        <v>1131</v>
      </c>
      <c r="BB375" s="1">
        <v>77.8</v>
      </c>
      <c r="BC375" s="1">
        <v>8.28</v>
      </c>
      <c r="BD375" s="1"/>
      <c r="BE375" s="1"/>
      <c r="BF375" s="1"/>
      <c r="BG375" s="1"/>
      <c r="BH375" s="1"/>
      <c r="BI375" s="1"/>
      <c r="BJ375" s="1" t="s">
        <v>7364</v>
      </c>
      <c r="BK375" s="1" t="s">
        <v>7365</v>
      </c>
      <c r="BL375" s="1" t="s">
        <v>7366</v>
      </c>
      <c r="BM375" s="1" t="s">
        <v>7367</v>
      </c>
      <c r="BN375" s="1">
        <v>9</v>
      </c>
      <c r="BO375" s="1" t="s">
        <v>7368</v>
      </c>
      <c r="BP375" s="1" t="str">
        <f>HYPERLINK("https://nconnect.nicmar.ac.in/storage/profile/6a6247e7c603e.png","Download")</f>
        <v>0</v>
      </c>
      <c r="BQ375" s="3"/>
      <c r="BR375" s="3"/>
    </row>
    <row r="376" spans="1:70">
      <c r="A376" s="1" t="s">
        <v>70</v>
      </c>
      <c r="B376" s="1" t="s">
        <v>1269</v>
      </c>
      <c r="C376" s="1" t="s">
        <v>7369</v>
      </c>
      <c r="D376" s="1" t="s">
        <v>7370</v>
      </c>
      <c r="E376" s="1"/>
      <c r="F376" s="1" t="s">
        <v>7371</v>
      </c>
      <c r="G376" s="1" t="s">
        <v>7372</v>
      </c>
      <c r="H376" s="1" t="s">
        <v>7373</v>
      </c>
      <c r="I376" s="1" t="s">
        <v>7374</v>
      </c>
      <c r="J376" s="1">
        <v>8618327899</v>
      </c>
      <c r="K376" s="1" t="s">
        <v>148</v>
      </c>
      <c r="L376" s="1" t="s">
        <v>7375</v>
      </c>
      <c r="M376" s="1" t="s">
        <v>81</v>
      </c>
      <c r="N376" s="1" t="s">
        <v>7376</v>
      </c>
      <c r="O376" s="1"/>
      <c r="P376" s="1" t="s">
        <v>1323</v>
      </c>
      <c r="Q376" s="1" t="s">
        <v>7377</v>
      </c>
      <c r="R376" s="1" t="s">
        <v>7378</v>
      </c>
      <c r="S376" s="1">
        <v>7338431029</v>
      </c>
      <c r="T376" s="1" t="s">
        <v>120</v>
      </c>
      <c r="U376" s="1" t="s">
        <v>7379</v>
      </c>
      <c r="V376" s="1">
        <v>9535545539</v>
      </c>
      <c r="W376" s="1" t="s">
        <v>2397</v>
      </c>
      <c r="X376" s="1" t="s">
        <v>7380</v>
      </c>
      <c r="Y376" s="1" t="s">
        <v>1083</v>
      </c>
      <c r="Z376" s="1" t="s">
        <v>1084</v>
      </c>
      <c r="AA376" s="1" t="s">
        <v>7380</v>
      </c>
      <c r="AB376" s="1" t="s">
        <v>1083</v>
      </c>
      <c r="AC376" s="1" t="s">
        <v>1084</v>
      </c>
      <c r="AD376" s="1">
        <v>8.66</v>
      </c>
      <c r="AE376" s="1" t="s">
        <v>93</v>
      </c>
      <c r="AF376" s="1" t="s">
        <v>7381</v>
      </c>
      <c r="AG376" s="1" t="s">
        <v>7382</v>
      </c>
      <c r="AH376" s="1" t="s">
        <v>166</v>
      </c>
      <c r="AI376" s="1" t="s">
        <v>308</v>
      </c>
      <c r="AJ376" s="1">
        <v>81.9</v>
      </c>
      <c r="AK376" s="1">
        <v>0</v>
      </c>
      <c r="AL376" s="1" t="s">
        <v>5386</v>
      </c>
      <c r="AM376" s="1" t="s">
        <v>2056</v>
      </c>
      <c r="AN376" s="1" t="s">
        <v>310</v>
      </c>
      <c r="AO376" s="1" t="s">
        <v>506</v>
      </c>
      <c r="AP376" s="1">
        <v>91.5</v>
      </c>
      <c r="AQ376" s="1">
        <v>0</v>
      </c>
      <c r="AR376" s="1"/>
      <c r="AS376" s="1"/>
      <c r="AT376" s="1"/>
      <c r="AU376" s="1"/>
      <c r="AV376" s="1"/>
      <c r="AW376" s="1"/>
      <c r="AX376" s="1" t="s">
        <v>7383</v>
      </c>
      <c r="AY376" s="1" t="s">
        <v>7384</v>
      </c>
      <c r="AZ376" s="1" t="s">
        <v>135</v>
      </c>
      <c r="BA376" s="1" t="s">
        <v>1361</v>
      </c>
      <c r="BB376" s="1">
        <v>76.3</v>
      </c>
      <c r="BC376" s="1">
        <v>7.63</v>
      </c>
      <c r="BD376" s="1"/>
      <c r="BE376" s="1"/>
      <c r="BF376" s="1"/>
      <c r="BG376" s="1"/>
      <c r="BH376" s="1"/>
      <c r="BI376" s="1"/>
      <c r="BJ376" s="1" t="s">
        <v>364</v>
      </c>
      <c r="BK376" s="1"/>
      <c r="BL376" s="1"/>
      <c r="BM376" s="1" t="s">
        <v>7385</v>
      </c>
      <c r="BN376" s="1">
        <v>13</v>
      </c>
      <c r="BO376" s="1" t="s">
        <v>5628</v>
      </c>
      <c r="BP376" s="1" t="str">
        <f>HYPERLINK("https://nconnect.nicmar.ac.in/storage/profile/ProfilePhoto_P25700327_437895.jpg","Download")</f>
        <v>0</v>
      </c>
      <c r="BQ376" s="3"/>
      <c r="BR376" s="3"/>
    </row>
    <row r="377" spans="1:70">
      <c r="A377" s="1" t="s">
        <v>70</v>
      </c>
      <c r="B377" s="1" t="s">
        <v>1269</v>
      </c>
      <c r="C377" s="1" t="s">
        <v>7386</v>
      </c>
      <c r="D377" s="1" t="s">
        <v>7387</v>
      </c>
      <c r="E377" s="1" t="s">
        <v>4153</v>
      </c>
      <c r="F377" s="1" t="s">
        <v>144</v>
      </c>
      <c r="G377" s="1" t="s">
        <v>7388</v>
      </c>
      <c r="H377" s="1" t="s">
        <v>7389</v>
      </c>
      <c r="I377" s="1" t="s">
        <v>7390</v>
      </c>
      <c r="J377" s="1">
        <v>9730221414</v>
      </c>
      <c r="K377" s="1" t="s">
        <v>79</v>
      </c>
      <c r="L377" s="1" t="s">
        <v>7391</v>
      </c>
      <c r="M377" s="1" t="s">
        <v>81</v>
      </c>
      <c r="N377" s="1" t="s">
        <v>1418</v>
      </c>
      <c r="O377" s="1"/>
      <c r="P377" s="1" t="s">
        <v>1298</v>
      </c>
      <c r="Q377" s="1" t="s">
        <v>7392</v>
      </c>
      <c r="R377" s="1" t="s">
        <v>7393</v>
      </c>
      <c r="S377" s="1">
        <v>9403846002</v>
      </c>
      <c r="T377" s="1" t="s">
        <v>7394</v>
      </c>
      <c r="U377" s="1" t="s">
        <v>7395</v>
      </c>
      <c r="V377" s="1">
        <v>7038720012</v>
      </c>
      <c r="W377" s="1" t="s">
        <v>156</v>
      </c>
      <c r="X377" s="1" t="s">
        <v>7396</v>
      </c>
      <c r="Y377" s="1" t="s">
        <v>191</v>
      </c>
      <c r="Z377" s="1" t="s">
        <v>92</v>
      </c>
      <c r="AA377" s="1" t="s">
        <v>7397</v>
      </c>
      <c r="AB377" s="1" t="s">
        <v>4337</v>
      </c>
      <c r="AC377" s="1" t="s">
        <v>92</v>
      </c>
      <c r="AD377" s="1">
        <v>8.58</v>
      </c>
      <c r="AE377" s="1" t="s">
        <v>93</v>
      </c>
      <c r="AF377" s="1" t="s">
        <v>7398</v>
      </c>
      <c r="AG377" s="1" t="s">
        <v>544</v>
      </c>
      <c r="AH377" s="1" t="s">
        <v>165</v>
      </c>
      <c r="AI377" s="1" t="s">
        <v>281</v>
      </c>
      <c r="AJ377" s="1">
        <v>98.4</v>
      </c>
      <c r="AK377" s="1">
        <v>0</v>
      </c>
      <c r="AL377" s="1" t="s">
        <v>1130</v>
      </c>
      <c r="AM377" s="1" t="s">
        <v>544</v>
      </c>
      <c r="AN377" s="1" t="s">
        <v>310</v>
      </c>
      <c r="AO377" s="1" t="s">
        <v>360</v>
      </c>
      <c r="AP377" s="1">
        <v>81.23</v>
      </c>
      <c r="AQ377" s="1">
        <v>0</v>
      </c>
      <c r="AR377" s="1"/>
      <c r="AS377" s="1"/>
      <c r="AT377" s="1"/>
      <c r="AU377" s="1"/>
      <c r="AV377" s="1"/>
      <c r="AW377" s="1"/>
      <c r="AX377" s="1" t="s">
        <v>361</v>
      </c>
      <c r="AY377" s="1" t="s">
        <v>7399</v>
      </c>
      <c r="AZ377" s="1" t="s">
        <v>2463</v>
      </c>
      <c r="BA377" s="1" t="s">
        <v>1408</v>
      </c>
      <c r="BB377" s="1">
        <v>74.9</v>
      </c>
      <c r="BC377" s="1">
        <v>8.24</v>
      </c>
      <c r="BD377" s="1"/>
      <c r="BE377" s="1"/>
      <c r="BF377" s="1"/>
      <c r="BG377" s="1"/>
      <c r="BH377" s="1"/>
      <c r="BI377" s="1"/>
      <c r="BJ377" s="1" t="s">
        <v>7400</v>
      </c>
      <c r="BK377" s="1"/>
      <c r="BL377" s="1"/>
      <c r="BM377" s="1" t="s">
        <v>7401</v>
      </c>
      <c r="BN377" s="1">
        <v>27</v>
      </c>
      <c r="BO377" s="1" t="s">
        <v>7402</v>
      </c>
      <c r="BP377" s="1" t="str">
        <f>HYPERLINK("https://nconnect.nicmar.ac.in/storage/profile/ProfilePhoto_P25700328_694123.jpg","Download")</f>
        <v>0</v>
      </c>
      <c r="BQ377" s="3"/>
      <c r="BR377" s="3"/>
    </row>
    <row r="378" spans="1:70">
      <c r="A378" s="1" t="s">
        <v>70</v>
      </c>
      <c r="B378" s="1" t="s">
        <v>1269</v>
      </c>
      <c r="C378" s="1" t="s">
        <v>7403</v>
      </c>
      <c r="D378" s="1" t="s">
        <v>7404</v>
      </c>
      <c r="E378" s="1" t="s">
        <v>7405</v>
      </c>
      <c r="F378" s="1" t="s">
        <v>3763</v>
      </c>
      <c r="G378" s="1" t="s">
        <v>7406</v>
      </c>
      <c r="H378" s="1" t="s">
        <v>7407</v>
      </c>
      <c r="I378" s="1" t="s">
        <v>7408</v>
      </c>
      <c r="J378" s="1">
        <v>9604854747</v>
      </c>
      <c r="K378" s="1" t="s">
        <v>148</v>
      </c>
      <c r="L378" s="1" t="s">
        <v>7409</v>
      </c>
      <c r="M378" s="1" t="s">
        <v>81</v>
      </c>
      <c r="N378" s="1" t="s">
        <v>860</v>
      </c>
      <c r="O378" s="1"/>
      <c r="P378" s="1" t="s">
        <v>1298</v>
      </c>
      <c r="Q378" s="1" t="s">
        <v>7410</v>
      </c>
      <c r="R378" s="1" t="s">
        <v>7405</v>
      </c>
      <c r="S378" s="1">
        <v>8459551170</v>
      </c>
      <c r="T378" s="1" t="s">
        <v>122</v>
      </c>
      <c r="U378" s="1" t="s">
        <v>2703</v>
      </c>
      <c r="V378" s="1">
        <v>8208876304</v>
      </c>
      <c r="W378" s="1" t="s">
        <v>156</v>
      </c>
      <c r="X378" s="1" t="s">
        <v>7411</v>
      </c>
      <c r="Y378" s="1" t="s">
        <v>405</v>
      </c>
      <c r="Z378" s="1" t="s">
        <v>92</v>
      </c>
      <c r="AA378" s="1" t="s">
        <v>7411</v>
      </c>
      <c r="AB378" s="1" t="s">
        <v>405</v>
      </c>
      <c r="AC378" s="1" t="s">
        <v>92</v>
      </c>
      <c r="AD378" s="1">
        <v>8.03</v>
      </c>
      <c r="AE378" s="1" t="s">
        <v>93</v>
      </c>
      <c r="AF378" s="1" t="s">
        <v>7412</v>
      </c>
      <c r="AG378" s="1" t="s">
        <v>307</v>
      </c>
      <c r="AH378" s="1" t="s">
        <v>678</v>
      </c>
      <c r="AI378" s="1" t="s">
        <v>166</v>
      </c>
      <c r="AJ378" s="1">
        <v>79.8</v>
      </c>
      <c r="AK378" s="1"/>
      <c r="AL378" s="1" t="s">
        <v>7413</v>
      </c>
      <c r="AM378" s="1" t="s">
        <v>7414</v>
      </c>
      <c r="AN378" s="1" t="s">
        <v>433</v>
      </c>
      <c r="AO378" s="1" t="s">
        <v>699</v>
      </c>
      <c r="AP378" s="1">
        <v>67.85</v>
      </c>
      <c r="AQ378" s="1"/>
      <c r="AR378" s="1"/>
      <c r="AS378" s="1"/>
      <c r="AT378" s="1"/>
      <c r="AU378" s="1"/>
      <c r="AV378" s="1"/>
      <c r="AW378" s="1"/>
      <c r="AX378" s="1" t="s">
        <v>410</v>
      </c>
      <c r="AY378" s="1" t="s">
        <v>6208</v>
      </c>
      <c r="AZ378" s="1" t="s">
        <v>363</v>
      </c>
      <c r="BA378" s="1" t="s">
        <v>413</v>
      </c>
      <c r="BB378" s="1">
        <v>70.5</v>
      </c>
      <c r="BC378" s="1">
        <v>7.8</v>
      </c>
      <c r="BD378" s="1"/>
      <c r="BE378" s="1"/>
      <c r="BF378" s="1"/>
      <c r="BG378" s="1"/>
      <c r="BH378" s="1"/>
      <c r="BI378" s="1"/>
      <c r="BJ378" s="1" t="s">
        <v>7415</v>
      </c>
      <c r="BK378" s="1"/>
      <c r="BL378" s="1"/>
      <c r="BM378" s="1" t="s">
        <v>7416</v>
      </c>
      <c r="BN378" s="1">
        <v>25</v>
      </c>
      <c r="BO378" s="1"/>
      <c r="BP378" s="1" t="str">
        <f>HYPERLINK("https://nconnect.nicmar.ac.in/storage/profile/ProfilePhoto_P25700329_934817.jpg","Download")</f>
        <v>0</v>
      </c>
      <c r="BQ378" s="3"/>
      <c r="BR378" s="3"/>
    </row>
    <row r="379" spans="1:70">
      <c r="A379" s="1" t="s">
        <v>70</v>
      </c>
      <c r="B379" s="1" t="s">
        <v>1269</v>
      </c>
      <c r="C379" s="1" t="s">
        <v>7417</v>
      </c>
      <c r="D379" s="1" t="s">
        <v>7418</v>
      </c>
      <c r="E379" s="1" t="s">
        <v>4434</v>
      </c>
      <c r="F379" s="1" t="s">
        <v>2024</v>
      </c>
      <c r="G379" s="1" t="s">
        <v>7419</v>
      </c>
      <c r="H379" s="1" t="s">
        <v>7420</v>
      </c>
      <c r="I379" s="1" t="s">
        <v>7421</v>
      </c>
      <c r="J379" s="1">
        <v>7798893088</v>
      </c>
      <c r="K379" s="1" t="s">
        <v>79</v>
      </c>
      <c r="L379" s="1" t="s">
        <v>7422</v>
      </c>
      <c r="M379" s="1" t="s">
        <v>81</v>
      </c>
      <c r="N379" s="1" t="s">
        <v>7423</v>
      </c>
      <c r="O379" s="1"/>
      <c r="P379" s="1" t="s">
        <v>1766</v>
      </c>
      <c r="Q379" s="1" t="s">
        <v>7424</v>
      </c>
      <c r="R379" s="1" t="s">
        <v>7425</v>
      </c>
      <c r="S379" s="1">
        <v>9922934423</v>
      </c>
      <c r="T379" s="1" t="s">
        <v>7426</v>
      </c>
      <c r="U379" s="1" t="s">
        <v>7427</v>
      </c>
      <c r="V379" s="1">
        <v>9922934423</v>
      </c>
      <c r="W379" s="1" t="s">
        <v>273</v>
      </c>
      <c r="X379" s="1" t="s">
        <v>7428</v>
      </c>
      <c r="Y379" s="1" t="s">
        <v>6399</v>
      </c>
      <c r="Z379" s="1" t="s">
        <v>92</v>
      </c>
      <c r="AA379" s="1" t="s">
        <v>7428</v>
      </c>
      <c r="AB379" s="1" t="s">
        <v>6399</v>
      </c>
      <c r="AC379" s="1" t="s">
        <v>92</v>
      </c>
      <c r="AD379" s="1">
        <v>6.52</v>
      </c>
      <c r="AE379" s="1" t="s">
        <v>93</v>
      </c>
      <c r="AF379" s="1" t="s">
        <v>7429</v>
      </c>
      <c r="AG379" s="1" t="s">
        <v>7430</v>
      </c>
      <c r="AH379" s="1" t="s">
        <v>96</v>
      </c>
      <c r="AI379" s="1" t="s">
        <v>97</v>
      </c>
      <c r="AJ379" s="1">
        <v>76.6</v>
      </c>
      <c r="AK379" s="1"/>
      <c r="AL379" s="1" t="s">
        <v>7431</v>
      </c>
      <c r="AM379" s="1" t="s">
        <v>7430</v>
      </c>
      <c r="AN379" s="1" t="s">
        <v>162</v>
      </c>
      <c r="AO379" s="1" t="s">
        <v>1332</v>
      </c>
      <c r="AP379" s="1">
        <v>56.77</v>
      </c>
      <c r="AQ379" s="1"/>
      <c r="AR379" s="1" t="s">
        <v>98</v>
      </c>
      <c r="AS379" s="1" t="s">
        <v>7432</v>
      </c>
      <c r="AT379" s="1" t="s">
        <v>699</v>
      </c>
      <c r="AU379" s="1" t="s">
        <v>575</v>
      </c>
      <c r="AV379" s="1">
        <v>74.32</v>
      </c>
      <c r="AW379" s="1"/>
      <c r="AX379" s="1" t="s">
        <v>7433</v>
      </c>
      <c r="AY379" s="1" t="s">
        <v>7434</v>
      </c>
      <c r="AZ379" s="1" t="s">
        <v>481</v>
      </c>
      <c r="BA379" s="1" t="s">
        <v>1584</v>
      </c>
      <c r="BB379" s="1">
        <v>66.36</v>
      </c>
      <c r="BC379" s="1">
        <v>7.19</v>
      </c>
      <c r="BD379" s="1"/>
      <c r="BE379" s="1"/>
      <c r="BF379" s="1"/>
      <c r="BG379" s="1"/>
      <c r="BH379" s="1"/>
      <c r="BI379" s="1"/>
      <c r="BJ379" s="1" t="s">
        <v>255</v>
      </c>
      <c r="BK379" s="1"/>
      <c r="BL379" s="1"/>
      <c r="BM379" s="1"/>
      <c r="BN379" s="1"/>
      <c r="BO379" s="1" t="s">
        <v>7435</v>
      </c>
      <c r="BP379" s="1" t="str">
        <f>HYPERLINK("https://nconnect.nicmar.ac.in/storage/profile/ProfilePhoto_P25700330_839724.jpg","Download")</f>
        <v>0</v>
      </c>
      <c r="BQ379" s="3"/>
      <c r="BR379" s="3"/>
    </row>
    <row r="380" spans="1:70">
      <c r="A380" s="1" t="s">
        <v>70</v>
      </c>
      <c r="B380" s="1" t="s">
        <v>1269</v>
      </c>
      <c r="C380" s="1" t="s">
        <v>7436</v>
      </c>
      <c r="D380" s="1" t="s">
        <v>7437</v>
      </c>
      <c r="E380" s="1"/>
      <c r="F380" s="1" t="s">
        <v>7438</v>
      </c>
      <c r="G380" s="1" t="s">
        <v>7439</v>
      </c>
      <c r="H380" s="1" t="s">
        <v>7440</v>
      </c>
      <c r="I380" s="1" t="s">
        <v>7441</v>
      </c>
      <c r="J380" s="1">
        <v>8378929055</v>
      </c>
      <c r="K380" s="1" t="s">
        <v>148</v>
      </c>
      <c r="L380" s="1" t="s">
        <v>7442</v>
      </c>
      <c r="M380" s="1" t="s">
        <v>81</v>
      </c>
      <c r="N380" s="1" t="s">
        <v>6817</v>
      </c>
      <c r="O380" s="1"/>
      <c r="P380" s="1" t="s">
        <v>1278</v>
      </c>
      <c r="Q380" s="1" t="s">
        <v>7443</v>
      </c>
      <c r="R380" s="1" t="s">
        <v>392</v>
      </c>
      <c r="S380" s="1">
        <v>9260278284</v>
      </c>
      <c r="T380" s="1" t="s">
        <v>7444</v>
      </c>
      <c r="U380" s="1" t="s">
        <v>4944</v>
      </c>
      <c r="V380" s="1">
        <v>8308476336</v>
      </c>
      <c r="W380" s="1" t="s">
        <v>156</v>
      </c>
      <c r="X380" s="1" t="s">
        <v>7445</v>
      </c>
      <c r="Y380" s="1" t="s">
        <v>191</v>
      </c>
      <c r="Z380" s="1" t="s">
        <v>92</v>
      </c>
      <c r="AA380" s="1" t="s">
        <v>7445</v>
      </c>
      <c r="AB380" s="1" t="s">
        <v>191</v>
      </c>
      <c r="AC380" s="1" t="s">
        <v>92</v>
      </c>
      <c r="AD380" s="1">
        <v>8.27</v>
      </c>
      <c r="AE380" s="1" t="s">
        <v>93</v>
      </c>
      <c r="AF380" s="1" t="s">
        <v>7446</v>
      </c>
      <c r="AG380" s="1" t="s">
        <v>7447</v>
      </c>
      <c r="AH380" s="1" t="s">
        <v>279</v>
      </c>
      <c r="AI380" s="1" t="s">
        <v>165</v>
      </c>
      <c r="AJ380" s="1">
        <v>84.8</v>
      </c>
      <c r="AK380" s="1"/>
      <c r="AL380" s="1" t="s">
        <v>7446</v>
      </c>
      <c r="AM380" s="1" t="s">
        <v>7448</v>
      </c>
      <c r="AN380" s="1" t="s">
        <v>383</v>
      </c>
      <c r="AO380" s="1" t="s">
        <v>308</v>
      </c>
      <c r="AP380" s="1">
        <v>56</v>
      </c>
      <c r="AQ380" s="1"/>
      <c r="AR380" s="1" t="s">
        <v>7446</v>
      </c>
      <c r="AS380" s="1" t="s">
        <v>7449</v>
      </c>
      <c r="AT380" s="1" t="s">
        <v>310</v>
      </c>
      <c r="AU380" s="1" t="s">
        <v>436</v>
      </c>
      <c r="AV380" s="1">
        <v>85.84</v>
      </c>
      <c r="AW380" s="1"/>
      <c r="AX380" s="1" t="s">
        <v>361</v>
      </c>
      <c r="AY380" s="1" t="s">
        <v>7450</v>
      </c>
      <c r="AZ380" s="1" t="s">
        <v>897</v>
      </c>
      <c r="BA380" s="1" t="s">
        <v>202</v>
      </c>
      <c r="BB380" s="1">
        <v>73.6</v>
      </c>
      <c r="BC380" s="1">
        <v>8.11</v>
      </c>
      <c r="BD380" s="1"/>
      <c r="BE380" s="1"/>
      <c r="BF380" s="1"/>
      <c r="BG380" s="1"/>
      <c r="BH380" s="1"/>
      <c r="BI380" s="1"/>
      <c r="BJ380" s="1" t="s">
        <v>255</v>
      </c>
      <c r="BK380" s="1"/>
      <c r="BL380" s="1"/>
      <c r="BM380" s="1" t="s">
        <v>7451</v>
      </c>
      <c r="BN380" s="1">
        <v>37</v>
      </c>
      <c r="BO380" s="1"/>
      <c r="BP380" s="1" t="str">
        <f>HYPERLINK("https://nconnect.nicmar.ac.in/storage/profile/ProfilePhoto_P25700331_498125.jpg","Download")</f>
        <v>0</v>
      </c>
      <c r="BQ380" s="3"/>
      <c r="BR380" s="3"/>
    </row>
    <row r="381" spans="1:70">
      <c r="A381" s="1" t="s">
        <v>70</v>
      </c>
      <c r="B381" s="1" t="s">
        <v>1269</v>
      </c>
      <c r="C381" s="1" t="s">
        <v>7452</v>
      </c>
      <c r="D381" s="1" t="s">
        <v>7453</v>
      </c>
      <c r="E381" s="1" t="s">
        <v>2128</v>
      </c>
      <c r="F381" s="1" t="s">
        <v>2677</v>
      </c>
      <c r="G381" s="1" t="s">
        <v>7454</v>
      </c>
      <c r="H381" s="1" t="s">
        <v>7455</v>
      </c>
      <c r="I381" s="1" t="s">
        <v>7456</v>
      </c>
      <c r="J381" s="1">
        <v>9168137257</v>
      </c>
      <c r="K381" s="1" t="s">
        <v>79</v>
      </c>
      <c r="L381" s="1" t="s">
        <v>7457</v>
      </c>
      <c r="M381" s="1" t="s">
        <v>81</v>
      </c>
      <c r="N381" s="1" t="s">
        <v>1638</v>
      </c>
      <c r="O381" s="1"/>
      <c r="P381" s="1" t="s">
        <v>1323</v>
      </c>
      <c r="Q381" s="1" t="s">
        <v>7458</v>
      </c>
      <c r="R381" s="1" t="s">
        <v>7459</v>
      </c>
      <c r="S381" s="1">
        <v>9890474823</v>
      </c>
      <c r="T381" s="1" t="s">
        <v>496</v>
      </c>
      <c r="U381" s="1" t="s">
        <v>7460</v>
      </c>
      <c r="V381" s="1">
        <v>9158816620</v>
      </c>
      <c r="W381" s="1" t="s">
        <v>2494</v>
      </c>
      <c r="X381" s="1" t="s">
        <v>7461</v>
      </c>
      <c r="Y381" s="1" t="s">
        <v>1174</v>
      </c>
      <c r="Z381" s="1" t="s">
        <v>92</v>
      </c>
      <c r="AA381" s="1" t="s">
        <v>7461</v>
      </c>
      <c r="AB381" s="1" t="s">
        <v>1174</v>
      </c>
      <c r="AC381" s="1" t="s">
        <v>92</v>
      </c>
      <c r="AD381" s="1">
        <v>7.68</v>
      </c>
      <c r="AE381" s="1" t="s">
        <v>93</v>
      </c>
      <c r="AF381" s="1" t="s">
        <v>3861</v>
      </c>
      <c r="AG381" s="1" t="s">
        <v>7462</v>
      </c>
      <c r="AH381" s="1" t="s">
        <v>281</v>
      </c>
      <c r="AI381" s="1" t="s">
        <v>409</v>
      </c>
      <c r="AJ381" s="1">
        <v>77.2</v>
      </c>
      <c r="AK381" s="1"/>
      <c r="AL381" s="1" t="s">
        <v>7463</v>
      </c>
      <c r="AM381" s="1" t="s">
        <v>7462</v>
      </c>
      <c r="AN381" s="1" t="s">
        <v>941</v>
      </c>
      <c r="AO381" s="1" t="s">
        <v>504</v>
      </c>
      <c r="AP381" s="1">
        <v>71.67</v>
      </c>
      <c r="AQ381" s="1"/>
      <c r="AR381" s="1"/>
      <c r="AS381" s="1"/>
      <c r="AT381" s="1"/>
      <c r="AU381" s="1"/>
      <c r="AV381" s="1"/>
      <c r="AW381" s="1"/>
      <c r="AX381" s="1" t="s">
        <v>5013</v>
      </c>
      <c r="AY381" s="1" t="s">
        <v>7464</v>
      </c>
      <c r="AZ381" s="1" t="s">
        <v>506</v>
      </c>
      <c r="BA381" s="1" t="s">
        <v>1584</v>
      </c>
      <c r="BB381" s="1">
        <v>82.04</v>
      </c>
      <c r="BC381" s="1">
        <v>8.99</v>
      </c>
      <c r="BD381" s="1"/>
      <c r="BE381" s="1" t="s">
        <v>6757</v>
      </c>
      <c r="BF381" s="1" t="s">
        <v>1584</v>
      </c>
      <c r="BG381" s="1" t="s">
        <v>7465</v>
      </c>
      <c r="BH381" s="1">
        <v>0</v>
      </c>
      <c r="BI381" s="1"/>
      <c r="BJ381" s="1" t="s">
        <v>4508</v>
      </c>
      <c r="BK381" s="1"/>
      <c r="BL381" s="1"/>
      <c r="BM381" s="1" t="s">
        <v>7466</v>
      </c>
      <c r="BN381" s="1">
        <v>47</v>
      </c>
      <c r="BO381" s="1"/>
      <c r="BP381" s="1" t="str">
        <f>HYPERLINK("https://nconnect.nicmar.ac.in/storage/profile/ProfilePhoto_P25700332_582631.jpg","Download")</f>
        <v>0</v>
      </c>
      <c r="BQ381" s="3"/>
      <c r="BR381" s="3"/>
    </row>
    <row r="382" spans="1:70">
      <c r="A382" s="1" t="s">
        <v>70</v>
      </c>
      <c r="B382" s="1" t="s">
        <v>1269</v>
      </c>
      <c r="C382" s="1" t="s">
        <v>7467</v>
      </c>
      <c r="D382" s="1" t="s">
        <v>7468</v>
      </c>
      <c r="E382" s="1" t="s">
        <v>5413</v>
      </c>
      <c r="F382" s="1" t="s">
        <v>7469</v>
      </c>
      <c r="G382" s="1" t="s">
        <v>7470</v>
      </c>
      <c r="H382" s="1" t="s">
        <v>7471</v>
      </c>
      <c r="I382" s="1" t="s">
        <v>7472</v>
      </c>
      <c r="J382" s="1">
        <v>9921918190</v>
      </c>
      <c r="K382" s="1" t="s">
        <v>79</v>
      </c>
      <c r="L382" s="1" t="s">
        <v>7473</v>
      </c>
      <c r="M382" s="1" t="s">
        <v>81</v>
      </c>
      <c r="N382" s="1" t="s">
        <v>151</v>
      </c>
      <c r="O382" s="1"/>
      <c r="P382" s="1" t="s">
        <v>1278</v>
      </c>
      <c r="Q382" s="1" t="s">
        <v>7474</v>
      </c>
      <c r="R382" s="1" t="s">
        <v>5413</v>
      </c>
      <c r="S382" s="1">
        <v>9960772572</v>
      </c>
      <c r="T382" s="1" t="s">
        <v>520</v>
      </c>
      <c r="U382" s="1" t="s">
        <v>7475</v>
      </c>
      <c r="V382" s="1">
        <v>9960772572</v>
      </c>
      <c r="W382" s="1" t="s">
        <v>156</v>
      </c>
      <c r="X382" s="1" t="s">
        <v>7476</v>
      </c>
      <c r="Y382" s="1" t="s">
        <v>1991</v>
      </c>
      <c r="Z382" s="1" t="s">
        <v>92</v>
      </c>
      <c r="AA382" s="1" t="s">
        <v>7476</v>
      </c>
      <c r="AB382" s="1" t="s">
        <v>1991</v>
      </c>
      <c r="AC382" s="1" t="s">
        <v>92</v>
      </c>
      <c r="AD382" s="1">
        <v>6.94</v>
      </c>
      <c r="AE382" s="1" t="s">
        <v>93</v>
      </c>
      <c r="AF382" s="1" t="s">
        <v>7477</v>
      </c>
      <c r="AG382" s="1" t="s">
        <v>476</v>
      </c>
      <c r="AH382" s="1" t="s">
        <v>998</v>
      </c>
      <c r="AI382" s="1" t="s">
        <v>96</v>
      </c>
      <c r="AJ382" s="1">
        <v>80</v>
      </c>
      <c r="AK382" s="1">
        <v>0</v>
      </c>
      <c r="AL382" s="1"/>
      <c r="AM382" s="1"/>
      <c r="AN382" s="1"/>
      <c r="AO382" s="1"/>
      <c r="AP382" s="1"/>
      <c r="AQ382" s="1"/>
      <c r="AR382" s="1" t="s">
        <v>98</v>
      </c>
      <c r="AS382" s="1" t="s">
        <v>7478</v>
      </c>
      <c r="AT382" s="1" t="s">
        <v>130</v>
      </c>
      <c r="AU382" s="1" t="s">
        <v>101</v>
      </c>
      <c r="AV382" s="1">
        <v>62.18</v>
      </c>
      <c r="AW382" s="1">
        <v>0</v>
      </c>
      <c r="AX382" s="1" t="s">
        <v>361</v>
      </c>
      <c r="AY382" s="1" t="s">
        <v>7479</v>
      </c>
      <c r="AZ382" s="1" t="s">
        <v>636</v>
      </c>
      <c r="BA382" s="1" t="s">
        <v>506</v>
      </c>
      <c r="BB382" s="1">
        <v>67.05</v>
      </c>
      <c r="BC382" s="1">
        <v>7.62</v>
      </c>
      <c r="BD382" s="1"/>
      <c r="BE382" s="1"/>
      <c r="BF382" s="1"/>
      <c r="BG382" s="1"/>
      <c r="BH382" s="1"/>
      <c r="BI382" s="1"/>
      <c r="BJ382" s="1" t="s">
        <v>734</v>
      </c>
      <c r="BK382" s="1"/>
      <c r="BL382" s="1"/>
      <c r="BM382" s="1"/>
      <c r="BN382" s="1"/>
      <c r="BO382" s="1"/>
      <c r="BP382" s="1" t="str">
        <f>HYPERLINK("https://nconnect.nicmar.ac.in/storage/profile/ProfilePhoto_P25700333_561738.jpg","Download")</f>
        <v>0</v>
      </c>
      <c r="BQ382" s="3"/>
      <c r="BR382" s="3"/>
    </row>
    <row r="383" spans="1:70">
      <c r="A383" s="1" t="s">
        <v>70</v>
      </c>
      <c r="B383" s="1" t="s">
        <v>1269</v>
      </c>
      <c r="C383" s="1" t="s">
        <v>7480</v>
      </c>
      <c r="D383" s="1" t="s">
        <v>7481</v>
      </c>
      <c r="E383" s="1" t="s">
        <v>7482</v>
      </c>
      <c r="F383" s="1" t="s">
        <v>7483</v>
      </c>
      <c r="G383" s="1" t="s">
        <v>7484</v>
      </c>
      <c r="H383" s="1" t="s">
        <v>7485</v>
      </c>
      <c r="I383" s="1" t="s">
        <v>7486</v>
      </c>
      <c r="J383" s="1">
        <v>6363819238</v>
      </c>
      <c r="K383" s="1" t="s">
        <v>79</v>
      </c>
      <c r="L383" s="1" t="s">
        <v>5075</v>
      </c>
      <c r="M383" s="1" t="s">
        <v>81</v>
      </c>
      <c r="N383" s="1" t="s">
        <v>4766</v>
      </c>
      <c r="O383" s="1"/>
      <c r="P383" s="1" t="s">
        <v>1323</v>
      </c>
      <c r="Q383" s="1" t="s">
        <v>7487</v>
      </c>
      <c r="R383" s="1" t="s">
        <v>7482</v>
      </c>
      <c r="S383" s="1">
        <v>8105460508</v>
      </c>
      <c r="T383" s="1" t="s">
        <v>7488</v>
      </c>
      <c r="U383" s="1" t="s">
        <v>5837</v>
      </c>
      <c r="V383" s="1">
        <v>7624933838</v>
      </c>
      <c r="W383" s="1" t="s">
        <v>7489</v>
      </c>
      <c r="X383" s="1" t="s">
        <v>7490</v>
      </c>
      <c r="Y383" s="1" t="s">
        <v>191</v>
      </c>
      <c r="Z383" s="1" t="s">
        <v>92</v>
      </c>
      <c r="AA383" s="1" t="s">
        <v>7491</v>
      </c>
      <c r="AB383" s="1" t="s">
        <v>7492</v>
      </c>
      <c r="AC383" s="1" t="s">
        <v>1084</v>
      </c>
      <c r="AD383" s="1">
        <v>7.66</v>
      </c>
      <c r="AE383" s="1" t="s">
        <v>93</v>
      </c>
      <c r="AF383" s="1" t="s">
        <v>7493</v>
      </c>
      <c r="AG383" s="1" t="s">
        <v>7494</v>
      </c>
      <c r="AH383" s="1" t="s">
        <v>165</v>
      </c>
      <c r="AI383" s="1" t="s">
        <v>166</v>
      </c>
      <c r="AJ383" s="1">
        <v>88.16</v>
      </c>
      <c r="AK383" s="1"/>
      <c r="AL383" s="1" t="s">
        <v>7495</v>
      </c>
      <c r="AM383" s="1" t="s">
        <v>7496</v>
      </c>
      <c r="AN383" s="1" t="s">
        <v>101</v>
      </c>
      <c r="AO383" s="1" t="s">
        <v>173</v>
      </c>
      <c r="AP383" s="1">
        <v>89.16</v>
      </c>
      <c r="AQ383" s="1"/>
      <c r="AR383" s="1"/>
      <c r="AS383" s="1"/>
      <c r="AT383" s="1"/>
      <c r="AU383" s="1"/>
      <c r="AV383" s="1"/>
      <c r="AW383" s="1"/>
      <c r="AX383" s="1" t="s">
        <v>7497</v>
      </c>
      <c r="AY383" s="1" t="s">
        <v>7498</v>
      </c>
      <c r="AZ383" s="1" t="s">
        <v>2463</v>
      </c>
      <c r="BA383" s="1" t="s">
        <v>202</v>
      </c>
      <c r="BB383" s="1">
        <v>61</v>
      </c>
      <c r="BC383" s="1">
        <v>6.85</v>
      </c>
      <c r="BD383" s="1"/>
      <c r="BE383" s="1"/>
      <c r="BF383" s="1"/>
      <c r="BG383" s="1"/>
      <c r="BH383" s="1"/>
      <c r="BI383" s="1"/>
      <c r="BJ383" s="1" t="s">
        <v>7499</v>
      </c>
      <c r="BK383" s="1" t="s">
        <v>7500</v>
      </c>
      <c r="BL383" s="1" t="s">
        <v>1475</v>
      </c>
      <c r="BM383" s="1" t="s">
        <v>7501</v>
      </c>
      <c r="BN383" s="1">
        <v>14</v>
      </c>
      <c r="BO383" s="1"/>
      <c r="BP383" s="1" t="str">
        <f>HYPERLINK("https://nconnect.nicmar.ac.in/storage/profile/ProfilePhoto_P25700334_897625.jpg","Download")</f>
        <v>0</v>
      </c>
      <c r="BQ383" s="3"/>
      <c r="BR383" s="3"/>
    </row>
    <row r="384" spans="1:70">
      <c r="A384" s="1" t="s">
        <v>70</v>
      </c>
      <c r="B384" s="1" t="s">
        <v>1269</v>
      </c>
      <c r="C384" s="1" t="s">
        <v>7502</v>
      </c>
      <c r="D384" s="1" t="s">
        <v>5964</v>
      </c>
      <c r="E384" s="1"/>
      <c r="F384" s="1" t="s">
        <v>5393</v>
      </c>
      <c r="G384" s="1" t="s">
        <v>7503</v>
      </c>
      <c r="H384" s="1" t="s">
        <v>7504</v>
      </c>
      <c r="I384" s="1" t="s">
        <v>7505</v>
      </c>
      <c r="J384" s="1">
        <v>9129873073</v>
      </c>
      <c r="K384" s="1" t="s">
        <v>79</v>
      </c>
      <c r="L384" s="1" t="s">
        <v>7506</v>
      </c>
      <c r="M384" s="1" t="s">
        <v>81</v>
      </c>
      <c r="N384" s="1" t="s">
        <v>374</v>
      </c>
      <c r="O384" s="1"/>
      <c r="P384" s="1" t="s">
        <v>1323</v>
      </c>
      <c r="Q384" s="1" t="s">
        <v>7507</v>
      </c>
      <c r="R384" s="1" t="s">
        <v>7508</v>
      </c>
      <c r="S384" s="1">
        <v>9473539987</v>
      </c>
      <c r="T384" s="1" t="s">
        <v>216</v>
      </c>
      <c r="U384" s="1" t="s">
        <v>7509</v>
      </c>
      <c r="V384" s="1">
        <v>9450363791</v>
      </c>
      <c r="W384" s="1" t="s">
        <v>273</v>
      </c>
      <c r="X384" s="1" t="s">
        <v>7510</v>
      </c>
      <c r="Y384" s="1" t="s">
        <v>1912</v>
      </c>
      <c r="Z384" s="1" t="s">
        <v>1355</v>
      </c>
      <c r="AA384" s="1" t="s">
        <v>7510</v>
      </c>
      <c r="AB384" s="1" t="s">
        <v>1912</v>
      </c>
      <c r="AC384" s="1" t="s">
        <v>1355</v>
      </c>
      <c r="AD384" s="1">
        <v>8.9</v>
      </c>
      <c r="AE384" s="1" t="s">
        <v>93</v>
      </c>
      <c r="AF384" s="1" t="s">
        <v>7511</v>
      </c>
      <c r="AG384" s="1" t="s">
        <v>7512</v>
      </c>
      <c r="AH384" s="1" t="s">
        <v>383</v>
      </c>
      <c r="AI384" s="1" t="s">
        <v>166</v>
      </c>
      <c r="AJ384" s="1">
        <v>93.6</v>
      </c>
      <c r="AK384" s="1"/>
      <c r="AL384" s="1" t="s">
        <v>7511</v>
      </c>
      <c r="AM384" s="1" t="s">
        <v>7512</v>
      </c>
      <c r="AN384" s="1" t="s">
        <v>310</v>
      </c>
      <c r="AO384" s="1" t="s">
        <v>173</v>
      </c>
      <c r="AP384" s="1">
        <v>85.2</v>
      </c>
      <c r="AQ384" s="1"/>
      <c r="AR384" s="1"/>
      <c r="AS384" s="1"/>
      <c r="AT384" s="1"/>
      <c r="AU384" s="1"/>
      <c r="AV384" s="1"/>
      <c r="AW384" s="1"/>
      <c r="AX384" s="1" t="s">
        <v>1359</v>
      </c>
      <c r="AY384" s="1" t="s">
        <v>7513</v>
      </c>
      <c r="AZ384" s="1" t="s">
        <v>920</v>
      </c>
      <c r="BA384" s="1" t="s">
        <v>944</v>
      </c>
      <c r="BB384" s="1">
        <v>77.5</v>
      </c>
      <c r="BC384" s="1">
        <v>7.75</v>
      </c>
      <c r="BD384" s="1"/>
      <c r="BE384" s="1"/>
      <c r="BF384" s="1"/>
      <c r="BG384" s="1"/>
      <c r="BH384" s="1"/>
      <c r="BI384" s="1"/>
      <c r="BJ384" s="1" t="s">
        <v>4173</v>
      </c>
      <c r="BK384" s="1"/>
      <c r="BL384" s="1"/>
      <c r="BM384" s="1" t="s">
        <v>7514</v>
      </c>
      <c r="BN384" s="1">
        <v>26</v>
      </c>
      <c r="BO384" s="1" t="s">
        <v>7515</v>
      </c>
      <c r="BP384" s="1" t="str">
        <f>HYPERLINK("https://nconnect.nicmar.ac.in/storage/profile/ProfilePhoto_P25700335_235948.jpg","Download")</f>
        <v>0</v>
      </c>
      <c r="BQ384" s="3"/>
      <c r="BR384" s="3"/>
    </row>
    <row r="385" spans="1:70">
      <c r="A385" s="1" t="s">
        <v>70</v>
      </c>
      <c r="B385" s="1" t="s">
        <v>1269</v>
      </c>
      <c r="C385" s="1" t="s">
        <v>7516</v>
      </c>
      <c r="D385" s="1" t="s">
        <v>7517</v>
      </c>
      <c r="E385" s="1" t="s">
        <v>7518</v>
      </c>
      <c r="F385" s="1" t="s">
        <v>7519</v>
      </c>
      <c r="G385" s="1" t="s">
        <v>7520</v>
      </c>
      <c r="H385" s="1" t="s">
        <v>7521</v>
      </c>
      <c r="I385" s="1" t="s">
        <v>7522</v>
      </c>
      <c r="J385" s="1">
        <v>9130001162</v>
      </c>
      <c r="K385" s="1" t="s">
        <v>148</v>
      </c>
      <c r="L385" s="1" t="s">
        <v>7523</v>
      </c>
      <c r="M385" s="1" t="s">
        <v>150</v>
      </c>
      <c r="N385" s="1" t="s">
        <v>1418</v>
      </c>
      <c r="O385" s="1"/>
      <c r="P385" s="1" t="s">
        <v>1278</v>
      </c>
      <c r="Q385" s="1" t="s">
        <v>7524</v>
      </c>
      <c r="R385" s="1" t="s">
        <v>7525</v>
      </c>
      <c r="S385" s="1">
        <v>8275056631</v>
      </c>
      <c r="T385" s="1" t="s">
        <v>1351</v>
      </c>
      <c r="U385" s="1" t="s">
        <v>7526</v>
      </c>
      <c r="V385" s="1">
        <v>8275056631</v>
      </c>
      <c r="W385" s="1" t="s">
        <v>156</v>
      </c>
      <c r="X385" s="1" t="s">
        <v>7527</v>
      </c>
      <c r="Y385" s="1" t="s">
        <v>191</v>
      </c>
      <c r="Z385" s="1" t="s">
        <v>92</v>
      </c>
      <c r="AA385" s="1" t="s">
        <v>7528</v>
      </c>
      <c r="AB385" s="1" t="s">
        <v>5840</v>
      </c>
      <c r="AC385" s="1" t="s">
        <v>92</v>
      </c>
      <c r="AD385" s="1">
        <v>8.27</v>
      </c>
      <c r="AE385" s="1" t="s">
        <v>93</v>
      </c>
      <c r="AF385" s="1" t="s">
        <v>7529</v>
      </c>
      <c r="AG385" s="1" t="s">
        <v>7530</v>
      </c>
      <c r="AH385" s="1" t="s">
        <v>998</v>
      </c>
      <c r="AI385" s="1" t="s">
        <v>96</v>
      </c>
      <c r="AJ385" s="1">
        <v>75.4</v>
      </c>
      <c r="AK385" s="1"/>
      <c r="AL385" s="1"/>
      <c r="AM385" s="1"/>
      <c r="AN385" s="1"/>
      <c r="AO385" s="1"/>
      <c r="AP385" s="1"/>
      <c r="AQ385" s="1"/>
      <c r="AR385" s="1" t="s">
        <v>98</v>
      </c>
      <c r="AS385" s="1" t="s">
        <v>7531</v>
      </c>
      <c r="AT385" s="1" t="s">
        <v>252</v>
      </c>
      <c r="AU385" s="1" t="s">
        <v>165</v>
      </c>
      <c r="AV385" s="1">
        <v>65.76</v>
      </c>
      <c r="AW385" s="1"/>
      <c r="AX385" s="1" t="s">
        <v>335</v>
      </c>
      <c r="AY385" s="1" t="s">
        <v>7532</v>
      </c>
      <c r="AZ385" s="1" t="s">
        <v>225</v>
      </c>
      <c r="BA385" s="1" t="s">
        <v>412</v>
      </c>
      <c r="BB385" s="1">
        <v>97.07</v>
      </c>
      <c r="BC385" s="1">
        <v>9.26</v>
      </c>
      <c r="BD385" s="1"/>
      <c r="BE385" s="1"/>
      <c r="BF385" s="1"/>
      <c r="BG385" s="1"/>
      <c r="BH385" s="1"/>
      <c r="BI385" s="1"/>
      <c r="BJ385" s="1" t="s">
        <v>7533</v>
      </c>
      <c r="BK385" s="1" t="s">
        <v>7534</v>
      </c>
      <c r="BL385" s="1" t="s">
        <v>1543</v>
      </c>
      <c r="BM385" s="1" t="s">
        <v>7535</v>
      </c>
      <c r="BN385" s="1">
        <v>8</v>
      </c>
      <c r="BO385" s="1" t="s">
        <v>7536</v>
      </c>
      <c r="BP385" s="1" t="str">
        <f>HYPERLINK("https://nconnect.nicmar.ac.in/storage/profile/ProfilePhoto_P25700336_569138.jpg","Download")</f>
        <v>0</v>
      </c>
      <c r="BQ385" s="3"/>
      <c r="BR385" s="3"/>
    </row>
    <row r="386" spans="1:70">
      <c r="A386" s="1" t="s">
        <v>70</v>
      </c>
      <c r="B386" s="1" t="s">
        <v>1269</v>
      </c>
      <c r="C386" s="1" t="s">
        <v>7537</v>
      </c>
      <c r="D386" s="1" t="s">
        <v>7538</v>
      </c>
      <c r="E386" s="1"/>
      <c r="F386" s="1" t="s">
        <v>5393</v>
      </c>
      <c r="G386" s="1" t="s">
        <v>7539</v>
      </c>
      <c r="H386" s="1" t="s">
        <v>7540</v>
      </c>
      <c r="I386" s="1" t="s">
        <v>7541</v>
      </c>
      <c r="J386" s="1">
        <v>9630093454</v>
      </c>
      <c r="K386" s="1" t="s">
        <v>79</v>
      </c>
      <c r="L386" s="1" t="s">
        <v>2490</v>
      </c>
      <c r="M386" s="1" t="s">
        <v>81</v>
      </c>
      <c r="N386" s="1" t="s">
        <v>7542</v>
      </c>
      <c r="O386" s="1"/>
      <c r="P386" s="1" t="s">
        <v>1323</v>
      </c>
      <c r="Q386" s="1" t="s">
        <v>7543</v>
      </c>
      <c r="R386" s="1" t="s">
        <v>7544</v>
      </c>
      <c r="S386" s="1">
        <v>9893418454</v>
      </c>
      <c r="T386" s="1" t="s">
        <v>496</v>
      </c>
      <c r="U386" s="1" t="s">
        <v>7545</v>
      </c>
      <c r="V386" s="1">
        <v>9981199606</v>
      </c>
      <c r="W386" s="1" t="s">
        <v>273</v>
      </c>
      <c r="X386" s="1" t="s">
        <v>7546</v>
      </c>
      <c r="Y386" s="1" t="s">
        <v>6382</v>
      </c>
      <c r="Z386" s="1" t="s">
        <v>936</v>
      </c>
      <c r="AA386" s="1" t="s">
        <v>7546</v>
      </c>
      <c r="AB386" s="1" t="s">
        <v>6382</v>
      </c>
      <c r="AC386" s="1" t="s">
        <v>936</v>
      </c>
      <c r="AD386" s="1">
        <v>7.0</v>
      </c>
      <c r="AE386" s="1" t="s">
        <v>93</v>
      </c>
      <c r="AF386" s="1" t="s">
        <v>7547</v>
      </c>
      <c r="AG386" s="1" t="s">
        <v>7548</v>
      </c>
      <c r="AH386" s="1" t="s">
        <v>195</v>
      </c>
      <c r="AI386" s="1" t="s">
        <v>166</v>
      </c>
      <c r="AJ386" s="1">
        <v>79.8</v>
      </c>
      <c r="AK386" s="1"/>
      <c r="AL386" s="1" t="s">
        <v>7549</v>
      </c>
      <c r="AM386" s="1" t="s">
        <v>7550</v>
      </c>
      <c r="AN386" s="1" t="s">
        <v>409</v>
      </c>
      <c r="AO386" s="1" t="s">
        <v>173</v>
      </c>
      <c r="AP386" s="1">
        <v>71</v>
      </c>
      <c r="AQ386" s="1"/>
      <c r="AR386" s="1"/>
      <c r="AS386" s="1"/>
      <c r="AT386" s="1"/>
      <c r="AU386" s="1"/>
      <c r="AV386" s="1"/>
      <c r="AW386" s="1"/>
      <c r="AX386" s="1" t="s">
        <v>3432</v>
      </c>
      <c r="AY386" s="1" t="s">
        <v>7551</v>
      </c>
      <c r="AZ386" s="1" t="s">
        <v>681</v>
      </c>
      <c r="BA386" s="1" t="s">
        <v>413</v>
      </c>
      <c r="BB386" s="1">
        <v>82.5</v>
      </c>
      <c r="BC386" s="1">
        <v>8.25</v>
      </c>
      <c r="BD386" s="1"/>
      <c r="BE386" s="1"/>
      <c r="BF386" s="1"/>
      <c r="BG386" s="1"/>
      <c r="BH386" s="1"/>
      <c r="BI386" s="1"/>
      <c r="BJ386" s="1" t="s">
        <v>4112</v>
      </c>
      <c r="BK386" s="1"/>
      <c r="BL386" s="1"/>
      <c r="BM386" s="1" t="s">
        <v>7552</v>
      </c>
      <c r="BN386" s="1">
        <v>11</v>
      </c>
      <c r="BO386" s="1" t="s">
        <v>7553</v>
      </c>
      <c r="BP386" s="1" t="str">
        <f>HYPERLINK("https://nconnect.nicmar.ac.in/storage/profile/ProfilePhoto_P25700337_749123.jpg","Download")</f>
        <v>0</v>
      </c>
      <c r="BQ386" s="3"/>
      <c r="BR386" s="3"/>
    </row>
    <row r="387" spans="1:70">
      <c r="A387" s="1" t="s">
        <v>70</v>
      </c>
      <c r="B387" s="1" t="s">
        <v>1269</v>
      </c>
      <c r="C387" s="1" t="s">
        <v>7554</v>
      </c>
      <c r="D387" s="1" t="s">
        <v>1875</v>
      </c>
      <c r="E387" s="1"/>
      <c r="F387" s="1" t="s">
        <v>7555</v>
      </c>
      <c r="G387" s="1" t="s">
        <v>7556</v>
      </c>
      <c r="H387" s="1" t="s">
        <v>7557</v>
      </c>
      <c r="I387" s="1" t="s">
        <v>7558</v>
      </c>
      <c r="J387" s="1">
        <v>8793133181</v>
      </c>
      <c r="K387" s="1" t="s">
        <v>79</v>
      </c>
      <c r="L387" s="1" t="s">
        <v>5932</v>
      </c>
      <c r="M387" s="1" t="s">
        <v>81</v>
      </c>
      <c r="N387" s="1" t="s">
        <v>241</v>
      </c>
      <c r="O387" s="1"/>
      <c r="P387" s="1" t="s">
        <v>1323</v>
      </c>
      <c r="Q387" s="1" t="s">
        <v>7559</v>
      </c>
      <c r="R387" s="1" t="s">
        <v>7560</v>
      </c>
      <c r="S387" s="1">
        <v>9811196678</v>
      </c>
      <c r="T387" s="1" t="s">
        <v>842</v>
      </c>
      <c r="U387" s="1" t="s">
        <v>7561</v>
      </c>
      <c r="V387" s="1">
        <v>9650523367</v>
      </c>
      <c r="W387" s="1" t="s">
        <v>156</v>
      </c>
      <c r="X387" s="1" t="s">
        <v>7562</v>
      </c>
      <c r="Y387" s="1" t="s">
        <v>7563</v>
      </c>
      <c r="Z387" s="1" t="s">
        <v>722</v>
      </c>
      <c r="AA387" s="1" t="s">
        <v>7562</v>
      </c>
      <c r="AB387" s="1" t="s">
        <v>7563</v>
      </c>
      <c r="AC387" s="1" t="s">
        <v>722</v>
      </c>
      <c r="AD387" s="1">
        <v>8.34</v>
      </c>
      <c r="AE387" s="1" t="s">
        <v>93</v>
      </c>
      <c r="AF387" s="1" t="s">
        <v>7564</v>
      </c>
      <c r="AG387" s="1" t="s">
        <v>5624</v>
      </c>
      <c r="AH387" s="1" t="s">
        <v>1307</v>
      </c>
      <c r="AI387" s="1" t="s">
        <v>409</v>
      </c>
      <c r="AJ387" s="1">
        <v>94.8</v>
      </c>
      <c r="AK387" s="1"/>
      <c r="AL387" s="1" t="s">
        <v>7564</v>
      </c>
      <c r="AM387" s="1" t="s">
        <v>5624</v>
      </c>
      <c r="AN387" s="1" t="s">
        <v>1834</v>
      </c>
      <c r="AO387" s="1" t="s">
        <v>504</v>
      </c>
      <c r="AP387" s="1">
        <v>90.4</v>
      </c>
      <c r="AQ387" s="1"/>
      <c r="AR387" s="1"/>
      <c r="AS387" s="1"/>
      <c r="AT387" s="1"/>
      <c r="AU387" s="1"/>
      <c r="AV387" s="1"/>
      <c r="AW387" s="1"/>
      <c r="AX387" s="1" t="s">
        <v>7565</v>
      </c>
      <c r="AY387" s="1" t="s">
        <v>7566</v>
      </c>
      <c r="AZ387" s="1" t="s">
        <v>897</v>
      </c>
      <c r="BA387" s="1" t="s">
        <v>1714</v>
      </c>
      <c r="BB387" s="1">
        <v>80.1</v>
      </c>
      <c r="BC387" s="1"/>
      <c r="BD387" s="1"/>
      <c r="BE387" s="1"/>
      <c r="BF387" s="1"/>
      <c r="BG387" s="1"/>
      <c r="BH387" s="1"/>
      <c r="BI387" s="1"/>
      <c r="BJ387" s="1" t="s">
        <v>7567</v>
      </c>
      <c r="BK387" s="1"/>
      <c r="BL387" s="1"/>
      <c r="BM387" s="1" t="s">
        <v>7568</v>
      </c>
      <c r="BN387" s="1">
        <v>42</v>
      </c>
      <c r="BO387" s="1"/>
      <c r="BP387" s="1" t="str">
        <f>HYPERLINK("https://nconnect.nicmar.ac.in/storage/profile/ProfilePhoto_P25700338_458312.jpg","Download")</f>
        <v>0</v>
      </c>
      <c r="BQ387" s="3"/>
      <c r="BR387" s="3"/>
    </row>
    <row r="388" spans="1:70">
      <c r="A388" s="1" t="s">
        <v>70</v>
      </c>
      <c r="B388" s="1" t="s">
        <v>1269</v>
      </c>
      <c r="C388" s="1" t="s">
        <v>7569</v>
      </c>
      <c r="D388" s="1" t="s">
        <v>7570</v>
      </c>
      <c r="E388" s="1" t="s">
        <v>7571</v>
      </c>
      <c r="F388" s="1" t="s">
        <v>7572</v>
      </c>
      <c r="G388" s="1" t="s">
        <v>7573</v>
      </c>
      <c r="H388" s="1" t="s">
        <v>7574</v>
      </c>
      <c r="I388" s="1" t="s">
        <v>7575</v>
      </c>
      <c r="J388" s="1">
        <v>9972468819</v>
      </c>
      <c r="K388" s="1" t="s">
        <v>79</v>
      </c>
      <c r="L388" s="1" t="s">
        <v>5256</v>
      </c>
      <c r="M388" s="1" t="s">
        <v>81</v>
      </c>
      <c r="N388" s="1" t="s">
        <v>7576</v>
      </c>
      <c r="O388" s="1"/>
      <c r="P388" s="1" t="s">
        <v>1278</v>
      </c>
      <c r="Q388" s="1" t="s">
        <v>7577</v>
      </c>
      <c r="R388" s="1" t="s">
        <v>7571</v>
      </c>
      <c r="S388" s="1">
        <v>9448692432</v>
      </c>
      <c r="T388" s="1" t="s">
        <v>154</v>
      </c>
      <c r="U388" s="1" t="s">
        <v>7578</v>
      </c>
      <c r="V388" s="1">
        <v>9481108308</v>
      </c>
      <c r="W388" s="1" t="s">
        <v>273</v>
      </c>
      <c r="X388" s="1" t="s">
        <v>7579</v>
      </c>
      <c r="Y388" s="1" t="s">
        <v>7580</v>
      </c>
      <c r="Z388" s="1" t="s">
        <v>1084</v>
      </c>
      <c r="AA388" s="1" t="s">
        <v>7579</v>
      </c>
      <c r="AB388" s="1" t="s">
        <v>7580</v>
      </c>
      <c r="AC388" s="1" t="s">
        <v>1084</v>
      </c>
      <c r="AD388" s="1">
        <v>7.91</v>
      </c>
      <c r="AE388" s="1" t="s">
        <v>93</v>
      </c>
      <c r="AF388" s="1" t="s">
        <v>7581</v>
      </c>
      <c r="AG388" s="1" t="s">
        <v>7209</v>
      </c>
      <c r="AH388" s="1" t="s">
        <v>165</v>
      </c>
      <c r="AI388" s="1" t="s">
        <v>166</v>
      </c>
      <c r="AJ388" s="1">
        <v>73.4</v>
      </c>
      <c r="AK388" s="1"/>
      <c r="AL388" s="1" t="s">
        <v>7582</v>
      </c>
      <c r="AM388" s="1" t="s">
        <v>2056</v>
      </c>
      <c r="AN388" s="1" t="s">
        <v>101</v>
      </c>
      <c r="AO388" s="1" t="s">
        <v>173</v>
      </c>
      <c r="AP388" s="1">
        <v>84.16</v>
      </c>
      <c r="AQ388" s="1"/>
      <c r="AR388" s="1"/>
      <c r="AS388" s="1"/>
      <c r="AT388" s="1"/>
      <c r="AU388" s="1"/>
      <c r="AV388" s="1"/>
      <c r="AW388" s="1"/>
      <c r="AX388" s="1" t="s">
        <v>7583</v>
      </c>
      <c r="AY388" s="1" t="s">
        <v>7583</v>
      </c>
      <c r="AZ388" s="1" t="s">
        <v>363</v>
      </c>
      <c r="BA388" s="1" t="s">
        <v>1939</v>
      </c>
      <c r="BB388" s="1">
        <v>70.5</v>
      </c>
      <c r="BC388" s="1">
        <v>7.8</v>
      </c>
      <c r="BD388" s="1"/>
      <c r="BE388" s="1"/>
      <c r="BF388" s="1"/>
      <c r="BG388" s="1"/>
      <c r="BH388" s="1"/>
      <c r="BI388" s="1"/>
      <c r="BJ388" s="1" t="s">
        <v>1383</v>
      </c>
      <c r="BK388" s="1" t="s">
        <v>7584</v>
      </c>
      <c r="BL388" s="1" t="s">
        <v>1920</v>
      </c>
      <c r="BM388" s="1" t="s">
        <v>7585</v>
      </c>
      <c r="BN388" s="1">
        <v>17</v>
      </c>
      <c r="BO388" s="1"/>
      <c r="BP388" s="1" t="str">
        <f>HYPERLINK("https://nconnect.nicmar.ac.in/storage/profile/ProfilePhoto_P25700339_893165.jpg","Download")</f>
        <v>0</v>
      </c>
      <c r="BQ388" s="3"/>
      <c r="BR388" s="3"/>
    </row>
    <row r="389" spans="1:70">
      <c r="A389" s="1" t="s">
        <v>70</v>
      </c>
      <c r="B389" s="1" t="s">
        <v>1269</v>
      </c>
      <c r="C389" s="1" t="s">
        <v>7586</v>
      </c>
      <c r="D389" s="1" t="s">
        <v>7587</v>
      </c>
      <c r="E389" s="1" t="s">
        <v>7588</v>
      </c>
      <c r="F389" s="1" t="s">
        <v>3548</v>
      </c>
      <c r="G389" s="1" t="s">
        <v>7589</v>
      </c>
      <c r="H389" s="1" t="s">
        <v>7590</v>
      </c>
      <c r="I389" s="1" t="s">
        <v>7590</v>
      </c>
      <c r="J389" s="1">
        <v>9322231409</v>
      </c>
      <c r="K389" s="1" t="s">
        <v>79</v>
      </c>
      <c r="L389" s="1" t="s">
        <v>7591</v>
      </c>
      <c r="M389" s="1" t="s">
        <v>81</v>
      </c>
      <c r="N389" s="1" t="s">
        <v>7592</v>
      </c>
      <c r="O389" s="1"/>
      <c r="P389" s="1" t="s">
        <v>1323</v>
      </c>
      <c r="Q389" s="1" t="s">
        <v>7593</v>
      </c>
      <c r="R389" s="1" t="s">
        <v>7588</v>
      </c>
      <c r="S389" s="1">
        <v>9322231409</v>
      </c>
      <c r="T389" s="1" t="s">
        <v>122</v>
      </c>
      <c r="U389" s="1" t="s">
        <v>2972</v>
      </c>
      <c r="V389" s="1">
        <v>8275149693</v>
      </c>
      <c r="W389" s="1" t="s">
        <v>273</v>
      </c>
      <c r="X389" s="1" t="s">
        <v>7594</v>
      </c>
      <c r="Y389" s="1" t="s">
        <v>246</v>
      </c>
      <c r="Z389" s="1" t="s">
        <v>92</v>
      </c>
      <c r="AA389" s="1" t="s">
        <v>7594</v>
      </c>
      <c r="AB389" s="1" t="s">
        <v>246</v>
      </c>
      <c r="AC389" s="1" t="s">
        <v>92</v>
      </c>
      <c r="AD389" s="1">
        <v>7.49</v>
      </c>
      <c r="AE389" s="1" t="s">
        <v>93</v>
      </c>
      <c r="AF389" s="1" t="s">
        <v>7595</v>
      </c>
      <c r="AG389" s="1" t="s">
        <v>7596</v>
      </c>
      <c r="AH389" s="1" t="s">
        <v>101</v>
      </c>
      <c r="AI389" s="1" t="s">
        <v>308</v>
      </c>
      <c r="AJ389" s="1">
        <v>85</v>
      </c>
      <c r="AK389" s="1"/>
      <c r="AL389" s="1" t="s">
        <v>7597</v>
      </c>
      <c r="AM389" s="1" t="s">
        <v>7598</v>
      </c>
      <c r="AN389" s="1" t="s">
        <v>173</v>
      </c>
      <c r="AO389" s="1" t="s">
        <v>3088</v>
      </c>
      <c r="AP389" s="1">
        <v>92.17</v>
      </c>
      <c r="AQ389" s="1"/>
      <c r="AR389" s="1"/>
      <c r="AS389" s="1"/>
      <c r="AT389" s="1"/>
      <c r="AU389" s="1"/>
      <c r="AV389" s="1"/>
      <c r="AW389" s="1"/>
      <c r="AX389" s="1" t="s">
        <v>361</v>
      </c>
      <c r="AY389" s="1" t="s">
        <v>7599</v>
      </c>
      <c r="AZ389" s="1" t="s">
        <v>1131</v>
      </c>
      <c r="BA389" s="1" t="s">
        <v>1714</v>
      </c>
      <c r="BB389" s="1">
        <v>61.67</v>
      </c>
      <c r="BC389" s="1">
        <v>6.93</v>
      </c>
      <c r="BD389" s="1"/>
      <c r="BE389" s="1"/>
      <c r="BF389" s="1"/>
      <c r="BG389" s="1"/>
      <c r="BH389" s="1"/>
      <c r="BI389" s="1"/>
      <c r="BJ389" s="1" t="s">
        <v>7600</v>
      </c>
      <c r="BK389" s="1"/>
      <c r="BL389" s="1"/>
      <c r="BM389" s="1" t="s">
        <v>7601</v>
      </c>
      <c r="BN389" s="1">
        <v>12</v>
      </c>
      <c r="BO389" s="1" t="s">
        <v>7602</v>
      </c>
      <c r="BP389" s="1" t="str">
        <f>HYPERLINK("https://nconnect.nicmar.ac.in/storage/profile/ProfilePhoto_P25700340_491823.jpg","Download")</f>
        <v>0</v>
      </c>
      <c r="BQ389" s="3"/>
      <c r="BR389" s="3"/>
    </row>
    <row r="390" spans="1:70">
      <c r="A390" s="1" t="s">
        <v>70</v>
      </c>
      <c r="B390" s="1" t="s">
        <v>1269</v>
      </c>
      <c r="C390" s="1" t="s">
        <v>7603</v>
      </c>
      <c r="D390" s="1" t="s">
        <v>2897</v>
      </c>
      <c r="E390" s="1" t="s">
        <v>7604</v>
      </c>
      <c r="F390" s="1" t="s">
        <v>4996</v>
      </c>
      <c r="G390" s="1" t="s">
        <v>7605</v>
      </c>
      <c r="H390" s="1" t="s">
        <v>7606</v>
      </c>
      <c r="I390" s="1" t="s">
        <v>7607</v>
      </c>
      <c r="J390" s="1">
        <v>9657575771</v>
      </c>
      <c r="K390" s="1" t="s">
        <v>79</v>
      </c>
      <c r="L390" s="1" t="s">
        <v>2028</v>
      </c>
      <c r="M390" s="1" t="s">
        <v>81</v>
      </c>
      <c r="N390" s="1" t="s">
        <v>1418</v>
      </c>
      <c r="O390" s="1"/>
      <c r="P390" s="1" t="s">
        <v>1298</v>
      </c>
      <c r="Q390" s="1" t="s">
        <v>7608</v>
      </c>
      <c r="R390" s="1" t="s">
        <v>4996</v>
      </c>
      <c r="S390" s="1">
        <v>9657577711</v>
      </c>
      <c r="T390" s="1" t="s">
        <v>842</v>
      </c>
      <c r="U390" s="1" t="s">
        <v>7609</v>
      </c>
      <c r="V390" s="1">
        <v>9552544771</v>
      </c>
      <c r="W390" s="1" t="s">
        <v>156</v>
      </c>
      <c r="X390" s="1" t="s">
        <v>7610</v>
      </c>
      <c r="Y390" s="1" t="s">
        <v>1887</v>
      </c>
      <c r="Z390" s="1" t="s">
        <v>92</v>
      </c>
      <c r="AA390" s="1" t="s">
        <v>7610</v>
      </c>
      <c r="AB390" s="1" t="s">
        <v>1887</v>
      </c>
      <c r="AC390" s="1" t="s">
        <v>92</v>
      </c>
      <c r="AD390" s="1">
        <v>7.76</v>
      </c>
      <c r="AE390" s="1" t="s">
        <v>93</v>
      </c>
      <c r="AF390" s="1" t="s">
        <v>7611</v>
      </c>
      <c r="AG390" s="1" t="s">
        <v>7612</v>
      </c>
      <c r="AH390" s="1" t="s">
        <v>101</v>
      </c>
      <c r="AI390" s="1" t="s">
        <v>409</v>
      </c>
      <c r="AJ390" s="1">
        <v>92.2</v>
      </c>
      <c r="AK390" s="1">
        <v>0</v>
      </c>
      <c r="AL390" s="1" t="s">
        <v>7613</v>
      </c>
      <c r="AM390" s="1" t="s">
        <v>7612</v>
      </c>
      <c r="AN390" s="1" t="s">
        <v>699</v>
      </c>
      <c r="AO390" s="1" t="s">
        <v>504</v>
      </c>
      <c r="AP390" s="1">
        <v>88.5</v>
      </c>
      <c r="AQ390" s="1">
        <v>0</v>
      </c>
      <c r="AR390" s="1"/>
      <c r="AS390" s="1"/>
      <c r="AT390" s="1"/>
      <c r="AU390" s="1"/>
      <c r="AV390" s="1"/>
      <c r="AW390" s="1"/>
      <c r="AX390" s="1" t="s">
        <v>7614</v>
      </c>
      <c r="AY390" s="1" t="s">
        <v>7615</v>
      </c>
      <c r="AZ390" s="1" t="s">
        <v>135</v>
      </c>
      <c r="BA390" s="1" t="s">
        <v>1584</v>
      </c>
      <c r="BB390" s="1">
        <v>84.2</v>
      </c>
      <c r="BC390" s="1"/>
      <c r="BD390" s="1"/>
      <c r="BE390" s="1"/>
      <c r="BF390" s="1"/>
      <c r="BG390" s="1"/>
      <c r="BH390" s="1"/>
      <c r="BI390" s="1"/>
      <c r="BJ390" s="1" t="s">
        <v>1715</v>
      </c>
      <c r="BK390" s="1"/>
      <c r="BL390" s="1"/>
      <c r="BM390" s="1"/>
      <c r="BN390" s="1"/>
      <c r="BO390" s="1"/>
      <c r="BP390" s="1" t="str">
        <f>HYPERLINK("https://nconnect.nicmar.ac.in/storage/profile/ProfilePhoto_P25700341_527638.jpg","Download")</f>
        <v>0</v>
      </c>
      <c r="BQ390" s="3"/>
      <c r="BR390" s="3"/>
    </row>
    <row r="391" spans="1:70">
      <c r="A391" s="1" t="s">
        <v>70</v>
      </c>
      <c r="B391" s="1" t="s">
        <v>1269</v>
      </c>
      <c r="C391" s="1" t="s">
        <v>7616</v>
      </c>
      <c r="D391" s="1" t="s">
        <v>7617</v>
      </c>
      <c r="E391" s="1" t="s">
        <v>7618</v>
      </c>
      <c r="F391" s="1" t="s">
        <v>2024</v>
      </c>
      <c r="G391" s="1" t="s">
        <v>7619</v>
      </c>
      <c r="H391" s="1" t="s">
        <v>7620</v>
      </c>
      <c r="I391" s="1" t="s">
        <v>7621</v>
      </c>
      <c r="J391" s="1">
        <v>9022001835</v>
      </c>
      <c r="K391" s="1" t="s">
        <v>79</v>
      </c>
      <c r="L391" s="1" t="s">
        <v>7622</v>
      </c>
      <c r="M391" s="1" t="s">
        <v>81</v>
      </c>
      <c r="N391" s="1" t="s">
        <v>1418</v>
      </c>
      <c r="O391" s="1"/>
      <c r="P391" s="1" t="s">
        <v>1323</v>
      </c>
      <c r="Q391" s="1" t="s">
        <v>7623</v>
      </c>
      <c r="R391" s="1" t="s">
        <v>7624</v>
      </c>
      <c r="S391" s="1">
        <v>9049513669</v>
      </c>
      <c r="T391" s="1" t="s">
        <v>154</v>
      </c>
      <c r="U391" s="1" t="s">
        <v>2768</v>
      </c>
      <c r="V391" s="1">
        <v>9049513669</v>
      </c>
      <c r="W391" s="1" t="s">
        <v>651</v>
      </c>
      <c r="X391" s="1" t="s">
        <v>7625</v>
      </c>
      <c r="Y391" s="1" t="s">
        <v>191</v>
      </c>
      <c r="Z391" s="1" t="s">
        <v>92</v>
      </c>
      <c r="AA391" s="1" t="s">
        <v>7626</v>
      </c>
      <c r="AB391" s="1" t="s">
        <v>1887</v>
      </c>
      <c r="AC391" s="1" t="s">
        <v>92</v>
      </c>
      <c r="AD391" s="1">
        <v>7.52</v>
      </c>
      <c r="AE391" s="1" t="s">
        <v>93</v>
      </c>
      <c r="AF391" s="1" t="s">
        <v>7627</v>
      </c>
      <c r="AG391" s="1" t="s">
        <v>7628</v>
      </c>
      <c r="AH391" s="1" t="s">
        <v>162</v>
      </c>
      <c r="AI391" s="1" t="s">
        <v>195</v>
      </c>
      <c r="AJ391" s="1">
        <v>77.8</v>
      </c>
      <c r="AK391" s="1">
        <v>0</v>
      </c>
      <c r="AL391" s="1" t="s">
        <v>7629</v>
      </c>
      <c r="AM391" s="1" t="s">
        <v>7630</v>
      </c>
      <c r="AN391" s="1" t="s">
        <v>433</v>
      </c>
      <c r="AO391" s="1" t="s">
        <v>360</v>
      </c>
      <c r="AP391" s="1">
        <v>73.69</v>
      </c>
      <c r="AQ391" s="1"/>
      <c r="AR391" s="1"/>
      <c r="AS391" s="1"/>
      <c r="AT391" s="1"/>
      <c r="AU391" s="1"/>
      <c r="AV391" s="1"/>
      <c r="AW391" s="1"/>
      <c r="AX391" s="1" t="s">
        <v>7631</v>
      </c>
      <c r="AY391" s="1" t="s">
        <v>7632</v>
      </c>
      <c r="AZ391" s="1" t="s">
        <v>228</v>
      </c>
      <c r="BA391" s="1" t="s">
        <v>944</v>
      </c>
      <c r="BB391" s="1">
        <v>65</v>
      </c>
      <c r="BC391" s="1">
        <v>7</v>
      </c>
      <c r="BD391" s="1"/>
      <c r="BE391" s="1"/>
      <c r="BF391" s="1"/>
      <c r="BG391" s="1"/>
      <c r="BH391" s="1"/>
      <c r="BI391" s="1"/>
      <c r="BJ391" s="1" t="s">
        <v>364</v>
      </c>
      <c r="BK391" s="1"/>
      <c r="BL391" s="1"/>
      <c r="BM391" s="1" t="s">
        <v>7633</v>
      </c>
      <c r="BN391" s="1">
        <v>9</v>
      </c>
      <c r="BO391" s="1"/>
      <c r="BP391" s="1" t="str">
        <f>HYPERLINK("https://nconnect.nicmar.ac.in/storage/profile/ProfilePhoto_P25700342_917356.jpg","Download")</f>
        <v>0</v>
      </c>
      <c r="BQ391" s="3"/>
      <c r="BR391" s="3"/>
    </row>
    <row r="392" spans="1:70">
      <c r="A392" s="1" t="s">
        <v>70</v>
      </c>
      <c r="B392" s="1" t="s">
        <v>1269</v>
      </c>
      <c r="C392" s="1" t="s">
        <v>7634</v>
      </c>
      <c r="D392" s="1" t="s">
        <v>7635</v>
      </c>
      <c r="E392" s="1"/>
      <c r="F392" s="1" t="s">
        <v>4045</v>
      </c>
      <c r="G392" s="1" t="s">
        <v>7636</v>
      </c>
      <c r="H392" s="1" t="s">
        <v>7637</v>
      </c>
      <c r="I392" s="1" t="s">
        <v>7638</v>
      </c>
      <c r="J392" s="1">
        <v>9500644033</v>
      </c>
      <c r="K392" s="1" t="s">
        <v>79</v>
      </c>
      <c r="L392" s="1" t="s">
        <v>7639</v>
      </c>
      <c r="M392" s="1" t="s">
        <v>81</v>
      </c>
      <c r="N392" s="1" t="s">
        <v>2861</v>
      </c>
      <c r="O392" s="1"/>
      <c r="P392" s="1" t="s">
        <v>6640</v>
      </c>
      <c r="Q392" s="1" t="s">
        <v>7640</v>
      </c>
      <c r="R392" s="1" t="s">
        <v>7641</v>
      </c>
      <c r="S392" s="1">
        <v>9842710066</v>
      </c>
      <c r="T392" s="1" t="s">
        <v>496</v>
      </c>
      <c r="U392" s="1" t="s">
        <v>7642</v>
      </c>
      <c r="V392" s="1">
        <v>9965430493</v>
      </c>
      <c r="W392" s="1" t="s">
        <v>89</v>
      </c>
      <c r="X392" s="1" t="s">
        <v>7643</v>
      </c>
      <c r="Y392" s="1" t="s">
        <v>7644</v>
      </c>
      <c r="Z392" s="1" t="s">
        <v>1377</v>
      </c>
      <c r="AA392" s="1" t="s">
        <v>7643</v>
      </c>
      <c r="AB392" s="1" t="s">
        <v>7644</v>
      </c>
      <c r="AC392" s="1" t="s">
        <v>1377</v>
      </c>
      <c r="AD392" s="1">
        <v>8.44</v>
      </c>
      <c r="AE392" s="1" t="s">
        <v>93</v>
      </c>
      <c r="AF392" s="1" t="s">
        <v>7645</v>
      </c>
      <c r="AG392" s="1" t="s">
        <v>7646</v>
      </c>
      <c r="AH392" s="1" t="s">
        <v>3922</v>
      </c>
      <c r="AI392" s="1" t="s">
        <v>308</v>
      </c>
      <c r="AJ392" s="1">
        <v>90.2</v>
      </c>
      <c r="AK392" s="1"/>
      <c r="AL392" s="1" t="s">
        <v>7647</v>
      </c>
      <c r="AM392" s="1" t="s">
        <v>7646</v>
      </c>
      <c r="AN392" s="1" t="s">
        <v>433</v>
      </c>
      <c r="AO392" s="1" t="s">
        <v>506</v>
      </c>
      <c r="AP392" s="1">
        <v>91.6</v>
      </c>
      <c r="AQ392" s="1"/>
      <c r="AR392" s="1"/>
      <c r="AS392" s="1"/>
      <c r="AT392" s="1"/>
      <c r="AU392" s="1"/>
      <c r="AV392" s="1"/>
      <c r="AW392" s="1"/>
      <c r="AX392" s="1" t="s">
        <v>7648</v>
      </c>
      <c r="AY392" s="1" t="s">
        <v>4894</v>
      </c>
      <c r="AZ392" s="1" t="s">
        <v>1051</v>
      </c>
      <c r="BA392" s="1" t="s">
        <v>1361</v>
      </c>
      <c r="BB392" s="1">
        <v>73</v>
      </c>
      <c r="BC392" s="1">
        <v>7.3</v>
      </c>
      <c r="BD392" s="1"/>
      <c r="BE392" s="1"/>
      <c r="BF392" s="1"/>
      <c r="BG392" s="1"/>
      <c r="BH392" s="1"/>
      <c r="BI392" s="1"/>
      <c r="BJ392" s="1" t="s">
        <v>364</v>
      </c>
      <c r="BK392" s="1"/>
      <c r="BL392" s="1"/>
      <c r="BM392" s="1" t="s">
        <v>7649</v>
      </c>
      <c r="BN392" s="1">
        <v>22</v>
      </c>
      <c r="BO392" s="1" t="s">
        <v>7650</v>
      </c>
      <c r="BP392" s="1" t="str">
        <f>HYPERLINK("https://nconnect.nicmar.ac.in/storage/profile/ProfilePhoto_P25700343_519836.jpg","Download")</f>
        <v>0</v>
      </c>
      <c r="BQ392" s="3"/>
      <c r="BR392" s="3"/>
    </row>
    <row r="393" spans="1:70">
      <c r="A393" s="1" t="s">
        <v>70</v>
      </c>
      <c r="B393" s="1" t="s">
        <v>1269</v>
      </c>
      <c r="C393" s="1" t="s">
        <v>7651</v>
      </c>
      <c r="D393" s="1" t="s">
        <v>793</v>
      </c>
      <c r="E393" s="1" t="s">
        <v>7652</v>
      </c>
      <c r="F393" s="1" t="s">
        <v>7653</v>
      </c>
      <c r="G393" s="1" t="s">
        <v>7654</v>
      </c>
      <c r="H393" s="1" t="s">
        <v>7655</v>
      </c>
      <c r="I393" s="1" t="s">
        <v>7656</v>
      </c>
      <c r="J393" s="1">
        <v>7218952633</v>
      </c>
      <c r="K393" s="1" t="s">
        <v>79</v>
      </c>
      <c r="L393" s="1" t="s">
        <v>7657</v>
      </c>
      <c r="M393" s="1" t="s">
        <v>81</v>
      </c>
      <c r="N393" s="1" t="s">
        <v>1765</v>
      </c>
      <c r="O393" s="1"/>
      <c r="P393" s="1" t="s">
        <v>1278</v>
      </c>
      <c r="Q393" s="1" t="s">
        <v>7658</v>
      </c>
      <c r="R393" s="1" t="s">
        <v>7652</v>
      </c>
      <c r="S393" s="1">
        <v>9421567633</v>
      </c>
      <c r="T393" s="1" t="s">
        <v>154</v>
      </c>
      <c r="U393" s="1" t="s">
        <v>7659</v>
      </c>
      <c r="V393" s="1">
        <v>9421567633</v>
      </c>
      <c r="W393" s="1" t="s">
        <v>651</v>
      </c>
      <c r="X393" s="1" t="s">
        <v>7660</v>
      </c>
      <c r="Y393" s="1" t="s">
        <v>304</v>
      </c>
      <c r="Z393" s="1" t="s">
        <v>92</v>
      </c>
      <c r="AA393" s="1" t="s">
        <v>7660</v>
      </c>
      <c r="AB393" s="1" t="s">
        <v>304</v>
      </c>
      <c r="AC393" s="1" t="s">
        <v>92</v>
      </c>
      <c r="AD393" s="1">
        <v>7.25</v>
      </c>
      <c r="AE393" s="1" t="s">
        <v>93</v>
      </c>
      <c r="AF393" s="1" t="s">
        <v>7661</v>
      </c>
      <c r="AG393" s="1" t="s">
        <v>476</v>
      </c>
      <c r="AH393" s="1" t="s">
        <v>96</v>
      </c>
      <c r="AI393" s="1" t="s">
        <v>161</v>
      </c>
      <c r="AJ393" s="1">
        <v>72.2</v>
      </c>
      <c r="AK393" s="1"/>
      <c r="AL393" s="1"/>
      <c r="AM393" s="1"/>
      <c r="AN393" s="1"/>
      <c r="AO393" s="1"/>
      <c r="AP393" s="1"/>
      <c r="AQ393" s="1"/>
      <c r="AR393" s="1" t="s">
        <v>98</v>
      </c>
      <c r="AS393" s="1" t="s">
        <v>7662</v>
      </c>
      <c r="AT393" s="1" t="s">
        <v>337</v>
      </c>
      <c r="AU393" s="1" t="s">
        <v>681</v>
      </c>
      <c r="AV393" s="1">
        <v>60</v>
      </c>
      <c r="AW393" s="1"/>
      <c r="AX393" s="1" t="s">
        <v>7663</v>
      </c>
      <c r="AY393" s="1" t="s">
        <v>7664</v>
      </c>
      <c r="AZ393" s="1" t="s">
        <v>363</v>
      </c>
      <c r="BA393" s="1" t="s">
        <v>174</v>
      </c>
      <c r="BB393" s="1">
        <v>71.62</v>
      </c>
      <c r="BC393" s="1">
        <v>7.55</v>
      </c>
      <c r="BD393" s="1"/>
      <c r="BE393" s="1"/>
      <c r="BF393" s="1"/>
      <c r="BG393" s="1"/>
      <c r="BH393" s="1"/>
      <c r="BI393" s="1"/>
      <c r="BJ393" s="1" t="s">
        <v>7665</v>
      </c>
      <c r="BK393" s="1" t="s">
        <v>7666</v>
      </c>
      <c r="BL393" s="1" t="s">
        <v>2187</v>
      </c>
      <c r="BM393" s="1" t="s">
        <v>7667</v>
      </c>
      <c r="BN393" s="1">
        <v>8</v>
      </c>
      <c r="BO393" s="1"/>
      <c r="BP393" s="1" t="str">
        <f>HYPERLINK("https://nconnect.nicmar.ac.in/storage/profile/ProfilePhoto_P25700344_278134.jpg","Download")</f>
        <v>0</v>
      </c>
      <c r="BQ393" s="3"/>
      <c r="BR393" s="3"/>
    </row>
    <row r="394" spans="1:70">
      <c r="A394" s="1" t="s">
        <v>70</v>
      </c>
      <c r="B394" s="1" t="s">
        <v>1269</v>
      </c>
      <c r="C394" s="1" t="s">
        <v>7668</v>
      </c>
      <c r="D394" s="1" t="s">
        <v>1740</v>
      </c>
      <c r="E394" s="1" t="s">
        <v>2485</v>
      </c>
      <c r="F394" s="1" t="s">
        <v>7669</v>
      </c>
      <c r="G394" s="1" t="s">
        <v>7670</v>
      </c>
      <c r="H394" s="1" t="s">
        <v>7671</v>
      </c>
      <c r="I394" s="1" t="s">
        <v>7672</v>
      </c>
      <c r="J394" s="1">
        <v>7219070684</v>
      </c>
      <c r="K394" s="1" t="s">
        <v>79</v>
      </c>
      <c r="L394" s="1" t="s">
        <v>7673</v>
      </c>
      <c r="M394" s="1" t="s">
        <v>81</v>
      </c>
      <c r="N394" s="1" t="s">
        <v>7321</v>
      </c>
      <c r="O394" s="1"/>
      <c r="P394" s="1" t="s">
        <v>1323</v>
      </c>
      <c r="Q394" s="1" t="s">
        <v>7674</v>
      </c>
      <c r="R394" s="1" t="s">
        <v>7675</v>
      </c>
      <c r="S394" s="1">
        <v>9325686281</v>
      </c>
      <c r="T394" s="1" t="s">
        <v>7676</v>
      </c>
      <c r="U394" s="1" t="s">
        <v>7677</v>
      </c>
      <c r="V394" s="1">
        <v>9890037065</v>
      </c>
      <c r="W394" s="1" t="s">
        <v>156</v>
      </c>
      <c r="X394" s="1" t="s">
        <v>7678</v>
      </c>
      <c r="Y394" s="1" t="s">
        <v>191</v>
      </c>
      <c r="Z394" s="1" t="s">
        <v>92</v>
      </c>
      <c r="AA394" s="1" t="s">
        <v>7678</v>
      </c>
      <c r="AB394" s="1" t="s">
        <v>191</v>
      </c>
      <c r="AC394" s="1" t="s">
        <v>92</v>
      </c>
      <c r="AD394" s="1">
        <v>8.37</v>
      </c>
      <c r="AE394" s="1" t="s">
        <v>93</v>
      </c>
      <c r="AF394" s="1" t="s">
        <v>7679</v>
      </c>
      <c r="AG394" s="1" t="s">
        <v>307</v>
      </c>
      <c r="AH394" s="1" t="s">
        <v>281</v>
      </c>
      <c r="AI394" s="1" t="s">
        <v>308</v>
      </c>
      <c r="AJ394" s="1">
        <v>83.8</v>
      </c>
      <c r="AK394" s="1"/>
      <c r="AL394" s="1"/>
      <c r="AM394" s="1"/>
      <c r="AN394" s="1"/>
      <c r="AO394" s="1"/>
      <c r="AP394" s="1"/>
      <c r="AQ394" s="1"/>
      <c r="AR394" s="1" t="s">
        <v>98</v>
      </c>
      <c r="AS394" s="1" t="s">
        <v>7680</v>
      </c>
      <c r="AT394" s="1" t="s">
        <v>433</v>
      </c>
      <c r="AU394" s="1" t="s">
        <v>105</v>
      </c>
      <c r="AV394" s="1">
        <v>83.8</v>
      </c>
      <c r="AW394" s="1"/>
      <c r="AX394" s="1" t="s">
        <v>7681</v>
      </c>
      <c r="AY394" s="1" t="s">
        <v>7681</v>
      </c>
      <c r="AZ394" s="1" t="s">
        <v>874</v>
      </c>
      <c r="BA394" s="1" t="s">
        <v>1714</v>
      </c>
      <c r="BB394" s="1">
        <v>76.1</v>
      </c>
      <c r="BC394" s="1">
        <v>8.36</v>
      </c>
      <c r="BD394" s="1"/>
      <c r="BE394" s="1"/>
      <c r="BF394" s="1"/>
      <c r="BG394" s="1"/>
      <c r="BH394" s="1"/>
      <c r="BI394" s="1"/>
      <c r="BJ394" s="1" t="s">
        <v>7682</v>
      </c>
      <c r="BK394" s="1"/>
      <c r="BL394" s="1"/>
      <c r="BM394" s="1" t="s">
        <v>7683</v>
      </c>
      <c r="BN394" s="1">
        <v>34</v>
      </c>
      <c r="BO394" s="1" t="s">
        <v>7684</v>
      </c>
      <c r="BP394" s="1" t="str">
        <f>HYPERLINK("https://nconnect.nicmar.ac.in/storage/profile/ProfilePhoto_P25700345_856793.jpg","Download")</f>
        <v>0</v>
      </c>
      <c r="BQ394" s="3"/>
      <c r="BR394" s="3"/>
    </row>
    <row r="395" spans="1:70">
      <c r="A395" s="1" t="s">
        <v>70</v>
      </c>
      <c r="B395" s="1" t="s">
        <v>1269</v>
      </c>
      <c r="C395" s="1" t="s">
        <v>7685</v>
      </c>
      <c r="D395" s="1" t="s">
        <v>7686</v>
      </c>
      <c r="E395" s="1"/>
      <c r="F395" s="1" t="s">
        <v>7687</v>
      </c>
      <c r="G395" s="1" t="s">
        <v>7688</v>
      </c>
      <c r="H395" s="1" t="s">
        <v>7689</v>
      </c>
      <c r="I395" s="1" t="s">
        <v>7690</v>
      </c>
      <c r="J395" s="1">
        <v>8886472020</v>
      </c>
      <c r="K395" s="1" t="s">
        <v>148</v>
      </c>
      <c r="L395" s="1" t="s">
        <v>7691</v>
      </c>
      <c r="M395" s="1" t="s">
        <v>81</v>
      </c>
      <c r="N395" s="1" t="s">
        <v>7692</v>
      </c>
      <c r="O395" s="1"/>
      <c r="P395" s="1" t="s">
        <v>1766</v>
      </c>
      <c r="Q395" s="1" t="s">
        <v>7693</v>
      </c>
      <c r="R395" s="1" t="s">
        <v>7694</v>
      </c>
      <c r="S395" s="1">
        <v>8886072020</v>
      </c>
      <c r="T395" s="1" t="s">
        <v>120</v>
      </c>
      <c r="U395" s="1" t="s">
        <v>7695</v>
      </c>
      <c r="V395" s="1">
        <v>8886172020</v>
      </c>
      <c r="W395" s="1" t="s">
        <v>763</v>
      </c>
      <c r="X395" s="1" t="s">
        <v>7696</v>
      </c>
      <c r="Y395" s="1" t="s">
        <v>608</v>
      </c>
      <c r="Z395" s="1" t="s">
        <v>609</v>
      </c>
      <c r="AA395" s="1" t="s">
        <v>7696</v>
      </c>
      <c r="AB395" s="1" t="s">
        <v>608</v>
      </c>
      <c r="AC395" s="1" t="s">
        <v>609</v>
      </c>
      <c r="AD395" s="1">
        <v>9.41</v>
      </c>
      <c r="AE395" s="1" t="s">
        <v>93</v>
      </c>
      <c r="AF395" s="1" t="s">
        <v>7697</v>
      </c>
      <c r="AG395" s="1" t="s">
        <v>7698</v>
      </c>
      <c r="AH395" s="1" t="s">
        <v>456</v>
      </c>
      <c r="AI395" s="1" t="s">
        <v>165</v>
      </c>
      <c r="AJ395" s="1">
        <v>95</v>
      </c>
      <c r="AK395" s="1">
        <v>10</v>
      </c>
      <c r="AL395" s="1" t="s">
        <v>7699</v>
      </c>
      <c r="AM395" s="1" t="s">
        <v>7698</v>
      </c>
      <c r="AN395" s="1" t="s">
        <v>457</v>
      </c>
      <c r="AO395" s="1" t="s">
        <v>308</v>
      </c>
      <c r="AP395" s="1">
        <v>92</v>
      </c>
      <c r="AQ395" s="1"/>
      <c r="AR395" s="1"/>
      <c r="AS395" s="1"/>
      <c r="AT395" s="1"/>
      <c r="AU395" s="1"/>
      <c r="AV395" s="1"/>
      <c r="AW395" s="1"/>
      <c r="AX395" s="1" t="s">
        <v>7700</v>
      </c>
      <c r="AY395" s="1" t="s">
        <v>7701</v>
      </c>
      <c r="AZ395" s="1" t="s">
        <v>310</v>
      </c>
      <c r="BA395" s="1" t="s">
        <v>413</v>
      </c>
      <c r="BB395" s="1">
        <v>83.4</v>
      </c>
      <c r="BC395" s="1">
        <v>8.34</v>
      </c>
      <c r="BD395" s="1"/>
      <c r="BE395" s="1"/>
      <c r="BF395" s="1"/>
      <c r="BG395" s="1"/>
      <c r="BH395" s="1"/>
      <c r="BI395" s="1"/>
      <c r="BJ395" s="1" t="s">
        <v>7702</v>
      </c>
      <c r="BK395" s="1"/>
      <c r="BL395" s="1"/>
      <c r="BM395" s="1" t="s">
        <v>7703</v>
      </c>
      <c r="BN395" s="1">
        <v>33</v>
      </c>
      <c r="BO395" s="1" t="s">
        <v>7704</v>
      </c>
      <c r="BP395" s="1" t="str">
        <f>HYPERLINK("https://nconnect.nicmar.ac.in/storage/profile/ProfilePhoto_P25700346_549627.jpg","Download")</f>
        <v>0</v>
      </c>
      <c r="BQ395" s="3"/>
      <c r="BR395" s="3"/>
    </row>
    <row r="396" spans="1:70">
      <c r="A396" s="1" t="s">
        <v>70</v>
      </c>
      <c r="B396" s="1" t="s">
        <v>1269</v>
      </c>
      <c r="C396" s="1" t="s">
        <v>7705</v>
      </c>
      <c r="D396" s="1" t="s">
        <v>7706</v>
      </c>
      <c r="E396" s="1" t="s">
        <v>7707</v>
      </c>
      <c r="F396" s="1" t="s">
        <v>2024</v>
      </c>
      <c r="G396" s="1" t="s">
        <v>7708</v>
      </c>
      <c r="H396" s="1" t="s">
        <v>7709</v>
      </c>
      <c r="I396" s="1" t="s">
        <v>7710</v>
      </c>
      <c r="J396" s="1">
        <v>9325973429</v>
      </c>
      <c r="K396" s="1" t="s">
        <v>79</v>
      </c>
      <c r="L396" s="1" t="s">
        <v>2662</v>
      </c>
      <c r="M396" s="1" t="s">
        <v>81</v>
      </c>
      <c r="N396" s="1" t="s">
        <v>7423</v>
      </c>
      <c r="O396" s="1"/>
      <c r="P396" s="1" t="s">
        <v>1323</v>
      </c>
      <c r="Q396" s="1" t="s">
        <v>7711</v>
      </c>
      <c r="R396" s="1" t="s">
        <v>7712</v>
      </c>
      <c r="S396" s="1">
        <v>9423475025</v>
      </c>
      <c r="T396" s="1" t="s">
        <v>120</v>
      </c>
      <c r="U396" s="1" t="s">
        <v>7713</v>
      </c>
      <c r="V396" s="1">
        <v>7276718725</v>
      </c>
      <c r="W396" s="1" t="s">
        <v>156</v>
      </c>
      <c r="X396" s="1" t="s">
        <v>7714</v>
      </c>
      <c r="Y396" s="1" t="s">
        <v>1174</v>
      </c>
      <c r="Z396" s="1" t="s">
        <v>92</v>
      </c>
      <c r="AA396" s="1" t="s">
        <v>7714</v>
      </c>
      <c r="AB396" s="1" t="s">
        <v>1174</v>
      </c>
      <c r="AC396" s="1" t="s">
        <v>92</v>
      </c>
      <c r="AD396" s="1">
        <v>7.68</v>
      </c>
      <c r="AE396" s="1" t="s">
        <v>93</v>
      </c>
      <c r="AF396" s="1" t="s">
        <v>7715</v>
      </c>
      <c r="AG396" s="1" t="s">
        <v>7430</v>
      </c>
      <c r="AH396" s="1" t="s">
        <v>101</v>
      </c>
      <c r="AI396" s="1" t="s">
        <v>409</v>
      </c>
      <c r="AJ396" s="1">
        <v>68.4</v>
      </c>
      <c r="AK396" s="1"/>
      <c r="AL396" s="1" t="s">
        <v>7716</v>
      </c>
      <c r="AM396" s="1" t="s">
        <v>7430</v>
      </c>
      <c r="AN396" s="1" t="s">
        <v>699</v>
      </c>
      <c r="AO396" s="1" t="s">
        <v>504</v>
      </c>
      <c r="AP396" s="1">
        <v>73.67</v>
      </c>
      <c r="AQ396" s="1"/>
      <c r="AR396" s="1"/>
      <c r="AS396" s="1"/>
      <c r="AT396" s="1"/>
      <c r="AU396" s="1"/>
      <c r="AV396" s="1"/>
      <c r="AW396" s="1"/>
      <c r="AX396" s="1" t="s">
        <v>361</v>
      </c>
      <c r="AY396" s="1" t="s">
        <v>7717</v>
      </c>
      <c r="AZ396" s="1" t="s">
        <v>897</v>
      </c>
      <c r="BA396" s="1" t="s">
        <v>1584</v>
      </c>
      <c r="BB396" s="1">
        <v>63.5</v>
      </c>
      <c r="BC396" s="1">
        <v>7.1</v>
      </c>
      <c r="BD396" s="1"/>
      <c r="BE396" s="1"/>
      <c r="BF396" s="1"/>
      <c r="BG396" s="1"/>
      <c r="BH396" s="1"/>
      <c r="BI396" s="1"/>
      <c r="BJ396" s="1" t="s">
        <v>7718</v>
      </c>
      <c r="BK396" s="1"/>
      <c r="BL396" s="1"/>
      <c r="BM396" s="1" t="s">
        <v>7719</v>
      </c>
      <c r="BN396" s="1">
        <v>34</v>
      </c>
      <c r="BO396" s="1" t="s">
        <v>7720</v>
      </c>
      <c r="BP396" s="1" t="str">
        <f>HYPERLINK("https://nconnect.nicmar.ac.in/storage/profile/ProfilePhoto_P25700347_834162.jpg","Download")</f>
        <v>0</v>
      </c>
      <c r="BQ396" s="3"/>
      <c r="BR396" s="3"/>
    </row>
    <row r="397" spans="1:70">
      <c r="A397" s="1" t="s">
        <v>70</v>
      </c>
      <c r="B397" s="1" t="s">
        <v>1269</v>
      </c>
      <c r="C397" s="1" t="s">
        <v>7721</v>
      </c>
      <c r="D397" s="1" t="s">
        <v>7722</v>
      </c>
      <c r="E397" s="1"/>
      <c r="F397" s="1" t="s">
        <v>7723</v>
      </c>
      <c r="G397" s="1" t="s">
        <v>7724</v>
      </c>
      <c r="H397" s="1" t="s">
        <v>7725</v>
      </c>
      <c r="I397" s="1" t="s">
        <v>7726</v>
      </c>
      <c r="J397" s="1">
        <v>7506045865</v>
      </c>
      <c r="K397" s="1" t="s">
        <v>79</v>
      </c>
      <c r="L397" s="1" t="s">
        <v>7727</v>
      </c>
      <c r="M397" s="1" t="s">
        <v>81</v>
      </c>
      <c r="N397" s="1" t="s">
        <v>1618</v>
      </c>
      <c r="O397" s="1"/>
      <c r="P397" s="1" t="s">
        <v>1298</v>
      </c>
      <c r="Q397" s="1" t="s">
        <v>7728</v>
      </c>
      <c r="R397" s="1" t="s">
        <v>5109</v>
      </c>
      <c r="S397" s="1">
        <v>9321776100</v>
      </c>
      <c r="T397" s="1" t="s">
        <v>120</v>
      </c>
      <c r="U397" s="1" t="s">
        <v>7729</v>
      </c>
      <c r="V397" s="1">
        <v>9702169187</v>
      </c>
      <c r="W397" s="1" t="s">
        <v>651</v>
      </c>
      <c r="X397" s="1" t="s">
        <v>7730</v>
      </c>
      <c r="Y397" s="1" t="s">
        <v>1018</v>
      </c>
      <c r="Z397" s="1" t="s">
        <v>92</v>
      </c>
      <c r="AA397" s="1" t="s">
        <v>7730</v>
      </c>
      <c r="AB397" s="1" t="s">
        <v>1018</v>
      </c>
      <c r="AC397" s="1" t="s">
        <v>92</v>
      </c>
      <c r="AD397" s="1">
        <v>6.73</v>
      </c>
      <c r="AE397" s="1" t="s">
        <v>93</v>
      </c>
      <c r="AF397" s="1" t="s">
        <v>501</v>
      </c>
      <c r="AG397" s="1" t="s">
        <v>1665</v>
      </c>
      <c r="AH397" s="1" t="s">
        <v>477</v>
      </c>
      <c r="AI397" s="1" t="s">
        <v>131</v>
      </c>
      <c r="AJ397" s="1">
        <v>56</v>
      </c>
      <c r="AK397" s="1">
        <v>6.4</v>
      </c>
      <c r="AL397" s="1" t="s">
        <v>7731</v>
      </c>
      <c r="AM397" s="1" t="s">
        <v>7732</v>
      </c>
      <c r="AN397" s="1" t="s">
        <v>162</v>
      </c>
      <c r="AO397" s="1" t="s">
        <v>479</v>
      </c>
      <c r="AP397" s="1">
        <v>49.69</v>
      </c>
      <c r="AQ397" s="1"/>
      <c r="AR397" s="1" t="s">
        <v>434</v>
      </c>
      <c r="AS397" s="1" t="s">
        <v>7733</v>
      </c>
      <c r="AT397" s="1" t="s">
        <v>225</v>
      </c>
      <c r="AU397" s="1" t="s">
        <v>170</v>
      </c>
      <c r="AV397" s="1">
        <v>77.76</v>
      </c>
      <c r="AW397" s="1"/>
      <c r="AX397" s="1" t="s">
        <v>1024</v>
      </c>
      <c r="AY397" s="1" t="s">
        <v>7734</v>
      </c>
      <c r="AZ397" s="1" t="s">
        <v>363</v>
      </c>
      <c r="BA397" s="1" t="s">
        <v>549</v>
      </c>
      <c r="BB397" s="1">
        <v>64.35</v>
      </c>
      <c r="BC397" s="1"/>
      <c r="BD397" s="1"/>
      <c r="BE397" s="1"/>
      <c r="BF397" s="1"/>
      <c r="BG397" s="1"/>
      <c r="BH397" s="1"/>
      <c r="BI397" s="1"/>
      <c r="BJ397" s="1" t="s">
        <v>255</v>
      </c>
      <c r="BK397" s="1" t="s">
        <v>7735</v>
      </c>
      <c r="BL397" s="1" t="s">
        <v>2187</v>
      </c>
      <c r="BM397" s="1" t="s">
        <v>7736</v>
      </c>
      <c r="BN397" s="1">
        <v>13</v>
      </c>
      <c r="BO397" s="1"/>
      <c r="BP397" s="1" t="str">
        <f>HYPERLINK("https://nconnect.nicmar.ac.in/storage/profile/ProfilePhoto_P25700348_398162.jpg","Download")</f>
        <v>0</v>
      </c>
      <c r="BQ397" s="3"/>
      <c r="BR397" s="3"/>
    </row>
    <row r="398" spans="1:70">
      <c r="A398" s="1" t="s">
        <v>70</v>
      </c>
      <c r="B398" s="1" t="s">
        <v>1269</v>
      </c>
      <c r="C398" s="1" t="s">
        <v>7737</v>
      </c>
      <c r="D398" s="1" t="s">
        <v>7738</v>
      </c>
      <c r="E398" s="1"/>
      <c r="F398" s="1" t="s">
        <v>835</v>
      </c>
      <c r="G398" s="1" t="s">
        <v>7739</v>
      </c>
      <c r="H398" s="1" t="s">
        <v>7740</v>
      </c>
      <c r="I398" s="1" t="s">
        <v>7741</v>
      </c>
      <c r="J398" s="1">
        <v>6388116291</v>
      </c>
      <c r="K398" s="1" t="s">
        <v>79</v>
      </c>
      <c r="L398" s="1" t="s">
        <v>7742</v>
      </c>
      <c r="M398" s="1" t="s">
        <v>81</v>
      </c>
      <c r="N398" s="1" t="s">
        <v>5056</v>
      </c>
      <c r="O398" s="1"/>
      <c r="P398" s="1" t="s">
        <v>1298</v>
      </c>
      <c r="Q398" s="1" t="s">
        <v>7743</v>
      </c>
      <c r="R398" s="1" t="s">
        <v>7744</v>
      </c>
      <c r="S398" s="1">
        <v>9793169015</v>
      </c>
      <c r="T398" s="1" t="s">
        <v>325</v>
      </c>
      <c r="U398" s="1" t="s">
        <v>7745</v>
      </c>
      <c r="V398" s="1">
        <v>9793169015</v>
      </c>
      <c r="W398" s="1" t="s">
        <v>156</v>
      </c>
      <c r="X398" s="1" t="s">
        <v>7746</v>
      </c>
      <c r="Y398" s="1" t="s">
        <v>7747</v>
      </c>
      <c r="Z398" s="1" t="s">
        <v>1355</v>
      </c>
      <c r="AA398" s="1" t="s">
        <v>7746</v>
      </c>
      <c r="AB398" s="1" t="s">
        <v>7747</v>
      </c>
      <c r="AC398" s="1" t="s">
        <v>1355</v>
      </c>
      <c r="AD398" s="1">
        <v>8.17</v>
      </c>
      <c r="AE398" s="1" t="s">
        <v>93</v>
      </c>
      <c r="AF398" s="1" t="s">
        <v>7748</v>
      </c>
      <c r="AG398" s="1" t="s">
        <v>7749</v>
      </c>
      <c r="AH398" s="1" t="s">
        <v>249</v>
      </c>
      <c r="AI398" s="1" t="s">
        <v>1197</v>
      </c>
      <c r="AJ398" s="1">
        <v>87</v>
      </c>
      <c r="AK398" s="1"/>
      <c r="AL398" s="1" t="s">
        <v>7748</v>
      </c>
      <c r="AM398" s="1" t="s">
        <v>7749</v>
      </c>
      <c r="AN398" s="1" t="s">
        <v>130</v>
      </c>
      <c r="AO398" s="1" t="s">
        <v>527</v>
      </c>
      <c r="AP398" s="1">
        <v>90</v>
      </c>
      <c r="AQ398" s="1"/>
      <c r="AR398" s="1"/>
      <c r="AS398" s="1"/>
      <c r="AT398" s="1"/>
      <c r="AU398" s="1"/>
      <c r="AV398" s="1"/>
      <c r="AW398" s="1"/>
      <c r="AX398" s="1" t="s">
        <v>7750</v>
      </c>
      <c r="AY398" s="1" t="s">
        <v>7751</v>
      </c>
      <c r="AZ398" s="1" t="s">
        <v>733</v>
      </c>
      <c r="BA398" s="1" t="s">
        <v>920</v>
      </c>
      <c r="BB398" s="1">
        <v>81.1</v>
      </c>
      <c r="BC398" s="1">
        <v>8.11</v>
      </c>
      <c r="BD398" s="1"/>
      <c r="BE398" s="1"/>
      <c r="BF398" s="1"/>
      <c r="BG398" s="1"/>
      <c r="BH398" s="1"/>
      <c r="BI398" s="1"/>
      <c r="BJ398" s="1" t="s">
        <v>7752</v>
      </c>
      <c r="BK398" s="1" t="s">
        <v>7753</v>
      </c>
      <c r="BL398" s="1" t="s">
        <v>7366</v>
      </c>
      <c r="BM398" s="1" t="s">
        <v>7754</v>
      </c>
      <c r="BN398" s="1">
        <v>18</v>
      </c>
      <c r="BO398" s="1"/>
      <c r="BP398" s="1" t="str">
        <f>HYPERLINK("https://nconnect.nicmar.ac.in/storage/profile/ProfilePhoto_P25700349_261783.jpg","Download")</f>
        <v>0</v>
      </c>
      <c r="BQ398" s="3"/>
      <c r="BR398" s="3"/>
    </row>
    <row r="399" spans="1:70">
      <c r="A399" s="1" t="s">
        <v>70</v>
      </c>
      <c r="B399" s="1" t="s">
        <v>1269</v>
      </c>
      <c r="C399" s="1" t="s">
        <v>7755</v>
      </c>
      <c r="D399" s="1" t="s">
        <v>7756</v>
      </c>
      <c r="E399" s="1"/>
      <c r="F399" s="1" t="s">
        <v>2658</v>
      </c>
      <c r="G399" s="1" t="s">
        <v>7757</v>
      </c>
      <c r="H399" s="1" t="s">
        <v>7758</v>
      </c>
      <c r="I399" s="1" t="s">
        <v>7759</v>
      </c>
      <c r="J399" s="1">
        <v>9207542359</v>
      </c>
      <c r="K399" s="1" t="s">
        <v>79</v>
      </c>
      <c r="L399" s="1" t="s">
        <v>7760</v>
      </c>
      <c r="M399" s="1" t="s">
        <v>81</v>
      </c>
      <c r="N399" s="1" t="s">
        <v>7761</v>
      </c>
      <c r="O399" s="1"/>
      <c r="P399" s="1" t="s">
        <v>1323</v>
      </c>
      <c r="Q399" s="1" t="s">
        <v>7762</v>
      </c>
      <c r="R399" s="1" t="s">
        <v>7763</v>
      </c>
      <c r="S399" s="1">
        <v>9745564006</v>
      </c>
      <c r="T399" s="1" t="s">
        <v>7764</v>
      </c>
      <c r="U399" s="1" t="s">
        <v>7765</v>
      </c>
      <c r="V399" s="1">
        <v>8547054710</v>
      </c>
      <c r="W399" s="1" t="s">
        <v>156</v>
      </c>
      <c r="X399" s="1" t="s">
        <v>7766</v>
      </c>
      <c r="Y399" s="1" t="s">
        <v>1491</v>
      </c>
      <c r="Z399" s="1" t="s">
        <v>125</v>
      </c>
      <c r="AA399" s="1" t="s">
        <v>7766</v>
      </c>
      <c r="AB399" s="1" t="s">
        <v>1491</v>
      </c>
      <c r="AC399" s="1" t="s">
        <v>125</v>
      </c>
      <c r="AD399" s="1">
        <v>9.0</v>
      </c>
      <c r="AE399" s="1" t="s">
        <v>93</v>
      </c>
      <c r="AF399" s="1" t="s">
        <v>7767</v>
      </c>
      <c r="AG399" s="1" t="s">
        <v>7768</v>
      </c>
      <c r="AH399" s="1" t="s">
        <v>161</v>
      </c>
      <c r="AI399" s="1" t="s">
        <v>527</v>
      </c>
      <c r="AJ399" s="1">
        <v>81.7</v>
      </c>
      <c r="AK399" s="1">
        <v>8.6</v>
      </c>
      <c r="AL399" s="1" t="s">
        <v>7767</v>
      </c>
      <c r="AM399" s="1" t="s">
        <v>7768</v>
      </c>
      <c r="AN399" s="1" t="s">
        <v>165</v>
      </c>
      <c r="AO399" s="1" t="s">
        <v>166</v>
      </c>
      <c r="AP399" s="1">
        <v>73</v>
      </c>
      <c r="AQ399" s="1"/>
      <c r="AR399" s="1"/>
      <c r="AS399" s="1"/>
      <c r="AT399" s="1"/>
      <c r="AU399" s="1"/>
      <c r="AV399" s="1"/>
      <c r="AW399" s="1"/>
      <c r="AX399" s="1" t="s">
        <v>132</v>
      </c>
      <c r="AY399" s="1" t="s">
        <v>7769</v>
      </c>
      <c r="AZ399" s="1" t="s">
        <v>636</v>
      </c>
      <c r="BA399" s="1" t="s">
        <v>284</v>
      </c>
      <c r="BB399" s="1">
        <v>78.3</v>
      </c>
      <c r="BC399" s="1">
        <v>7.83</v>
      </c>
      <c r="BD399" s="1"/>
      <c r="BE399" s="1"/>
      <c r="BF399" s="1"/>
      <c r="BG399" s="1"/>
      <c r="BH399" s="1"/>
      <c r="BI399" s="1"/>
      <c r="BJ399" s="1" t="s">
        <v>7770</v>
      </c>
      <c r="BK399" s="1" t="s">
        <v>7771</v>
      </c>
      <c r="BL399" s="1" t="s">
        <v>1337</v>
      </c>
      <c r="BM399" s="1" t="s">
        <v>7772</v>
      </c>
      <c r="BN399" s="1">
        <v>38</v>
      </c>
      <c r="BO399" s="1" t="s">
        <v>7773</v>
      </c>
      <c r="BP399" s="1" t="str">
        <f>HYPERLINK("https://nconnect.nicmar.ac.in/storage/profile/ProfilePhoto_P25700350_594367.jpg","Download")</f>
        <v>0</v>
      </c>
      <c r="BQ399" s="3"/>
      <c r="BR399" s="3"/>
    </row>
    <row r="400" spans="1:70">
      <c r="A400" s="1" t="s">
        <v>70</v>
      </c>
      <c r="B400" s="1" t="s">
        <v>1269</v>
      </c>
      <c r="C400" s="1" t="s">
        <v>7774</v>
      </c>
      <c r="D400" s="1" t="s">
        <v>7775</v>
      </c>
      <c r="E400" s="1" t="s">
        <v>3417</v>
      </c>
      <c r="F400" s="1" t="s">
        <v>7776</v>
      </c>
      <c r="G400" s="1" t="s">
        <v>7777</v>
      </c>
      <c r="H400" s="1" t="s">
        <v>7778</v>
      </c>
      <c r="I400" s="1" t="s">
        <v>7779</v>
      </c>
      <c r="J400" s="1">
        <v>9970143717</v>
      </c>
      <c r="K400" s="1" t="s">
        <v>79</v>
      </c>
      <c r="L400" s="1" t="s">
        <v>7780</v>
      </c>
      <c r="M400" s="1" t="s">
        <v>81</v>
      </c>
      <c r="N400" s="1" t="s">
        <v>2295</v>
      </c>
      <c r="O400" s="1"/>
      <c r="P400" s="1" t="s">
        <v>1298</v>
      </c>
      <c r="Q400" s="1" t="s">
        <v>7781</v>
      </c>
      <c r="R400" s="1" t="s">
        <v>7782</v>
      </c>
      <c r="S400" s="1">
        <v>9890630727</v>
      </c>
      <c r="T400" s="1" t="s">
        <v>472</v>
      </c>
      <c r="U400" s="1" t="s">
        <v>7783</v>
      </c>
      <c r="V400" s="1">
        <v>9422349566</v>
      </c>
      <c r="W400" s="1" t="s">
        <v>122</v>
      </c>
      <c r="X400" s="1" t="s">
        <v>7784</v>
      </c>
      <c r="Y400" s="1" t="s">
        <v>1887</v>
      </c>
      <c r="Z400" s="1" t="s">
        <v>92</v>
      </c>
      <c r="AA400" s="1" t="s">
        <v>7784</v>
      </c>
      <c r="AB400" s="1" t="s">
        <v>1887</v>
      </c>
      <c r="AC400" s="1" t="s">
        <v>92</v>
      </c>
      <c r="AD400" s="1">
        <v>8.77</v>
      </c>
      <c r="AE400" s="1" t="s">
        <v>93</v>
      </c>
      <c r="AF400" s="1" t="s">
        <v>7785</v>
      </c>
      <c r="AG400" s="1" t="s">
        <v>7786</v>
      </c>
      <c r="AH400" s="1" t="s">
        <v>101</v>
      </c>
      <c r="AI400" s="1" t="s">
        <v>433</v>
      </c>
      <c r="AJ400" s="1">
        <v>94.8</v>
      </c>
      <c r="AK400" s="1"/>
      <c r="AL400" s="1" t="s">
        <v>1130</v>
      </c>
      <c r="AM400" s="1" t="s">
        <v>7786</v>
      </c>
      <c r="AN400" s="1" t="s">
        <v>699</v>
      </c>
      <c r="AO400" s="1" t="s">
        <v>436</v>
      </c>
      <c r="AP400" s="1">
        <v>86</v>
      </c>
      <c r="AQ400" s="1"/>
      <c r="AR400" s="1"/>
      <c r="AS400" s="1"/>
      <c r="AT400" s="1"/>
      <c r="AU400" s="1"/>
      <c r="AV400" s="1"/>
      <c r="AW400" s="1"/>
      <c r="AX400" s="1" t="s">
        <v>7787</v>
      </c>
      <c r="AY400" s="1" t="s">
        <v>7788</v>
      </c>
      <c r="AZ400" s="1" t="s">
        <v>897</v>
      </c>
      <c r="BA400" s="1" t="s">
        <v>1714</v>
      </c>
      <c r="BB400" s="1">
        <v>68.8</v>
      </c>
      <c r="BC400" s="1">
        <v>7.63</v>
      </c>
      <c r="BD400" s="1"/>
      <c r="BE400" s="1"/>
      <c r="BF400" s="1"/>
      <c r="BG400" s="1"/>
      <c r="BH400" s="1"/>
      <c r="BI400" s="1"/>
      <c r="BJ400" s="1" t="s">
        <v>7789</v>
      </c>
      <c r="BK400" s="1"/>
      <c r="BL400" s="1"/>
      <c r="BM400" s="1" t="s">
        <v>7790</v>
      </c>
      <c r="BN400" s="1">
        <v>11</v>
      </c>
      <c r="BO400" s="1" t="s">
        <v>7791</v>
      </c>
      <c r="BP400" s="1" t="str">
        <f>HYPERLINK("https://nconnect.nicmar.ac.in/storage/profile/ProfilePhoto_P25700351_712865.jpg","Download")</f>
        <v>0</v>
      </c>
      <c r="BQ400" s="3"/>
      <c r="BR400" s="3"/>
    </row>
    <row r="401" spans="1:70">
      <c r="A401" s="1" t="s">
        <v>70</v>
      </c>
      <c r="B401" s="1" t="s">
        <v>1269</v>
      </c>
      <c r="C401" s="1" t="s">
        <v>7792</v>
      </c>
      <c r="D401" s="1" t="s">
        <v>7793</v>
      </c>
      <c r="E401" s="1" t="s">
        <v>5088</v>
      </c>
      <c r="F401" s="1" t="s">
        <v>7794</v>
      </c>
      <c r="G401" s="1" t="s">
        <v>7795</v>
      </c>
      <c r="H401" s="1" t="s">
        <v>7796</v>
      </c>
      <c r="I401" s="1" t="s">
        <v>7797</v>
      </c>
      <c r="J401" s="1">
        <v>9082793384</v>
      </c>
      <c r="K401" s="1" t="s">
        <v>79</v>
      </c>
      <c r="L401" s="1" t="s">
        <v>7798</v>
      </c>
      <c r="M401" s="1" t="s">
        <v>81</v>
      </c>
      <c r="N401" s="1" t="s">
        <v>2295</v>
      </c>
      <c r="O401" s="1"/>
      <c r="P401" s="1" t="s">
        <v>1323</v>
      </c>
      <c r="Q401" s="1" t="s">
        <v>7799</v>
      </c>
      <c r="R401" s="1" t="s">
        <v>7800</v>
      </c>
      <c r="S401" s="1">
        <v>9503114568</v>
      </c>
      <c r="T401" s="1" t="s">
        <v>7801</v>
      </c>
      <c r="U401" s="1" t="s">
        <v>7802</v>
      </c>
      <c r="V401" s="1">
        <v>9420063641</v>
      </c>
      <c r="W401" s="1" t="s">
        <v>156</v>
      </c>
      <c r="X401" s="1" t="s">
        <v>7803</v>
      </c>
      <c r="Y401" s="1" t="s">
        <v>191</v>
      </c>
      <c r="Z401" s="1" t="s">
        <v>92</v>
      </c>
      <c r="AA401" s="1" t="s">
        <v>7804</v>
      </c>
      <c r="AB401" s="1" t="s">
        <v>304</v>
      </c>
      <c r="AC401" s="1" t="s">
        <v>92</v>
      </c>
      <c r="AD401" s="1">
        <v>8.35</v>
      </c>
      <c r="AE401" s="1" t="s">
        <v>93</v>
      </c>
      <c r="AF401" s="1" t="s">
        <v>7805</v>
      </c>
      <c r="AG401" s="1" t="s">
        <v>307</v>
      </c>
      <c r="AH401" s="1" t="s">
        <v>96</v>
      </c>
      <c r="AI401" s="1" t="s">
        <v>131</v>
      </c>
      <c r="AJ401" s="1">
        <v>74.1</v>
      </c>
      <c r="AK401" s="1">
        <v>7.8</v>
      </c>
      <c r="AL401" s="1" t="s">
        <v>7806</v>
      </c>
      <c r="AM401" s="1" t="s">
        <v>7807</v>
      </c>
      <c r="AN401" s="1" t="s">
        <v>456</v>
      </c>
      <c r="AO401" s="1" t="s">
        <v>1332</v>
      </c>
      <c r="AP401" s="1">
        <v>66</v>
      </c>
      <c r="AQ401" s="1"/>
      <c r="AR401" s="1"/>
      <c r="AS401" s="1"/>
      <c r="AT401" s="1"/>
      <c r="AU401" s="1"/>
      <c r="AV401" s="1"/>
      <c r="AW401" s="1"/>
      <c r="AX401" s="1" t="s">
        <v>253</v>
      </c>
      <c r="AY401" s="1" t="s">
        <v>7808</v>
      </c>
      <c r="AZ401" s="1" t="s">
        <v>383</v>
      </c>
      <c r="BA401" s="1" t="s">
        <v>1131</v>
      </c>
      <c r="BB401" s="1">
        <v>63.81</v>
      </c>
      <c r="BC401" s="1">
        <v>7.09</v>
      </c>
      <c r="BD401" s="1"/>
      <c r="BE401" s="1"/>
      <c r="BF401" s="1"/>
      <c r="BG401" s="1"/>
      <c r="BH401" s="1"/>
      <c r="BI401" s="1"/>
      <c r="BJ401" s="1" t="s">
        <v>7809</v>
      </c>
      <c r="BK401" s="1" t="s">
        <v>7810</v>
      </c>
      <c r="BL401" s="1" t="s">
        <v>7811</v>
      </c>
      <c r="BM401" s="1" t="s">
        <v>7812</v>
      </c>
      <c r="BN401" s="1">
        <v>13</v>
      </c>
      <c r="BO401" s="1" t="s">
        <v>7813</v>
      </c>
      <c r="BP401" s="1" t="str">
        <f>HYPERLINK("https://nconnect.nicmar.ac.in/storage/profile/ProfilePhoto_P25700352_437125.jpg","Download")</f>
        <v>0</v>
      </c>
      <c r="BQ401" s="3"/>
      <c r="BR401" s="3"/>
    </row>
    <row r="402" spans="1:70">
      <c r="A402" s="1" t="s">
        <v>70</v>
      </c>
      <c r="B402" s="1" t="s">
        <v>1269</v>
      </c>
      <c r="C402" s="1" t="s">
        <v>7814</v>
      </c>
      <c r="D402" s="1" t="s">
        <v>316</v>
      </c>
      <c r="E402" s="1" t="s">
        <v>7815</v>
      </c>
      <c r="F402" s="1" t="s">
        <v>7816</v>
      </c>
      <c r="G402" s="1" t="s">
        <v>7817</v>
      </c>
      <c r="H402" s="1" t="s">
        <v>7818</v>
      </c>
      <c r="I402" s="1" t="s">
        <v>7819</v>
      </c>
      <c r="J402" s="1">
        <v>8379045231</v>
      </c>
      <c r="K402" s="1" t="s">
        <v>79</v>
      </c>
      <c r="L402" s="1" t="s">
        <v>7820</v>
      </c>
      <c r="M402" s="1" t="s">
        <v>81</v>
      </c>
      <c r="N402" s="1" t="s">
        <v>1418</v>
      </c>
      <c r="O402" s="1"/>
      <c r="P402" s="1" t="s">
        <v>1298</v>
      </c>
      <c r="Q402" s="1" t="s">
        <v>7821</v>
      </c>
      <c r="R402" s="1" t="s">
        <v>7822</v>
      </c>
      <c r="S402" s="1">
        <v>9011130331</v>
      </c>
      <c r="T402" s="1" t="s">
        <v>154</v>
      </c>
      <c r="U402" s="1" t="s">
        <v>7823</v>
      </c>
      <c r="V402" s="1">
        <v>7020577158</v>
      </c>
      <c r="W402" s="1" t="s">
        <v>156</v>
      </c>
      <c r="X402" s="1" t="s">
        <v>7824</v>
      </c>
      <c r="Y402" s="1" t="s">
        <v>191</v>
      </c>
      <c r="Z402" s="1" t="s">
        <v>92</v>
      </c>
      <c r="AA402" s="1" t="s">
        <v>7825</v>
      </c>
      <c r="AB402" s="1" t="s">
        <v>246</v>
      </c>
      <c r="AC402" s="1" t="s">
        <v>92</v>
      </c>
      <c r="AD402" s="1">
        <v>8.04</v>
      </c>
      <c r="AE402" s="1" t="s">
        <v>93</v>
      </c>
      <c r="AF402" s="1" t="s">
        <v>7826</v>
      </c>
      <c r="AG402" s="1" t="s">
        <v>5424</v>
      </c>
      <c r="AH402" s="1" t="s">
        <v>479</v>
      </c>
      <c r="AI402" s="1" t="s">
        <v>101</v>
      </c>
      <c r="AJ402" s="1">
        <v>90.6</v>
      </c>
      <c r="AK402" s="1"/>
      <c r="AL402" s="1"/>
      <c r="AM402" s="1"/>
      <c r="AN402" s="1"/>
      <c r="AO402" s="1"/>
      <c r="AP402" s="1"/>
      <c r="AQ402" s="1"/>
      <c r="AR402" s="1" t="s">
        <v>98</v>
      </c>
      <c r="AS402" s="1" t="s">
        <v>7827</v>
      </c>
      <c r="AT402" s="1" t="s">
        <v>636</v>
      </c>
      <c r="AU402" s="1" t="s">
        <v>436</v>
      </c>
      <c r="AV402" s="1">
        <v>91.53</v>
      </c>
      <c r="AW402" s="1"/>
      <c r="AX402" s="1" t="s">
        <v>2709</v>
      </c>
      <c r="AY402" s="1" t="s">
        <v>7828</v>
      </c>
      <c r="AZ402" s="1" t="s">
        <v>897</v>
      </c>
      <c r="BA402" s="1" t="s">
        <v>202</v>
      </c>
      <c r="BB402" s="1">
        <v>80.12</v>
      </c>
      <c r="BC402" s="1">
        <v>8.76</v>
      </c>
      <c r="BD402" s="1"/>
      <c r="BE402" s="1"/>
      <c r="BF402" s="1"/>
      <c r="BG402" s="1"/>
      <c r="BH402" s="1"/>
      <c r="BI402" s="1"/>
      <c r="BJ402" s="1" t="s">
        <v>7829</v>
      </c>
      <c r="BK402" s="1"/>
      <c r="BL402" s="1"/>
      <c r="BM402" s="1" t="s">
        <v>7830</v>
      </c>
      <c r="BN402" s="1">
        <v>13</v>
      </c>
      <c r="BO402" s="1" t="s">
        <v>7831</v>
      </c>
      <c r="BP402" s="1" t="str">
        <f>HYPERLINK("https://nconnect.nicmar.ac.in/storage/profile/ProfilePhoto_P25700353_496532.jpg","Download")</f>
        <v>0</v>
      </c>
      <c r="BQ402" s="3"/>
      <c r="BR402" s="3"/>
    </row>
    <row r="403" spans="1:70">
      <c r="A403" s="1" t="s">
        <v>70</v>
      </c>
      <c r="B403" s="1" t="s">
        <v>1269</v>
      </c>
      <c r="C403" s="1" t="s">
        <v>7832</v>
      </c>
      <c r="D403" s="1" t="s">
        <v>7833</v>
      </c>
      <c r="E403" s="1"/>
      <c r="F403" s="1" t="s">
        <v>7165</v>
      </c>
      <c r="G403" s="1" t="s">
        <v>7834</v>
      </c>
      <c r="H403" s="1" t="s">
        <v>7835</v>
      </c>
      <c r="I403" s="1" t="s">
        <v>7836</v>
      </c>
      <c r="J403" s="1">
        <v>7349789291</v>
      </c>
      <c r="K403" s="1" t="s">
        <v>148</v>
      </c>
      <c r="L403" s="1" t="s">
        <v>7837</v>
      </c>
      <c r="M403" s="1" t="s">
        <v>81</v>
      </c>
      <c r="N403" s="1" t="s">
        <v>7838</v>
      </c>
      <c r="O403" s="1"/>
      <c r="P403" s="1" t="s">
        <v>1298</v>
      </c>
      <c r="Q403" s="1" t="s">
        <v>7839</v>
      </c>
      <c r="R403" s="1" t="s">
        <v>7840</v>
      </c>
      <c r="S403" s="1">
        <v>8056009509</v>
      </c>
      <c r="T403" s="1" t="s">
        <v>520</v>
      </c>
      <c r="U403" s="1" t="s">
        <v>7841</v>
      </c>
      <c r="V403" s="1">
        <v>8217085374</v>
      </c>
      <c r="W403" s="1" t="s">
        <v>156</v>
      </c>
      <c r="X403" s="1" t="s">
        <v>7842</v>
      </c>
      <c r="Y403" s="1" t="s">
        <v>2052</v>
      </c>
      <c r="Z403" s="1" t="s">
        <v>1084</v>
      </c>
      <c r="AA403" s="1" t="s">
        <v>7842</v>
      </c>
      <c r="AB403" s="1" t="s">
        <v>2052</v>
      </c>
      <c r="AC403" s="1" t="s">
        <v>1084</v>
      </c>
      <c r="AD403" s="1">
        <v>8.82</v>
      </c>
      <c r="AE403" s="1" t="s">
        <v>93</v>
      </c>
      <c r="AF403" s="1" t="s">
        <v>7843</v>
      </c>
      <c r="AG403" s="1" t="s">
        <v>2749</v>
      </c>
      <c r="AH403" s="1" t="s">
        <v>527</v>
      </c>
      <c r="AI403" s="1" t="s">
        <v>678</v>
      </c>
      <c r="AJ403" s="1">
        <v>93.28</v>
      </c>
      <c r="AK403" s="1"/>
      <c r="AL403" s="1" t="s">
        <v>612</v>
      </c>
      <c r="AM403" s="1" t="s">
        <v>613</v>
      </c>
      <c r="AN403" s="1" t="s">
        <v>1307</v>
      </c>
      <c r="AO403" s="1" t="s">
        <v>1065</v>
      </c>
      <c r="AP403" s="1">
        <v>94.9</v>
      </c>
      <c r="AQ403" s="1"/>
      <c r="AR403" s="1"/>
      <c r="AS403" s="1"/>
      <c r="AT403" s="1"/>
      <c r="AU403" s="1"/>
      <c r="AV403" s="1"/>
      <c r="AW403" s="1"/>
      <c r="AX403" s="1" t="s">
        <v>1088</v>
      </c>
      <c r="AY403" s="1" t="s">
        <v>7844</v>
      </c>
      <c r="AZ403" s="1" t="s">
        <v>201</v>
      </c>
      <c r="BA403" s="1" t="s">
        <v>174</v>
      </c>
      <c r="BB403" s="1">
        <v>76.5</v>
      </c>
      <c r="BC403" s="1">
        <v>8.55</v>
      </c>
      <c r="BD403" s="1"/>
      <c r="BE403" s="1"/>
      <c r="BF403" s="1"/>
      <c r="BG403" s="1"/>
      <c r="BH403" s="1"/>
      <c r="BI403" s="1"/>
      <c r="BJ403" s="1" t="s">
        <v>7845</v>
      </c>
      <c r="BK403" s="1" t="s">
        <v>7846</v>
      </c>
      <c r="BL403" s="1" t="s">
        <v>1629</v>
      </c>
      <c r="BM403" s="1" t="s">
        <v>7847</v>
      </c>
      <c r="BN403" s="1">
        <v>14</v>
      </c>
      <c r="BO403" s="1"/>
      <c r="BP403" s="1" t="str">
        <f>HYPERLINK("https://nconnect.nicmar.ac.in/storage/profile/ProfilePhoto_P25700354_283475.jpg","Download")</f>
        <v>0</v>
      </c>
      <c r="BQ403" s="3"/>
      <c r="BR403" s="3"/>
    </row>
    <row r="404" spans="1:70">
      <c r="A404" s="1" t="s">
        <v>70</v>
      </c>
      <c r="B404" s="1" t="s">
        <v>1269</v>
      </c>
      <c r="C404" s="1" t="s">
        <v>7848</v>
      </c>
      <c r="D404" s="1" t="s">
        <v>1117</v>
      </c>
      <c r="E404" s="1" t="s">
        <v>1876</v>
      </c>
      <c r="F404" s="1" t="s">
        <v>7849</v>
      </c>
      <c r="G404" s="1" t="s">
        <v>7850</v>
      </c>
      <c r="H404" s="1" t="s">
        <v>7851</v>
      </c>
      <c r="I404" s="1" t="s">
        <v>7852</v>
      </c>
      <c r="J404" s="1">
        <v>9022608903</v>
      </c>
      <c r="K404" s="1" t="s">
        <v>79</v>
      </c>
      <c r="L404" s="1" t="s">
        <v>7853</v>
      </c>
      <c r="M404" s="1" t="s">
        <v>81</v>
      </c>
      <c r="N404" s="1" t="s">
        <v>7854</v>
      </c>
      <c r="O404" s="1"/>
      <c r="P404" s="1" t="s">
        <v>1323</v>
      </c>
      <c r="Q404" s="1" t="s">
        <v>7855</v>
      </c>
      <c r="R404" s="1" t="s">
        <v>1876</v>
      </c>
      <c r="S404" s="1">
        <v>9518904078</v>
      </c>
      <c r="T404" s="1" t="s">
        <v>7856</v>
      </c>
      <c r="U404" s="1" t="s">
        <v>3816</v>
      </c>
      <c r="V404" s="1">
        <v>8262938572</v>
      </c>
      <c r="W404" s="1" t="s">
        <v>156</v>
      </c>
      <c r="X404" s="1" t="s">
        <v>7857</v>
      </c>
      <c r="Y404" s="1" t="s">
        <v>2790</v>
      </c>
      <c r="Z404" s="1" t="s">
        <v>92</v>
      </c>
      <c r="AA404" s="1" t="s">
        <v>7857</v>
      </c>
      <c r="AB404" s="1" t="s">
        <v>2790</v>
      </c>
      <c r="AC404" s="1" t="s">
        <v>92</v>
      </c>
      <c r="AD404" s="1">
        <v>7.78</v>
      </c>
      <c r="AE404" s="1" t="s">
        <v>93</v>
      </c>
      <c r="AF404" s="1" t="s">
        <v>7858</v>
      </c>
      <c r="AG404" s="1" t="s">
        <v>7859</v>
      </c>
      <c r="AH404" s="1" t="s">
        <v>101</v>
      </c>
      <c r="AI404" s="1" t="s">
        <v>409</v>
      </c>
      <c r="AJ404" s="1">
        <v>69.4</v>
      </c>
      <c r="AK404" s="1"/>
      <c r="AL404" s="1"/>
      <c r="AM404" s="1"/>
      <c r="AN404" s="1"/>
      <c r="AO404" s="1"/>
      <c r="AP404" s="1"/>
      <c r="AQ404" s="1"/>
      <c r="AR404" s="1" t="s">
        <v>434</v>
      </c>
      <c r="AS404" s="1" t="s">
        <v>2792</v>
      </c>
      <c r="AT404" s="1" t="s">
        <v>201</v>
      </c>
      <c r="AU404" s="1" t="s">
        <v>105</v>
      </c>
      <c r="AV404" s="1">
        <v>76.94</v>
      </c>
      <c r="AW404" s="1"/>
      <c r="AX404" s="1" t="s">
        <v>4506</v>
      </c>
      <c r="AY404" s="1" t="s">
        <v>7860</v>
      </c>
      <c r="AZ404" s="1" t="s">
        <v>2632</v>
      </c>
      <c r="BA404" s="1" t="s">
        <v>1361</v>
      </c>
      <c r="BB404" s="1">
        <v>70.2</v>
      </c>
      <c r="BC404" s="1">
        <v>7.77</v>
      </c>
      <c r="BD404" s="1"/>
      <c r="BE404" s="1"/>
      <c r="BF404" s="1"/>
      <c r="BG404" s="1"/>
      <c r="BH404" s="1"/>
      <c r="BI404" s="1"/>
      <c r="BJ404" s="1" t="s">
        <v>7861</v>
      </c>
      <c r="BK404" s="1"/>
      <c r="BL404" s="1"/>
      <c r="BM404" s="1" t="s">
        <v>7862</v>
      </c>
      <c r="BN404" s="1">
        <v>14</v>
      </c>
      <c r="BO404" s="1" t="s">
        <v>7863</v>
      </c>
      <c r="BP404" s="1" t="str">
        <f>HYPERLINK("https://nconnect.nicmar.ac.in/storage/profile/ProfilePhoto_P25700355_452968.jpg","Download")</f>
        <v>0</v>
      </c>
      <c r="BQ404" s="3"/>
      <c r="BR404" s="3"/>
    </row>
    <row r="405" spans="1:70">
      <c r="A405" s="1" t="s">
        <v>70</v>
      </c>
      <c r="B405" s="1" t="s">
        <v>1269</v>
      </c>
      <c r="C405" s="1" t="s">
        <v>7864</v>
      </c>
      <c r="D405" s="1" t="s">
        <v>793</v>
      </c>
      <c r="E405" s="1" t="s">
        <v>1455</v>
      </c>
      <c r="F405" s="1" t="s">
        <v>7519</v>
      </c>
      <c r="G405" s="1" t="s">
        <v>7865</v>
      </c>
      <c r="H405" s="1" t="s">
        <v>7866</v>
      </c>
      <c r="I405" s="1" t="s">
        <v>7867</v>
      </c>
      <c r="J405" s="1">
        <v>7977989701</v>
      </c>
      <c r="K405" s="1" t="s">
        <v>79</v>
      </c>
      <c r="L405" s="1" t="s">
        <v>5516</v>
      </c>
      <c r="M405" s="1" t="s">
        <v>81</v>
      </c>
      <c r="N405" s="1" t="s">
        <v>1418</v>
      </c>
      <c r="O405" s="1"/>
      <c r="P405" s="1"/>
      <c r="Q405" s="1" t="s">
        <v>7868</v>
      </c>
      <c r="R405" s="1" t="s">
        <v>7869</v>
      </c>
      <c r="S405" s="1">
        <v>9322395763</v>
      </c>
      <c r="T405" s="1" t="s">
        <v>7870</v>
      </c>
      <c r="U405" s="1" t="s">
        <v>7871</v>
      </c>
      <c r="V405" s="1">
        <v>9320001998</v>
      </c>
      <c r="W405" s="1" t="s">
        <v>2494</v>
      </c>
      <c r="X405" s="1" t="s">
        <v>7872</v>
      </c>
      <c r="Y405" s="1" t="s">
        <v>1018</v>
      </c>
      <c r="Z405" s="1" t="s">
        <v>92</v>
      </c>
      <c r="AA405" s="1" t="s">
        <v>7872</v>
      </c>
      <c r="AB405" s="1" t="s">
        <v>1018</v>
      </c>
      <c r="AC405" s="1" t="s">
        <v>92</v>
      </c>
      <c r="AD405" s="1">
        <v>8.72</v>
      </c>
      <c r="AE405" s="1" t="s">
        <v>93</v>
      </c>
      <c r="AF405" s="1" t="s">
        <v>7873</v>
      </c>
      <c r="AG405" s="1" t="s">
        <v>1665</v>
      </c>
      <c r="AH405" s="1" t="s">
        <v>503</v>
      </c>
      <c r="AI405" s="1" t="s">
        <v>527</v>
      </c>
      <c r="AJ405" s="1">
        <v>88.6</v>
      </c>
      <c r="AK405" s="1">
        <v>9.6</v>
      </c>
      <c r="AL405" s="1"/>
      <c r="AM405" s="1"/>
      <c r="AN405" s="1"/>
      <c r="AO405" s="1"/>
      <c r="AP405" s="1"/>
      <c r="AQ405" s="1"/>
      <c r="AR405" s="1" t="s">
        <v>98</v>
      </c>
      <c r="AS405" s="1" t="s">
        <v>7874</v>
      </c>
      <c r="AT405" s="1" t="s">
        <v>162</v>
      </c>
      <c r="AU405" s="1" t="s">
        <v>433</v>
      </c>
      <c r="AV405" s="1">
        <v>76.73</v>
      </c>
      <c r="AW405" s="1"/>
      <c r="AX405" s="1" t="s">
        <v>1024</v>
      </c>
      <c r="AY405" s="1" t="s">
        <v>7875</v>
      </c>
      <c r="AZ405" s="1" t="s">
        <v>201</v>
      </c>
      <c r="BA405" s="1" t="s">
        <v>105</v>
      </c>
      <c r="BB405" s="1">
        <v>71.55</v>
      </c>
      <c r="BC405" s="1">
        <v>7.99</v>
      </c>
      <c r="BD405" s="1"/>
      <c r="BE405" s="1"/>
      <c r="BF405" s="1"/>
      <c r="BG405" s="1"/>
      <c r="BH405" s="1"/>
      <c r="BI405" s="1"/>
      <c r="BJ405" s="1" t="s">
        <v>7876</v>
      </c>
      <c r="BK405" s="1"/>
      <c r="BL405" s="1"/>
      <c r="BM405" s="1" t="s">
        <v>7877</v>
      </c>
      <c r="BN405" s="1">
        <v>8</v>
      </c>
      <c r="BO405" s="1" t="s">
        <v>7878</v>
      </c>
      <c r="BP405" s="1" t="str">
        <f>HYPERLINK("https://nconnect.nicmar.ac.in/storage/profile/ProfilePhoto_P25700356_431675.jpg","Download")</f>
        <v>0</v>
      </c>
      <c r="BQ405" s="3"/>
      <c r="BR405" s="3"/>
    </row>
    <row r="406" spans="1:70">
      <c r="A406" s="1" t="s">
        <v>70</v>
      </c>
      <c r="B406" s="1" t="s">
        <v>1269</v>
      </c>
      <c r="C406" s="1" t="s">
        <v>7879</v>
      </c>
      <c r="D406" s="1" t="s">
        <v>7880</v>
      </c>
      <c r="E406" s="1" t="s">
        <v>7881</v>
      </c>
      <c r="F406" s="1" t="s">
        <v>7882</v>
      </c>
      <c r="G406" s="1" t="s">
        <v>7883</v>
      </c>
      <c r="H406" s="1" t="s">
        <v>7884</v>
      </c>
      <c r="I406" s="1" t="s">
        <v>7885</v>
      </c>
      <c r="J406" s="1">
        <v>9099909063</v>
      </c>
      <c r="K406" s="1" t="s">
        <v>148</v>
      </c>
      <c r="L406" s="1" t="s">
        <v>7886</v>
      </c>
      <c r="M406" s="1" t="s">
        <v>81</v>
      </c>
      <c r="N406" s="1" t="s">
        <v>7887</v>
      </c>
      <c r="O406" s="1"/>
      <c r="P406" s="1" t="s">
        <v>1278</v>
      </c>
      <c r="Q406" s="1" t="s">
        <v>7888</v>
      </c>
      <c r="R406" s="1" t="s">
        <v>7889</v>
      </c>
      <c r="S406" s="1">
        <v>9375608183</v>
      </c>
      <c r="T406" s="1" t="s">
        <v>842</v>
      </c>
      <c r="U406" s="1" t="s">
        <v>7890</v>
      </c>
      <c r="V406" s="1">
        <v>9099893523</v>
      </c>
      <c r="W406" s="1" t="s">
        <v>156</v>
      </c>
      <c r="X406" s="1" t="s">
        <v>7891</v>
      </c>
      <c r="Y406" s="1" t="s">
        <v>1467</v>
      </c>
      <c r="Z406" s="1" t="s">
        <v>1468</v>
      </c>
      <c r="AA406" s="1" t="s">
        <v>7891</v>
      </c>
      <c r="AB406" s="1" t="s">
        <v>1467</v>
      </c>
      <c r="AC406" s="1" t="s">
        <v>1468</v>
      </c>
      <c r="AD406" s="1">
        <v>8.88</v>
      </c>
      <c r="AE406" s="1" t="s">
        <v>93</v>
      </c>
      <c r="AF406" s="1" t="s">
        <v>7892</v>
      </c>
      <c r="AG406" s="1" t="s">
        <v>1152</v>
      </c>
      <c r="AH406" s="1" t="s">
        <v>281</v>
      </c>
      <c r="AI406" s="1" t="s">
        <v>308</v>
      </c>
      <c r="AJ406" s="1">
        <v>90</v>
      </c>
      <c r="AK406" s="1"/>
      <c r="AL406" s="1" t="s">
        <v>7892</v>
      </c>
      <c r="AM406" s="1" t="s">
        <v>7893</v>
      </c>
      <c r="AN406" s="1" t="s">
        <v>941</v>
      </c>
      <c r="AO406" s="1" t="s">
        <v>506</v>
      </c>
      <c r="AP406" s="1">
        <v>92</v>
      </c>
      <c r="AQ406" s="1"/>
      <c r="AR406" s="1"/>
      <c r="AS406" s="1"/>
      <c r="AT406" s="1"/>
      <c r="AU406" s="1"/>
      <c r="AV406" s="1"/>
      <c r="AW406" s="1"/>
      <c r="AX406" s="1" t="s">
        <v>7894</v>
      </c>
      <c r="AY406" s="1" t="s">
        <v>7895</v>
      </c>
      <c r="AZ406" s="1" t="s">
        <v>135</v>
      </c>
      <c r="BA406" s="1" t="s">
        <v>1584</v>
      </c>
      <c r="BB406" s="1">
        <v>90.9</v>
      </c>
      <c r="BC406" s="1">
        <v>9.59</v>
      </c>
      <c r="BD406" s="1"/>
      <c r="BE406" s="1"/>
      <c r="BF406" s="1"/>
      <c r="BG406" s="1"/>
      <c r="BH406" s="1"/>
      <c r="BI406" s="1"/>
      <c r="BJ406" s="1" t="s">
        <v>7896</v>
      </c>
      <c r="BK406" s="1"/>
      <c r="BL406" s="1"/>
      <c r="BM406" s="1" t="s">
        <v>7897</v>
      </c>
      <c r="BN406" s="1">
        <v>11</v>
      </c>
      <c r="BO406" s="1"/>
      <c r="BP406" s="1" t="str">
        <f>HYPERLINK("https://nconnect.nicmar.ac.in/storage/profile/ProfilePhoto_P25700357_834596.jpg","Download")</f>
        <v>0</v>
      </c>
      <c r="BQ406" s="3"/>
      <c r="BR406" s="3"/>
    </row>
    <row r="407" spans="1:70">
      <c r="A407" s="1" t="s">
        <v>70</v>
      </c>
      <c r="B407" s="1" t="s">
        <v>1269</v>
      </c>
      <c r="C407" s="1" t="s">
        <v>7898</v>
      </c>
      <c r="D407" s="1" t="s">
        <v>7899</v>
      </c>
      <c r="E407" s="1" t="s">
        <v>1653</v>
      </c>
      <c r="F407" s="1" t="s">
        <v>4944</v>
      </c>
      <c r="G407" s="1" t="s">
        <v>7900</v>
      </c>
      <c r="H407" s="1" t="s">
        <v>7901</v>
      </c>
      <c r="I407" s="1" t="s">
        <v>7902</v>
      </c>
      <c r="J407" s="1">
        <v>9740134298</v>
      </c>
      <c r="K407" s="1" t="s">
        <v>148</v>
      </c>
      <c r="L407" s="1" t="s">
        <v>3622</v>
      </c>
      <c r="M407" s="1" t="s">
        <v>81</v>
      </c>
      <c r="N407" s="1" t="s">
        <v>7903</v>
      </c>
      <c r="O407" s="1"/>
      <c r="P407" s="1" t="s">
        <v>1278</v>
      </c>
      <c r="Q407" s="1" t="s">
        <v>7904</v>
      </c>
      <c r="R407" s="1" t="s">
        <v>7905</v>
      </c>
      <c r="S407" s="1">
        <v>9740134298</v>
      </c>
      <c r="T407" s="1" t="s">
        <v>496</v>
      </c>
      <c r="U407" s="1" t="s">
        <v>7906</v>
      </c>
      <c r="V407" s="1">
        <v>9740134298</v>
      </c>
      <c r="W407" s="1" t="s">
        <v>5823</v>
      </c>
      <c r="X407" s="1" t="s">
        <v>7907</v>
      </c>
      <c r="Y407" s="1" t="s">
        <v>3998</v>
      </c>
      <c r="Z407" s="1" t="s">
        <v>125</v>
      </c>
      <c r="AA407" s="1" t="s">
        <v>7907</v>
      </c>
      <c r="AB407" s="1" t="s">
        <v>3998</v>
      </c>
      <c r="AC407" s="1" t="s">
        <v>125</v>
      </c>
      <c r="AD407" s="1">
        <v>8.51</v>
      </c>
      <c r="AE407" s="1" t="s">
        <v>93</v>
      </c>
      <c r="AF407" s="1" t="s">
        <v>7908</v>
      </c>
      <c r="AG407" s="1" t="s">
        <v>939</v>
      </c>
      <c r="AH407" s="1" t="s">
        <v>1197</v>
      </c>
      <c r="AI407" s="1" t="s">
        <v>131</v>
      </c>
      <c r="AJ407" s="1">
        <v>79.8</v>
      </c>
      <c r="AK407" s="1">
        <v>8.4</v>
      </c>
      <c r="AL407" s="1" t="s">
        <v>7908</v>
      </c>
      <c r="AM407" s="1" t="s">
        <v>939</v>
      </c>
      <c r="AN407" s="1" t="s">
        <v>527</v>
      </c>
      <c r="AO407" s="1" t="s">
        <v>479</v>
      </c>
      <c r="AP407" s="1">
        <v>74.4</v>
      </c>
      <c r="AQ407" s="1"/>
      <c r="AR407" s="1"/>
      <c r="AS407" s="1"/>
      <c r="AT407" s="1"/>
      <c r="AU407" s="1"/>
      <c r="AV407" s="1"/>
      <c r="AW407" s="1"/>
      <c r="AX407" s="1" t="s">
        <v>7909</v>
      </c>
      <c r="AY407" s="1" t="s">
        <v>7910</v>
      </c>
      <c r="AZ407" s="1" t="s">
        <v>225</v>
      </c>
      <c r="BA407" s="1" t="s">
        <v>575</v>
      </c>
      <c r="BB407" s="1">
        <v>72.5</v>
      </c>
      <c r="BC407" s="1">
        <v>7.75</v>
      </c>
      <c r="BD407" s="1"/>
      <c r="BE407" s="1"/>
      <c r="BF407" s="1"/>
      <c r="BG407" s="1"/>
      <c r="BH407" s="1"/>
      <c r="BI407" s="1"/>
      <c r="BJ407" s="1" t="s">
        <v>7911</v>
      </c>
      <c r="BK407" s="1" t="s">
        <v>7912</v>
      </c>
      <c r="BL407" s="1" t="s">
        <v>1497</v>
      </c>
      <c r="BM407" s="1" t="s">
        <v>7913</v>
      </c>
      <c r="BN407" s="1">
        <v>27</v>
      </c>
      <c r="BO407" s="1" t="s">
        <v>7914</v>
      </c>
      <c r="BP407" s="1" t="str">
        <f>HYPERLINK("https://nconnect.nicmar.ac.in/storage/profile/ProfilePhoto_P25700358_381456.jpg","Download")</f>
        <v>0</v>
      </c>
      <c r="BQ407" s="3"/>
      <c r="BR407" s="3"/>
    </row>
    <row r="408" spans="1:70">
      <c r="A408" s="1" t="s">
        <v>70</v>
      </c>
      <c r="B408" s="1" t="s">
        <v>1269</v>
      </c>
      <c r="C408" s="1" t="s">
        <v>7915</v>
      </c>
      <c r="D408" s="1" t="s">
        <v>1138</v>
      </c>
      <c r="E408" s="1"/>
      <c r="F408" s="1" t="s">
        <v>7916</v>
      </c>
      <c r="G408" s="1" t="s">
        <v>7917</v>
      </c>
      <c r="H408" s="1" t="s">
        <v>7918</v>
      </c>
      <c r="I408" s="1" t="s">
        <v>7919</v>
      </c>
      <c r="J408" s="1">
        <v>6281400495</v>
      </c>
      <c r="K408" s="1" t="s">
        <v>79</v>
      </c>
      <c r="L408" s="1" t="s">
        <v>7920</v>
      </c>
      <c r="M408" s="1" t="s">
        <v>81</v>
      </c>
      <c r="N408" s="1" t="s">
        <v>7921</v>
      </c>
      <c r="O408" s="1"/>
      <c r="P408" s="1" t="s">
        <v>1323</v>
      </c>
      <c r="Q408" s="1" t="s">
        <v>7922</v>
      </c>
      <c r="R408" s="1" t="s">
        <v>7923</v>
      </c>
      <c r="S408" s="1">
        <v>9391535733</v>
      </c>
      <c r="T408" s="1" t="s">
        <v>7924</v>
      </c>
      <c r="U408" s="1" t="s">
        <v>7925</v>
      </c>
      <c r="V408" s="1">
        <v>9391535733</v>
      </c>
      <c r="W408" s="1" t="s">
        <v>156</v>
      </c>
      <c r="X408" s="1" t="s">
        <v>7926</v>
      </c>
      <c r="Y408" s="1" t="s">
        <v>1304</v>
      </c>
      <c r="Z408" s="1" t="s">
        <v>276</v>
      </c>
      <c r="AA408" s="1" t="s">
        <v>7926</v>
      </c>
      <c r="AB408" s="1" t="s">
        <v>1304</v>
      </c>
      <c r="AC408" s="1" t="s">
        <v>276</v>
      </c>
      <c r="AD408" s="1">
        <v>8.35</v>
      </c>
      <c r="AE408" s="1" t="s">
        <v>93</v>
      </c>
      <c r="AF408" s="1" t="s">
        <v>7927</v>
      </c>
      <c r="AG408" s="1" t="s">
        <v>3125</v>
      </c>
      <c r="AH408" s="1" t="s">
        <v>101</v>
      </c>
      <c r="AI408" s="1" t="s">
        <v>1065</v>
      </c>
      <c r="AJ408" s="1">
        <v>92</v>
      </c>
      <c r="AK408" s="1">
        <v>9.2</v>
      </c>
      <c r="AL408" s="1"/>
      <c r="AM408" s="1"/>
      <c r="AN408" s="1"/>
      <c r="AO408" s="1"/>
      <c r="AP408" s="1"/>
      <c r="AQ408" s="1"/>
      <c r="AR408" s="1" t="s">
        <v>434</v>
      </c>
      <c r="AS408" s="1" t="s">
        <v>7928</v>
      </c>
      <c r="AT408" s="1" t="s">
        <v>433</v>
      </c>
      <c r="AU408" s="1" t="s">
        <v>105</v>
      </c>
      <c r="AV408" s="1">
        <v>80.06</v>
      </c>
      <c r="AW408" s="1"/>
      <c r="AX408" s="1" t="s">
        <v>7929</v>
      </c>
      <c r="AY408" s="1" t="s">
        <v>7930</v>
      </c>
      <c r="AZ408" s="1" t="s">
        <v>874</v>
      </c>
      <c r="BA408" s="1" t="s">
        <v>1408</v>
      </c>
      <c r="BB408" s="1">
        <v>71.3</v>
      </c>
      <c r="BC408" s="1">
        <v>7.88</v>
      </c>
      <c r="BD408" s="1"/>
      <c r="BE408" s="1"/>
      <c r="BF408" s="1"/>
      <c r="BG408" s="1"/>
      <c r="BH408" s="1"/>
      <c r="BI408" s="1"/>
      <c r="BJ408" s="1" t="s">
        <v>7931</v>
      </c>
      <c r="BK408" s="1"/>
      <c r="BL408" s="1"/>
      <c r="BM408" s="1" t="s">
        <v>7932</v>
      </c>
      <c r="BN408" s="1">
        <v>11</v>
      </c>
      <c r="BO408" s="1"/>
      <c r="BP408" s="1" t="str">
        <f>HYPERLINK("https://nconnect.nicmar.ac.in/storage/profile/ProfilePhoto_P25700359_948167.jpg","Download")</f>
        <v>0</v>
      </c>
      <c r="BQ408" s="3"/>
      <c r="BR408" s="3"/>
    </row>
    <row r="409" spans="1:70">
      <c r="A409" s="1" t="s">
        <v>70</v>
      </c>
      <c r="B409" s="1" t="s">
        <v>1269</v>
      </c>
      <c r="C409" s="1" t="s">
        <v>7933</v>
      </c>
      <c r="D409" s="1" t="s">
        <v>7934</v>
      </c>
      <c r="E409" s="1" t="s">
        <v>6811</v>
      </c>
      <c r="F409" s="1" t="s">
        <v>7935</v>
      </c>
      <c r="G409" s="1" t="s">
        <v>7936</v>
      </c>
      <c r="H409" s="1" t="s">
        <v>7937</v>
      </c>
      <c r="I409" s="1" t="s">
        <v>7938</v>
      </c>
      <c r="J409" s="1">
        <v>7420891177</v>
      </c>
      <c r="K409" s="1" t="s">
        <v>148</v>
      </c>
      <c r="L409" s="1" t="s">
        <v>7939</v>
      </c>
      <c r="M409" s="1" t="s">
        <v>81</v>
      </c>
      <c r="N409" s="1" t="s">
        <v>860</v>
      </c>
      <c r="O409" s="1"/>
      <c r="P409" s="1" t="s">
        <v>1298</v>
      </c>
      <c r="Q409" s="1" t="s">
        <v>7940</v>
      </c>
      <c r="R409" s="1" t="s">
        <v>6811</v>
      </c>
      <c r="S409" s="1">
        <v>9096587095</v>
      </c>
      <c r="T409" s="1" t="s">
        <v>120</v>
      </c>
      <c r="U409" s="1" t="s">
        <v>7941</v>
      </c>
      <c r="V409" s="1">
        <v>8482959549</v>
      </c>
      <c r="W409" s="1" t="s">
        <v>89</v>
      </c>
      <c r="X409" s="1" t="s">
        <v>7942</v>
      </c>
      <c r="Y409" s="1" t="s">
        <v>7943</v>
      </c>
      <c r="Z409" s="1" t="s">
        <v>92</v>
      </c>
      <c r="AA409" s="1" t="s">
        <v>7942</v>
      </c>
      <c r="AB409" s="1" t="s">
        <v>7943</v>
      </c>
      <c r="AC409" s="1" t="s">
        <v>92</v>
      </c>
      <c r="AD409" s="1">
        <v>8.56</v>
      </c>
      <c r="AE409" s="1" t="s">
        <v>93</v>
      </c>
      <c r="AF409" s="1" t="s">
        <v>7944</v>
      </c>
      <c r="AG409" s="1" t="s">
        <v>160</v>
      </c>
      <c r="AH409" s="1" t="s">
        <v>96</v>
      </c>
      <c r="AI409" s="1" t="s">
        <v>97</v>
      </c>
      <c r="AJ409" s="1">
        <v>91.6</v>
      </c>
      <c r="AK409" s="1"/>
      <c r="AL409" s="1" t="s">
        <v>7945</v>
      </c>
      <c r="AM409" s="1" t="s">
        <v>7946</v>
      </c>
      <c r="AN409" s="1" t="s">
        <v>527</v>
      </c>
      <c r="AO409" s="1" t="s">
        <v>678</v>
      </c>
      <c r="AP409" s="1">
        <v>90.7</v>
      </c>
      <c r="AQ409" s="1"/>
      <c r="AR409" s="1"/>
      <c r="AS409" s="1"/>
      <c r="AT409" s="1"/>
      <c r="AU409" s="1"/>
      <c r="AV409" s="1"/>
      <c r="AW409" s="1"/>
      <c r="AX409" s="1" t="s">
        <v>7787</v>
      </c>
      <c r="AY409" s="1" t="s">
        <v>7947</v>
      </c>
      <c r="AZ409" s="1" t="s">
        <v>225</v>
      </c>
      <c r="BA409" s="1" t="s">
        <v>504</v>
      </c>
      <c r="BB409" s="1">
        <v>78.5</v>
      </c>
      <c r="BC409" s="1">
        <v>8.6</v>
      </c>
      <c r="BD409" s="1"/>
      <c r="BE409" s="1"/>
      <c r="BF409" s="1"/>
      <c r="BG409" s="1"/>
      <c r="BH409" s="1"/>
      <c r="BI409" s="1"/>
      <c r="BJ409" s="1" t="s">
        <v>7948</v>
      </c>
      <c r="BK409" s="1"/>
      <c r="BL409" s="1"/>
      <c r="BM409" s="1" t="s">
        <v>7949</v>
      </c>
      <c r="BN409" s="1">
        <v>16</v>
      </c>
      <c r="BO409" s="1" t="s">
        <v>7950</v>
      </c>
      <c r="BP409" s="1" t="str">
        <f>HYPERLINK("https://nconnect.nicmar.ac.in/storage/profile/ProfilePhoto_P25700360_657192.jpg","Download")</f>
        <v>0</v>
      </c>
      <c r="BQ409" s="3"/>
      <c r="BR409" s="3"/>
    </row>
    <row r="410" spans="1:70">
      <c r="A410" s="1" t="s">
        <v>70</v>
      </c>
      <c r="B410" s="1" t="s">
        <v>1269</v>
      </c>
      <c r="C410" s="1" t="s">
        <v>7951</v>
      </c>
      <c r="D410" s="1" t="s">
        <v>7952</v>
      </c>
      <c r="E410" s="1"/>
      <c r="F410" s="1" t="s">
        <v>7953</v>
      </c>
      <c r="G410" s="1" t="s">
        <v>7954</v>
      </c>
      <c r="H410" s="1" t="s">
        <v>7955</v>
      </c>
      <c r="I410" s="1" t="s">
        <v>7956</v>
      </c>
      <c r="J410" s="1">
        <v>6302736242</v>
      </c>
      <c r="K410" s="1" t="s">
        <v>79</v>
      </c>
      <c r="L410" s="1" t="s">
        <v>7957</v>
      </c>
      <c r="M410" s="1" t="s">
        <v>81</v>
      </c>
      <c r="N410" s="1" t="s">
        <v>7958</v>
      </c>
      <c r="O410" s="1"/>
      <c r="P410" s="1" t="s">
        <v>1462</v>
      </c>
      <c r="Q410" s="1" t="s">
        <v>7959</v>
      </c>
      <c r="R410" s="1" t="s">
        <v>7960</v>
      </c>
      <c r="S410" s="1">
        <v>9703229871</v>
      </c>
      <c r="T410" s="1" t="s">
        <v>154</v>
      </c>
      <c r="U410" s="1" t="s">
        <v>7961</v>
      </c>
      <c r="V410" s="1">
        <v>9703229871</v>
      </c>
      <c r="W410" s="1" t="s">
        <v>156</v>
      </c>
      <c r="X410" s="1" t="s">
        <v>7962</v>
      </c>
      <c r="Y410" s="1" t="s">
        <v>4321</v>
      </c>
      <c r="Z410" s="1" t="s">
        <v>276</v>
      </c>
      <c r="AA410" s="1" t="s">
        <v>7962</v>
      </c>
      <c r="AB410" s="1" t="s">
        <v>4321</v>
      </c>
      <c r="AC410" s="1" t="s">
        <v>276</v>
      </c>
      <c r="AD410" s="1">
        <v>8.48</v>
      </c>
      <c r="AE410" s="1" t="s">
        <v>93</v>
      </c>
      <c r="AF410" s="1" t="s">
        <v>7963</v>
      </c>
      <c r="AG410" s="1" t="s">
        <v>7964</v>
      </c>
      <c r="AH410" s="1" t="s">
        <v>162</v>
      </c>
      <c r="AI410" s="1" t="s">
        <v>678</v>
      </c>
      <c r="AJ410" s="1">
        <v>95</v>
      </c>
      <c r="AK410" s="1">
        <v>9.5</v>
      </c>
      <c r="AL410" s="1"/>
      <c r="AM410" s="1"/>
      <c r="AN410" s="1"/>
      <c r="AO410" s="1"/>
      <c r="AP410" s="1"/>
      <c r="AQ410" s="1"/>
      <c r="AR410" s="1" t="s">
        <v>7965</v>
      </c>
      <c r="AS410" s="1" t="s">
        <v>7966</v>
      </c>
      <c r="AT410" s="1" t="s">
        <v>165</v>
      </c>
      <c r="AU410" s="1" t="s">
        <v>1834</v>
      </c>
      <c r="AV410" s="1">
        <v>89.29</v>
      </c>
      <c r="AW410" s="1"/>
      <c r="AX410" s="1" t="s">
        <v>7967</v>
      </c>
      <c r="AY410" s="1" t="s">
        <v>7968</v>
      </c>
      <c r="AZ410" s="1" t="s">
        <v>170</v>
      </c>
      <c r="BA410" s="1" t="s">
        <v>590</v>
      </c>
      <c r="BB410" s="1">
        <v>71</v>
      </c>
      <c r="BC410" s="1">
        <v>7.54</v>
      </c>
      <c r="BD410" s="1"/>
      <c r="BE410" s="1"/>
      <c r="BF410" s="1"/>
      <c r="BG410" s="1"/>
      <c r="BH410" s="1"/>
      <c r="BI410" s="1"/>
      <c r="BJ410" s="1" t="s">
        <v>7969</v>
      </c>
      <c r="BK410" s="1" t="s">
        <v>7970</v>
      </c>
      <c r="BL410" s="1" t="s">
        <v>1629</v>
      </c>
      <c r="BM410" s="1" t="s">
        <v>7971</v>
      </c>
      <c r="BN410" s="1">
        <v>7</v>
      </c>
      <c r="BO410" s="1" t="s">
        <v>7972</v>
      </c>
      <c r="BP410" s="1" t="str">
        <f>HYPERLINK("https://nconnect.nicmar.ac.in/storage/profile/ProfilePhoto_P25700361_138974.jpg","Download")</f>
        <v>0</v>
      </c>
      <c r="BQ410" s="3"/>
      <c r="BR410" s="3"/>
    </row>
    <row r="411" spans="1:70">
      <c r="A411" s="1" t="s">
        <v>70</v>
      </c>
      <c r="B411" s="1" t="s">
        <v>1269</v>
      </c>
      <c r="C411" s="1" t="s">
        <v>7973</v>
      </c>
      <c r="D411" s="1" t="s">
        <v>7974</v>
      </c>
      <c r="E411" s="1"/>
      <c r="F411" s="1" t="s">
        <v>2129</v>
      </c>
      <c r="G411" s="1" t="s">
        <v>7975</v>
      </c>
      <c r="H411" s="1" t="s">
        <v>7976</v>
      </c>
      <c r="I411" s="1" t="s">
        <v>7977</v>
      </c>
      <c r="J411" s="1">
        <v>8270382241</v>
      </c>
      <c r="K411" s="1" t="s">
        <v>79</v>
      </c>
      <c r="L411" s="1" t="s">
        <v>7978</v>
      </c>
      <c r="M411" s="1" t="s">
        <v>81</v>
      </c>
      <c r="N411" s="1" t="s">
        <v>1371</v>
      </c>
      <c r="O411" s="1"/>
      <c r="P411" s="1" t="s">
        <v>1278</v>
      </c>
      <c r="Q411" s="1" t="s">
        <v>7979</v>
      </c>
      <c r="R411" s="1" t="s">
        <v>7980</v>
      </c>
      <c r="S411" s="1">
        <v>9787149630</v>
      </c>
      <c r="T411" s="1" t="s">
        <v>7981</v>
      </c>
      <c r="U411" s="1" t="s">
        <v>7982</v>
      </c>
      <c r="V411" s="1">
        <v>9751094421</v>
      </c>
      <c r="W411" s="1" t="s">
        <v>889</v>
      </c>
      <c r="X411" s="1" t="s">
        <v>7983</v>
      </c>
      <c r="Y411" s="1" t="s">
        <v>7984</v>
      </c>
      <c r="Z411" s="1" t="s">
        <v>1377</v>
      </c>
      <c r="AA411" s="1" t="s">
        <v>7983</v>
      </c>
      <c r="AB411" s="1" t="s">
        <v>7984</v>
      </c>
      <c r="AC411" s="1" t="s">
        <v>1377</v>
      </c>
      <c r="AD411" s="1">
        <v>8.57</v>
      </c>
      <c r="AE411" s="1" t="s">
        <v>93</v>
      </c>
      <c r="AF411" s="1" t="s">
        <v>7985</v>
      </c>
      <c r="AG411" s="1" t="s">
        <v>7986</v>
      </c>
      <c r="AH411" s="1" t="s">
        <v>101</v>
      </c>
      <c r="AI411" s="1" t="s">
        <v>308</v>
      </c>
      <c r="AJ411" s="1">
        <v>84.2</v>
      </c>
      <c r="AK411" s="1"/>
      <c r="AL411" s="1" t="s">
        <v>7985</v>
      </c>
      <c r="AM411" s="1" t="s">
        <v>7987</v>
      </c>
      <c r="AN411" s="1" t="s">
        <v>699</v>
      </c>
      <c r="AO411" s="1" t="s">
        <v>506</v>
      </c>
      <c r="AP411" s="1">
        <v>86</v>
      </c>
      <c r="AQ411" s="1"/>
      <c r="AR411" s="1"/>
      <c r="AS411" s="1"/>
      <c r="AT411" s="1"/>
      <c r="AU411" s="1"/>
      <c r="AV411" s="1"/>
      <c r="AW411" s="1"/>
      <c r="AX411" s="1" t="s">
        <v>7988</v>
      </c>
      <c r="AY411" s="1" t="s">
        <v>7989</v>
      </c>
      <c r="AZ411" s="1" t="s">
        <v>1407</v>
      </c>
      <c r="BA411" s="1" t="s">
        <v>1714</v>
      </c>
      <c r="BB411" s="1">
        <v>76.96</v>
      </c>
      <c r="BC411" s="1">
        <v>7.69</v>
      </c>
      <c r="BD411" s="1"/>
      <c r="BE411" s="1"/>
      <c r="BF411" s="1"/>
      <c r="BG411" s="1"/>
      <c r="BH411" s="1"/>
      <c r="BI411" s="1"/>
      <c r="BJ411" s="1" t="s">
        <v>7990</v>
      </c>
      <c r="BK411" s="1"/>
      <c r="BL411" s="1"/>
      <c r="BM411" s="1" t="s">
        <v>7991</v>
      </c>
      <c r="BN411" s="1">
        <v>12</v>
      </c>
      <c r="BO411" s="1"/>
      <c r="BP411" s="1" t="str">
        <f>HYPERLINK("https://nconnect.nicmar.ac.in/storage/profile/ProfilePhoto_P25700362_519874.jpg","Download")</f>
        <v>0</v>
      </c>
      <c r="BQ411" s="3"/>
      <c r="BR411" s="3"/>
    </row>
    <row r="412" spans="1:70">
      <c r="A412" s="1" t="s">
        <v>70</v>
      </c>
      <c r="B412" s="1" t="s">
        <v>1269</v>
      </c>
      <c r="C412" s="1" t="s">
        <v>7992</v>
      </c>
      <c r="D412" s="1" t="s">
        <v>7993</v>
      </c>
      <c r="E412" s="1"/>
      <c r="F412" s="1" t="s">
        <v>345</v>
      </c>
      <c r="G412" s="1" t="s">
        <v>7994</v>
      </c>
      <c r="H412" s="1" t="s">
        <v>7995</v>
      </c>
      <c r="I412" s="1" t="s">
        <v>7996</v>
      </c>
      <c r="J412" s="1">
        <v>7420962677</v>
      </c>
      <c r="K412" s="1" t="s">
        <v>79</v>
      </c>
      <c r="L412" s="1" t="s">
        <v>7997</v>
      </c>
      <c r="M412" s="1" t="s">
        <v>81</v>
      </c>
      <c r="N412" s="1" t="s">
        <v>2008</v>
      </c>
      <c r="O412" s="1"/>
      <c r="P412" s="1" t="s">
        <v>6640</v>
      </c>
      <c r="Q412" s="1" t="s">
        <v>7998</v>
      </c>
      <c r="R412" s="1" t="s">
        <v>7999</v>
      </c>
      <c r="S412" s="1">
        <v>9422669692</v>
      </c>
      <c r="T412" s="1" t="s">
        <v>3217</v>
      </c>
      <c r="U412" s="1" t="s">
        <v>8000</v>
      </c>
      <c r="V412" s="1">
        <v>9307379451</v>
      </c>
      <c r="W412" s="1" t="s">
        <v>156</v>
      </c>
      <c r="X412" s="1" t="s">
        <v>8001</v>
      </c>
      <c r="Y412" s="1" t="s">
        <v>766</v>
      </c>
      <c r="Z412" s="1" t="s">
        <v>92</v>
      </c>
      <c r="AA412" s="1" t="s">
        <v>8001</v>
      </c>
      <c r="AB412" s="1" t="s">
        <v>766</v>
      </c>
      <c r="AC412" s="1" t="s">
        <v>92</v>
      </c>
      <c r="AD412" s="1">
        <v>8.52</v>
      </c>
      <c r="AE412" s="1" t="s">
        <v>93</v>
      </c>
      <c r="AF412" s="1" t="s">
        <v>8002</v>
      </c>
      <c r="AG412" s="1" t="s">
        <v>8003</v>
      </c>
      <c r="AH412" s="1" t="s">
        <v>97</v>
      </c>
      <c r="AI412" s="1" t="s">
        <v>456</v>
      </c>
      <c r="AJ412" s="1">
        <v>81</v>
      </c>
      <c r="AK412" s="1"/>
      <c r="AL412" s="1"/>
      <c r="AM412" s="1"/>
      <c r="AN412" s="1"/>
      <c r="AO412" s="1"/>
      <c r="AP412" s="1"/>
      <c r="AQ412" s="1"/>
      <c r="AR412" s="1" t="s">
        <v>98</v>
      </c>
      <c r="AS412" s="1" t="s">
        <v>8004</v>
      </c>
      <c r="AT412" s="1" t="s">
        <v>134</v>
      </c>
      <c r="AU412" s="1" t="s">
        <v>433</v>
      </c>
      <c r="AV412" s="1">
        <v>68.73</v>
      </c>
      <c r="AW412" s="1"/>
      <c r="AX412" s="1" t="s">
        <v>253</v>
      </c>
      <c r="AY412" s="1" t="s">
        <v>8005</v>
      </c>
      <c r="AZ412" s="1" t="s">
        <v>201</v>
      </c>
      <c r="BA412" s="1" t="s">
        <v>1003</v>
      </c>
      <c r="BB412" s="1">
        <v>71.88</v>
      </c>
      <c r="BC412" s="1">
        <v>8.19</v>
      </c>
      <c r="BD412" s="1"/>
      <c r="BE412" s="1"/>
      <c r="BF412" s="1"/>
      <c r="BG412" s="1"/>
      <c r="BH412" s="1"/>
      <c r="BI412" s="1"/>
      <c r="BJ412" s="1" t="s">
        <v>8006</v>
      </c>
      <c r="BK412" s="1" t="s">
        <v>8007</v>
      </c>
      <c r="BL412" s="1" t="s">
        <v>138</v>
      </c>
      <c r="BM412" s="1" t="s">
        <v>8008</v>
      </c>
      <c r="BN412" s="1">
        <v>13</v>
      </c>
      <c r="BO412" s="1" t="s">
        <v>8009</v>
      </c>
      <c r="BP412" s="1" t="str">
        <f>HYPERLINK("https://nconnect.nicmar.ac.in/storage/profile/ProfilePhoto_P25700363_761958.jpg","Download")</f>
        <v>0</v>
      </c>
      <c r="BQ412" s="3"/>
      <c r="BR412" s="3"/>
    </row>
    <row r="413" spans="1:70">
      <c r="A413" s="1" t="s">
        <v>70</v>
      </c>
      <c r="B413" s="1" t="s">
        <v>1269</v>
      </c>
      <c r="C413" s="1" t="s">
        <v>8010</v>
      </c>
      <c r="D413" s="1" t="s">
        <v>7315</v>
      </c>
      <c r="E413" s="1" t="s">
        <v>3231</v>
      </c>
      <c r="F413" s="1" t="s">
        <v>8011</v>
      </c>
      <c r="G413" s="1" t="s">
        <v>8012</v>
      </c>
      <c r="H413" s="1" t="s">
        <v>8013</v>
      </c>
      <c r="I413" s="1" t="s">
        <v>8014</v>
      </c>
      <c r="J413" s="1">
        <v>9518506049</v>
      </c>
      <c r="K413" s="1" t="s">
        <v>79</v>
      </c>
      <c r="L413" s="1" t="s">
        <v>8015</v>
      </c>
      <c r="M413" s="1" t="s">
        <v>81</v>
      </c>
      <c r="N413" s="1" t="s">
        <v>1418</v>
      </c>
      <c r="O413" s="1"/>
      <c r="P413" s="1" t="s">
        <v>1298</v>
      </c>
      <c r="Q413" s="1" t="s">
        <v>8016</v>
      </c>
      <c r="R413" s="1" t="s">
        <v>3231</v>
      </c>
      <c r="S413" s="1">
        <v>9822408208</v>
      </c>
      <c r="T413" s="1" t="s">
        <v>842</v>
      </c>
      <c r="U413" s="1" t="s">
        <v>2703</v>
      </c>
      <c r="V413" s="1">
        <v>9168255208</v>
      </c>
      <c r="W413" s="1" t="s">
        <v>156</v>
      </c>
      <c r="X413" s="1" t="s">
        <v>8017</v>
      </c>
      <c r="Y413" s="1" t="s">
        <v>191</v>
      </c>
      <c r="Z413" s="1" t="s">
        <v>92</v>
      </c>
      <c r="AA413" s="1" t="s">
        <v>8017</v>
      </c>
      <c r="AB413" s="1" t="s">
        <v>191</v>
      </c>
      <c r="AC413" s="1" t="s">
        <v>92</v>
      </c>
      <c r="AD413" s="1">
        <v>8.81</v>
      </c>
      <c r="AE413" s="1" t="s">
        <v>93</v>
      </c>
      <c r="AF413" s="1" t="s">
        <v>8018</v>
      </c>
      <c r="AG413" s="1" t="s">
        <v>3161</v>
      </c>
      <c r="AH413" s="1" t="s">
        <v>101</v>
      </c>
      <c r="AI413" s="1" t="s">
        <v>308</v>
      </c>
      <c r="AJ413" s="1">
        <v>86</v>
      </c>
      <c r="AK413" s="1"/>
      <c r="AL413" s="1" t="s">
        <v>8019</v>
      </c>
      <c r="AM413" s="1" t="s">
        <v>3161</v>
      </c>
      <c r="AN413" s="1" t="s">
        <v>699</v>
      </c>
      <c r="AO413" s="1" t="s">
        <v>1712</v>
      </c>
      <c r="AP413" s="1">
        <v>91.17</v>
      </c>
      <c r="AQ413" s="1"/>
      <c r="AR413" s="1"/>
      <c r="AS413" s="1"/>
      <c r="AT413" s="1"/>
      <c r="AU413" s="1"/>
      <c r="AV413" s="1"/>
      <c r="AW413" s="1"/>
      <c r="AX413" s="1" t="s">
        <v>361</v>
      </c>
      <c r="AY413" s="1" t="s">
        <v>8020</v>
      </c>
      <c r="AZ413" s="1" t="s">
        <v>897</v>
      </c>
      <c r="BA413" s="1" t="s">
        <v>1714</v>
      </c>
      <c r="BB413" s="1">
        <v>73.78</v>
      </c>
      <c r="BC413" s="1">
        <v>8.29</v>
      </c>
      <c r="BD413" s="1"/>
      <c r="BE413" s="1"/>
      <c r="BF413" s="1"/>
      <c r="BG413" s="1"/>
      <c r="BH413" s="1"/>
      <c r="BI413" s="1"/>
      <c r="BJ413" s="1" t="s">
        <v>4508</v>
      </c>
      <c r="BK413" s="1"/>
      <c r="BL413" s="1"/>
      <c r="BM413" s="1" t="s">
        <v>8021</v>
      </c>
      <c r="BN413" s="1">
        <v>12</v>
      </c>
      <c r="BO413" s="1"/>
      <c r="BP413" s="1" t="str">
        <f>HYPERLINK("https://nconnect.nicmar.ac.in/storage/profile/ProfilePhoto_P25700364_541382.jpg","Download")</f>
        <v>0</v>
      </c>
      <c r="BQ413" s="3"/>
      <c r="BR413" s="3"/>
    </row>
    <row r="414" spans="1:70">
      <c r="A414" s="1" t="s">
        <v>70</v>
      </c>
      <c r="B414" s="1" t="s">
        <v>1269</v>
      </c>
      <c r="C414" s="1" t="s">
        <v>8022</v>
      </c>
      <c r="D414" s="1" t="s">
        <v>2596</v>
      </c>
      <c r="E414" s="1" t="s">
        <v>5413</v>
      </c>
      <c r="F414" s="1" t="s">
        <v>236</v>
      </c>
      <c r="G414" s="1" t="s">
        <v>8023</v>
      </c>
      <c r="H414" s="1" t="s">
        <v>8024</v>
      </c>
      <c r="I414" s="1" t="s">
        <v>8025</v>
      </c>
      <c r="J414" s="1">
        <v>9607779797</v>
      </c>
      <c r="K414" s="1" t="s">
        <v>79</v>
      </c>
      <c r="L414" s="1" t="s">
        <v>6937</v>
      </c>
      <c r="M414" s="1" t="s">
        <v>81</v>
      </c>
      <c r="N414" s="1" t="s">
        <v>6341</v>
      </c>
      <c r="O414" s="1"/>
      <c r="P414" s="1"/>
      <c r="Q414" s="1" t="s">
        <v>8026</v>
      </c>
      <c r="R414" s="1" t="s">
        <v>8027</v>
      </c>
      <c r="S414" s="1">
        <v>9422039641</v>
      </c>
      <c r="T414" s="1" t="s">
        <v>87</v>
      </c>
      <c r="U414" s="1" t="s">
        <v>8028</v>
      </c>
      <c r="V414" s="1">
        <v>9422029441</v>
      </c>
      <c r="W414" s="1" t="s">
        <v>273</v>
      </c>
      <c r="X414" s="1" t="s">
        <v>8029</v>
      </c>
      <c r="Y414" s="1" t="s">
        <v>5937</v>
      </c>
      <c r="Z414" s="1" t="s">
        <v>92</v>
      </c>
      <c r="AA414" s="1" t="s">
        <v>8029</v>
      </c>
      <c r="AB414" s="1" t="s">
        <v>5937</v>
      </c>
      <c r="AC414" s="1" t="s">
        <v>92</v>
      </c>
      <c r="AD414" s="1">
        <v>8.21</v>
      </c>
      <c r="AE414" s="1" t="s">
        <v>93</v>
      </c>
      <c r="AF414" s="1" t="s">
        <v>8030</v>
      </c>
      <c r="AG414" s="1" t="s">
        <v>8031</v>
      </c>
      <c r="AH414" s="1" t="s">
        <v>8032</v>
      </c>
      <c r="AI414" s="1" t="s">
        <v>166</v>
      </c>
      <c r="AJ414" s="1">
        <v>81</v>
      </c>
      <c r="AK414" s="1"/>
      <c r="AL414" s="1" t="s">
        <v>8033</v>
      </c>
      <c r="AM414" s="1" t="s">
        <v>8034</v>
      </c>
      <c r="AN414" s="1" t="s">
        <v>101</v>
      </c>
      <c r="AO414" s="1" t="s">
        <v>360</v>
      </c>
      <c r="AP414" s="1">
        <v>66.46</v>
      </c>
      <c r="AQ414" s="1"/>
      <c r="AR414" s="1"/>
      <c r="AS414" s="1"/>
      <c r="AT414" s="1"/>
      <c r="AU414" s="1"/>
      <c r="AV414" s="1"/>
      <c r="AW414" s="1"/>
      <c r="AX414" s="1" t="s">
        <v>8035</v>
      </c>
      <c r="AY414" s="1" t="s">
        <v>8036</v>
      </c>
      <c r="AZ414" s="1" t="s">
        <v>173</v>
      </c>
      <c r="BA414" s="1" t="s">
        <v>702</v>
      </c>
      <c r="BB414" s="1">
        <v>63.7</v>
      </c>
      <c r="BC414" s="1">
        <v>7.12</v>
      </c>
      <c r="BD414" s="1"/>
      <c r="BE414" s="1"/>
      <c r="BF414" s="1"/>
      <c r="BG414" s="1"/>
      <c r="BH414" s="1"/>
      <c r="BI414" s="1"/>
      <c r="BJ414" s="1" t="s">
        <v>8037</v>
      </c>
      <c r="BK414" s="1"/>
      <c r="BL414" s="1"/>
      <c r="BM414" s="1" t="s">
        <v>8038</v>
      </c>
      <c r="BN414" s="1">
        <v>35</v>
      </c>
      <c r="BO414" s="1"/>
      <c r="BP414" s="1" t="str">
        <f>HYPERLINK("https://nconnect.nicmar.ac.in/storage/profile/ProfilePhoto_P25700366_956721.jpg","Download")</f>
        <v>0</v>
      </c>
      <c r="BQ414" s="3"/>
      <c r="BR414" s="3"/>
    </row>
    <row r="415" spans="1:70">
      <c r="A415" s="1" t="s">
        <v>70</v>
      </c>
      <c r="B415" s="1" t="s">
        <v>1269</v>
      </c>
      <c r="C415" s="1" t="s">
        <v>8039</v>
      </c>
      <c r="D415" s="1" t="s">
        <v>4434</v>
      </c>
      <c r="E415" s="1" t="s">
        <v>181</v>
      </c>
      <c r="F415" s="1" t="s">
        <v>8040</v>
      </c>
      <c r="G415" s="1" t="s">
        <v>8041</v>
      </c>
      <c r="H415" s="1" t="s">
        <v>8042</v>
      </c>
      <c r="I415" s="1" t="s">
        <v>8043</v>
      </c>
      <c r="J415" s="1">
        <v>7972203913</v>
      </c>
      <c r="K415" s="1" t="s">
        <v>79</v>
      </c>
      <c r="L415" s="1" t="s">
        <v>8044</v>
      </c>
      <c r="M415" s="1" t="s">
        <v>81</v>
      </c>
      <c r="N415" s="1" t="s">
        <v>2008</v>
      </c>
      <c r="O415" s="1"/>
      <c r="P415" s="1" t="s">
        <v>1323</v>
      </c>
      <c r="Q415" s="1" t="s">
        <v>8045</v>
      </c>
      <c r="R415" s="1" t="s">
        <v>8046</v>
      </c>
      <c r="S415" s="1">
        <v>9405150730</v>
      </c>
      <c r="T415" s="1" t="s">
        <v>8047</v>
      </c>
      <c r="U415" s="1" t="s">
        <v>8048</v>
      </c>
      <c r="V415" s="1">
        <v>9403290644</v>
      </c>
      <c r="W415" s="1" t="s">
        <v>156</v>
      </c>
      <c r="X415" s="1" t="s">
        <v>8049</v>
      </c>
      <c r="Y415" s="1" t="s">
        <v>191</v>
      </c>
      <c r="Z415" s="1" t="s">
        <v>92</v>
      </c>
      <c r="AA415" s="1" t="s">
        <v>8050</v>
      </c>
      <c r="AB415" s="1" t="s">
        <v>405</v>
      </c>
      <c r="AC415" s="1" t="s">
        <v>92</v>
      </c>
      <c r="AD415" s="1">
        <v>8.2</v>
      </c>
      <c r="AE415" s="1" t="s">
        <v>93</v>
      </c>
      <c r="AF415" s="1" t="s">
        <v>8051</v>
      </c>
      <c r="AG415" s="1" t="s">
        <v>8052</v>
      </c>
      <c r="AH415" s="1" t="s">
        <v>733</v>
      </c>
      <c r="AI415" s="1" t="s">
        <v>195</v>
      </c>
      <c r="AJ415" s="1">
        <v>79.2</v>
      </c>
      <c r="AK415" s="1">
        <v>8.4</v>
      </c>
      <c r="AL415" s="1" t="s">
        <v>8053</v>
      </c>
      <c r="AM415" s="1" t="s">
        <v>8054</v>
      </c>
      <c r="AN415" s="1" t="s">
        <v>169</v>
      </c>
      <c r="AO415" s="1" t="s">
        <v>310</v>
      </c>
      <c r="AP415" s="1">
        <v>61.23</v>
      </c>
      <c r="AQ415" s="1"/>
      <c r="AR415" s="1"/>
      <c r="AS415" s="1"/>
      <c r="AT415" s="1"/>
      <c r="AU415" s="1"/>
      <c r="AV415" s="1"/>
      <c r="AW415" s="1"/>
      <c r="AX415" s="1" t="s">
        <v>8055</v>
      </c>
      <c r="AY415" s="1" t="s">
        <v>8056</v>
      </c>
      <c r="AZ415" s="1" t="s">
        <v>201</v>
      </c>
      <c r="BA415" s="1" t="s">
        <v>174</v>
      </c>
      <c r="BB415" s="1">
        <v>64.7</v>
      </c>
      <c r="BC415" s="1">
        <v>7.22</v>
      </c>
      <c r="BD415" s="1"/>
      <c r="BE415" s="1"/>
      <c r="BF415" s="1"/>
      <c r="BG415" s="1"/>
      <c r="BH415" s="1"/>
      <c r="BI415" s="1"/>
      <c r="BJ415" s="1" t="s">
        <v>364</v>
      </c>
      <c r="BK415" s="1"/>
      <c r="BL415" s="1"/>
      <c r="BM415" s="1" t="s">
        <v>8057</v>
      </c>
      <c r="BN415" s="1">
        <v>65</v>
      </c>
      <c r="BO415" s="1"/>
      <c r="BP415" s="1" t="str">
        <f>HYPERLINK("https://nconnect.nicmar.ac.in/storage/profile/ProfilePhoto_P25700368_157439.jpg","Download")</f>
        <v>0</v>
      </c>
      <c r="BQ415" s="3"/>
      <c r="BR415" s="3"/>
    </row>
    <row r="416" spans="1:70">
      <c r="A416" s="1" t="s">
        <v>70</v>
      </c>
      <c r="B416" s="1" t="s">
        <v>1269</v>
      </c>
      <c r="C416" s="1" t="s">
        <v>8058</v>
      </c>
      <c r="D416" s="1" t="s">
        <v>1039</v>
      </c>
      <c r="E416" s="1" t="s">
        <v>3057</v>
      </c>
      <c r="F416" s="1" t="s">
        <v>142</v>
      </c>
      <c r="G416" s="1" t="s">
        <v>8059</v>
      </c>
      <c r="H416" s="1" t="s">
        <v>8060</v>
      </c>
      <c r="I416" s="1" t="s">
        <v>8061</v>
      </c>
      <c r="J416" s="1">
        <v>9511248747</v>
      </c>
      <c r="K416" s="1" t="s">
        <v>79</v>
      </c>
      <c r="L416" s="1" t="s">
        <v>6639</v>
      </c>
      <c r="M416" s="1" t="s">
        <v>81</v>
      </c>
      <c r="N416" s="1" t="s">
        <v>2970</v>
      </c>
      <c r="O416" s="1"/>
      <c r="P416" s="1" t="s">
        <v>1298</v>
      </c>
      <c r="Q416" s="1" t="s">
        <v>8062</v>
      </c>
      <c r="R416" s="1" t="s">
        <v>3057</v>
      </c>
      <c r="S416" s="1">
        <v>9284050917</v>
      </c>
      <c r="T416" s="1" t="s">
        <v>154</v>
      </c>
      <c r="U416" s="1" t="s">
        <v>3065</v>
      </c>
      <c r="V416" s="1">
        <v>9665580920</v>
      </c>
      <c r="W416" s="1" t="s">
        <v>156</v>
      </c>
      <c r="X416" s="1" t="s">
        <v>8063</v>
      </c>
      <c r="Y416" s="1" t="s">
        <v>191</v>
      </c>
      <c r="Z416" s="1" t="s">
        <v>92</v>
      </c>
      <c r="AA416" s="1" t="s">
        <v>8064</v>
      </c>
      <c r="AB416" s="1" t="s">
        <v>1991</v>
      </c>
      <c r="AC416" s="1" t="s">
        <v>92</v>
      </c>
      <c r="AD416" s="1">
        <v>8.52</v>
      </c>
      <c r="AE416" s="1" t="s">
        <v>93</v>
      </c>
      <c r="AF416" s="1" t="s">
        <v>8065</v>
      </c>
      <c r="AG416" s="1" t="s">
        <v>8066</v>
      </c>
      <c r="AH416" s="1" t="s">
        <v>162</v>
      </c>
      <c r="AI416" s="1" t="s">
        <v>195</v>
      </c>
      <c r="AJ416" s="1">
        <v>89.2</v>
      </c>
      <c r="AK416" s="1"/>
      <c r="AL416" s="1"/>
      <c r="AM416" s="1"/>
      <c r="AN416" s="1"/>
      <c r="AO416" s="1"/>
      <c r="AP416" s="1"/>
      <c r="AQ416" s="1"/>
      <c r="AR416" s="1" t="s">
        <v>434</v>
      </c>
      <c r="AS416" s="1" t="s">
        <v>8067</v>
      </c>
      <c r="AT416" s="1" t="s">
        <v>225</v>
      </c>
      <c r="AU416" s="1" t="s">
        <v>170</v>
      </c>
      <c r="AV416" s="1">
        <v>91.32</v>
      </c>
      <c r="AW416" s="1"/>
      <c r="AX416" s="1" t="s">
        <v>361</v>
      </c>
      <c r="AY416" s="1" t="s">
        <v>2911</v>
      </c>
      <c r="AZ416" s="1" t="s">
        <v>363</v>
      </c>
      <c r="BA416" s="1" t="s">
        <v>174</v>
      </c>
      <c r="BB416" s="1">
        <v>74.36</v>
      </c>
      <c r="BC416" s="1">
        <v>8.28</v>
      </c>
      <c r="BD416" s="1"/>
      <c r="BE416" s="1"/>
      <c r="BF416" s="1"/>
      <c r="BG416" s="1"/>
      <c r="BH416" s="1"/>
      <c r="BI416" s="1"/>
      <c r="BJ416" s="1" t="s">
        <v>8068</v>
      </c>
      <c r="BK416" s="1"/>
      <c r="BL416" s="1"/>
      <c r="BM416" s="1" t="s">
        <v>8069</v>
      </c>
      <c r="BN416" s="1">
        <v>60</v>
      </c>
      <c r="BO416" s="1" t="s">
        <v>8070</v>
      </c>
      <c r="BP416" s="1" t="str">
        <f>HYPERLINK("https://nconnect.nicmar.ac.in/storage/profile/ProfilePhoto_P25700369_745329.jpg","Download")</f>
        <v>0</v>
      </c>
      <c r="BQ416" s="3"/>
      <c r="BR416" s="3"/>
    </row>
    <row r="417" spans="1:70">
      <c r="A417" s="1" t="s">
        <v>70</v>
      </c>
      <c r="B417" s="1" t="s">
        <v>1269</v>
      </c>
      <c r="C417" s="1" t="s">
        <v>8071</v>
      </c>
      <c r="D417" s="1" t="s">
        <v>2128</v>
      </c>
      <c r="E417" s="1" t="s">
        <v>3231</v>
      </c>
      <c r="F417" s="1" t="s">
        <v>8072</v>
      </c>
      <c r="G417" s="1" t="s">
        <v>8073</v>
      </c>
      <c r="H417" s="1" t="s">
        <v>8074</v>
      </c>
      <c r="I417" s="1" t="s">
        <v>8075</v>
      </c>
      <c r="J417" s="1">
        <v>9326015827</v>
      </c>
      <c r="K417" s="1" t="s">
        <v>79</v>
      </c>
      <c r="L417" s="1" t="s">
        <v>8076</v>
      </c>
      <c r="M417" s="1" t="s">
        <v>81</v>
      </c>
      <c r="N417" s="1" t="s">
        <v>8077</v>
      </c>
      <c r="O417" s="1"/>
      <c r="P417" s="1" t="s">
        <v>1298</v>
      </c>
      <c r="Q417" s="1" t="s">
        <v>8078</v>
      </c>
      <c r="R417" s="1" t="s">
        <v>3231</v>
      </c>
      <c r="S417" s="1">
        <v>9594039951</v>
      </c>
      <c r="T417" s="1" t="s">
        <v>8079</v>
      </c>
      <c r="U417" s="1" t="s">
        <v>8080</v>
      </c>
      <c r="V417" s="1">
        <v>9833379880</v>
      </c>
      <c r="W417" s="1" t="s">
        <v>156</v>
      </c>
      <c r="X417" s="1" t="s">
        <v>8081</v>
      </c>
      <c r="Y417" s="1" t="s">
        <v>1623</v>
      </c>
      <c r="Z417" s="1" t="s">
        <v>92</v>
      </c>
      <c r="AA417" s="1" t="s">
        <v>8082</v>
      </c>
      <c r="AB417" s="1" t="s">
        <v>1623</v>
      </c>
      <c r="AC417" s="1" t="s">
        <v>92</v>
      </c>
      <c r="AD417" s="1">
        <v>7.92</v>
      </c>
      <c r="AE417" s="1" t="s">
        <v>93</v>
      </c>
      <c r="AF417" s="1" t="s">
        <v>8083</v>
      </c>
      <c r="AG417" s="1" t="s">
        <v>160</v>
      </c>
      <c r="AH417" s="1" t="s">
        <v>337</v>
      </c>
      <c r="AI417" s="1" t="s">
        <v>527</v>
      </c>
      <c r="AJ417" s="1">
        <v>63.4</v>
      </c>
      <c r="AK417" s="1"/>
      <c r="AL417" s="1"/>
      <c r="AM417" s="1"/>
      <c r="AN417" s="1"/>
      <c r="AO417" s="1"/>
      <c r="AP417" s="1"/>
      <c r="AQ417" s="1"/>
      <c r="AR417" s="1" t="s">
        <v>434</v>
      </c>
      <c r="AS417" s="1" t="s">
        <v>8084</v>
      </c>
      <c r="AT417" s="1" t="s">
        <v>134</v>
      </c>
      <c r="AU417" s="1" t="s">
        <v>228</v>
      </c>
      <c r="AV417" s="1">
        <v>64.12</v>
      </c>
      <c r="AW417" s="1"/>
      <c r="AX417" s="1" t="s">
        <v>253</v>
      </c>
      <c r="AY417" s="1" t="s">
        <v>5879</v>
      </c>
      <c r="AZ417" s="1" t="s">
        <v>363</v>
      </c>
      <c r="BA417" s="1" t="s">
        <v>8085</v>
      </c>
      <c r="BB417" s="1">
        <v>68.86</v>
      </c>
      <c r="BC417" s="1">
        <v>7.84</v>
      </c>
      <c r="BD417" s="1"/>
      <c r="BE417" s="1"/>
      <c r="BF417" s="1"/>
      <c r="BG417" s="1"/>
      <c r="BH417" s="1"/>
      <c r="BI417" s="1"/>
      <c r="BJ417" s="1" t="s">
        <v>255</v>
      </c>
      <c r="BK417" s="1" t="s">
        <v>8086</v>
      </c>
      <c r="BL417" s="1" t="s">
        <v>3246</v>
      </c>
      <c r="BM417" s="1" t="s">
        <v>8087</v>
      </c>
      <c r="BN417" s="1">
        <v>10</v>
      </c>
      <c r="BO417" s="1"/>
      <c r="BP417" s="1" t="str">
        <f>HYPERLINK("https://nconnect.nicmar.ac.in/storage/profile/ProfilePhoto_P25700370_895437.jpg","Download")</f>
        <v>0</v>
      </c>
      <c r="BQ417" s="3"/>
      <c r="BR417" s="3"/>
    </row>
    <row r="418" spans="1:70">
      <c r="A418" s="1" t="s">
        <v>70</v>
      </c>
      <c r="B418" s="1" t="s">
        <v>1269</v>
      </c>
      <c r="C418" s="1" t="s">
        <v>8088</v>
      </c>
      <c r="D418" s="1" t="s">
        <v>4024</v>
      </c>
      <c r="E418" s="1"/>
      <c r="F418" s="1" t="s">
        <v>2797</v>
      </c>
      <c r="G418" s="1" t="s">
        <v>8089</v>
      </c>
      <c r="H418" s="1" t="s">
        <v>8090</v>
      </c>
      <c r="I418" s="1" t="s">
        <v>8091</v>
      </c>
      <c r="J418" s="1">
        <v>9538399704</v>
      </c>
      <c r="K418" s="1" t="s">
        <v>148</v>
      </c>
      <c r="L418" s="1" t="s">
        <v>8092</v>
      </c>
      <c r="M418" s="1" t="s">
        <v>81</v>
      </c>
      <c r="N418" s="1" t="s">
        <v>2046</v>
      </c>
      <c r="O418" s="1"/>
      <c r="P418" s="1" t="s">
        <v>1323</v>
      </c>
      <c r="Q418" s="1" t="s">
        <v>8093</v>
      </c>
      <c r="R418" s="1" t="s">
        <v>8094</v>
      </c>
      <c r="S418" s="1">
        <v>9448245386</v>
      </c>
      <c r="T418" s="1" t="s">
        <v>8095</v>
      </c>
      <c r="U418" s="1" t="s">
        <v>8096</v>
      </c>
      <c r="V418" s="1">
        <v>9448293831</v>
      </c>
      <c r="W418" s="1" t="s">
        <v>4107</v>
      </c>
      <c r="X418" s="1" t="s">
        <v>8097</v>
      </c>
      <c r="Y418" s="1" t="s">
        <v>2052</v>
      </c>
      <c r="Z418" s="1" t="s">
        <v>1084</v>
      </c>
      <c r="AA418" s="1" t="s">
        <v>8097</v>
      </c>
      <c r="AB418" s="1" t="s">
        <v>2052</v>
      </c>
      <c r="AC418" s="1" t="s">
        <v>1084</v>
      </c>
      <c r="AD418" s="1">
        <v>8.95</v>
      </c>
      <c r="AE418" s="1" t="s">
        <v>93</v>
      </c>
      <c r="AF418" s="1" t="s">
        <v>8098</v>
      </c>
      <c r="AG418" s="1" t="s">
        <v>8099</v>
      </c>
      <c r="AH418" s="1" t="s">
        <v>129</v>
      </c>
      <c r="AI418" s="1" t="s">
        <v>1197</v>
      </c>
      <c r="AJ418" s="1">
        <v>84.32</v>
      </c>
      <c r="AK418" s="1"/>
      <c r="AL418" s="1" t="s">
        <v>8100</v>
      </c>
      <c r="AM418" s="1" t="s">
        <v>8101</v>
      </c>
      <c r="AN418" s="1" t="s">
        <v>131</v>
      </c>
      <c r="AO418" s="1" t="s">
        <v>527</v>
      </c>
      <c r="AP418" s="1">
        <v>76.66</v>
      </c>
      <c r="AQ418" s="1"/>
      <c r="AR418" s="1"/>
      <c r="AS418" s="1"/>
      <c r="AT418" s="1"/>
      <c r="AU418" s="1"/>
      <c r="AV418" s="1"/>
      <c r="AW418" s="1"/>
      <c r="AX418" s="1" t="s">
        <v>1088</v>
      </c>
      <c r="AY418" s="1" t="s">
        <v>8102</v>
      </c>
      <c r="AZ418" s="1" t="s">
        <v>134</v>
      </c>
      <c r="BA418" s="1" t="s">
        <v>681</v>
      </c>
      <c r="BB418" s="1">
        <v>74.2</v>
      </c>
      <c r="BC418" s="1">
        <v>8.17</v>
      </c>
      <c r="BD418" s="1" t="s">
        <v>1088</v>
      </c>
      <c r="BE418" s="1" t="s">
        <v>8103</v>
      </c>
      <c r="BF418" s="1" t="s">
        <v>2463</v>
      </c>
      <c r="BG418" s="1" t="s">
        <v>2632</v>
      </c>
      <c r="BH418" s="1">
        <v>81.5</v>
      </c>
      <c r="BI418" s="1">
        <v>8.9</v>
      </c>
      <c r="BJ418" s="1" t="s">
        <v>8104</v>
      </c>
      <c r="BK418" s="1" t="s">
        <v>8105</v>
      </c>
      <c r="BL418" s="1" t="s">
        <v>1543</v>
      </c>
      <c r="BM418" s="1" t="s">
        <v>8106</v>
      </c>
      <c r="BN418" s="1">
        <v>20</v>
      </c>
      <c r="BO418" s="1" t="s">
        <v>8107</v>
      </c>
      <c r="BP418" s="1" t="str">
        <f>HYPERLINK("https://nconnect.nicmar.ac.in/storage/profile/ProfilePhoto_P25700371_572389.jpg","Download")</f>
        <v>0</v>
      </c>
      <c r="BQ418" s="3"/>
      <c r="BR418" s="3"/>
    </row>
    <row r="419" spans="1:70">
      <c r="A419" s="1" t="s">
        <v>70</v>
      </c>
      <c r="B419" s="1" t="s">
        <v>1269</v>
      </c>
      <c r="C419" s="1" t="s">
        <v>8108</v>
      </c>
      <c r="D419" s="1" t="s">
        <v>8109</v>
      </c>
      <c r="E419" s="1"/>
      <c r="F419" s="1" t="s">
        <v>8110</v>
      </c>
      <c r="G419" s="1" t="s">
        <v>8111</v>
      </c>
      <c r="H419" s="1" t="s">
        <v>8112</v>
      </c>
      <c r="I419" s="1" t="s">
        <v>8113</v>
      </c>
      <c r="J419" s="1">
        <v>8077106036</v>
      </c>
      <c r="K419" s="1" t="s">
        <v>79</v>
      </c>
      <c r="L419" s="1" t="s">
        <v>8114</v>
      </c>
      <c r="M419" s="1" t="s">
        <v>81</v>
      </c>
      <c r="N419" s="1" t="s">
        <v>5056</v>
      </c>
      <c r="O419" s="1"/>
      <c r="P419" s="1" t="s">
        <v>1298</v>
      </c>
      <c r="Q419" s="1" t="s">
        <v>8115</v>
      </c>
      <c r="R419" s="1" t="s">
        <v>8116</v>
      </c>
      <c r="S419" s="1">
        <v>7992311874</v>
      </c>
      <c r="T419" s="1" t="s">
        <v>763</v>
      </c>
      <c r="U419" s="1" t="s">
        <v>8117</v>
      </c>
      <c r="V419" s="1">
        <v>8279848766</v>
      </c>
      <c r="W419" s="1" t="s">
        <v>763</v>
      </c>
      <c r="X419" s="1" t="s">
        <v>8118</v>
      </c>
      <c r="Y419" s="1" t="s">
        <v>8119</v>
      </c>
      <c r="Z419" s="1" t="s">
        <v>1355</v>
      </c>
      <c r="AA419" s="1" t="s">
        <v>8118</v>
      </c>
      <c r="AB419" s="1" t="s">
        <v>8119</v>
      </c>
      <c r="AC419" s="1" t="s">
        <v>1355</v>
      </c>
      <c r="AD419" s="1">
        <v>9.29</v>
      </c>
      <c r="AE419" s="1" t="s">
        <v>93</v>
      </c>
      <c r="AF419" s="1" t="s">
        <v>8120</v>
      </c>
      <c r="AG419" s="1" t="s">
        <v>8121</v>
      </c>
      <c r="AH419" s="1" t="s">
        <v>131</v>
      </c>
      <c r="AI419" s="1" t="s">
        <v>527</v>
      </c>
      <c r="AJ419" s="1">
        <v>95</v>
      </c>
      <c r="AK419" s="1">
        <v>10</v>
      </c>
      <c r="AL419" s="1" t="s">
        <v>8122</v>
      </c>
      <c r="AM419" s="1" t="s">
        <v>307</v>
      </c>
      <c r="AN419" s="1" t="s">
        <v>165</v>
      </c>
      <c r="AO419" s="1" t="s">
        <v>166</v>
      </c>
      <c r="AP419" s="1">
        <v>87.02</v>
      </c>
      <c r="AQ419" s="1"/>
      <c r="AR419" s="1"/>
      <c r="AS419" s="1"/>
      <c r="AT419" s="1"/>
      <c r="AU419" s="1"/>
      <c r="AV419" s="1"/>
      <c r="AW419" s="1"/>
      <c r="AX419" s="1" t="s">
        <v>8123</v>
      </c>
      <c r="AY419" s="1" t="s">
        <v>8123</v>
      </c>
      <c r="AZ419" s="1" t="s">
        <v>169</v>
      </c>
      <c r="BA419" s="1" t="s">
        <v>481</v>
      </c>
      <c r="BB419" s="1">
        <v>90.09</v>
      </c>
      <c r="BC419" s="1">
        <v>9.09</v>
      </c>
      <c r="BD419" s="1"/>
      <c r="BE419" s="1"/>
      <c r="BF419" s="1"/>
      <c r="BG419" s="1"/>
      <c r="BH419" s="1"/>
      <c r="BI419" s="1"/>
      <c r="BJ419" s="1" t="s">
        <v>8124</v>
      </c>
      <c r="BK419" s="1" t="s">
        <v>8125</v>
      </c>
      <c r="BL419" s="1" t="s">
        <v>1543</v>
      </c>
      <c r="BM419" s="1" t="s">
        <v>8126</v>
      </c>
      <c r="BN419" s="1">
        <v>28</v>
      </c>
      <c r="BO419" s="1"/>
      <c r="BP419" s="1" t="str">
        <f>HYPERLINK("https://nconnect.nicmar.ac.in/storage/profile/ProfilePhoto_P25700372_298156.jpg","Download")</f>
        <v>0</v>
      </c>
      <c r="BQ419" s="3"/>
      <c r="BR419" s="3"/>
    </row>
    <row r="420" spans="1:70">
      <c r="A420" s="1" t="s">
        <v>70</v>
      </c>
      <c r="B420" s="1" t="s">
        <v>1269</v>
      </c>
      <c r="C420" s="1" t="s">
        <v>8127</v>
      </c>
      <c r="D420" s="1" t="s">
        <v>8128</v>
      </c>
      <c r="E420" s="1" t="s">
        <v>5088</v>
      </c>
      <c r="F420" s="1" t="s">
        <v>8129</v>
      </c>
      <c r="G420" s="1" t="s">
        <v>8130</v>
      </c>
      <c r="H420" s="1" t="s">
        <v>8131</v>
      </c>
      <c r="I420" s="1" t="s">
        <v>8132</v>
      </c>
      <c r="J420" s="1">
        <v>9175903302</v>
      </c>
      <c r="K420" s="1" t="s">
        <v>79</v>
      </c>
      <c r="L420" s="1" t="s">
        <v>8133</v>
      </c>
      <c r="M420" s="1" t="s">
        <v>81</v>
      </c>
      <c r="N420" s="1" t="s">
        <v>2295</v>
      </c>
      <c r="O420" s="1"/>
      <c r="P420" s="1" t="s">
        <v>1323</v>
      </c>
      <c r="Q420" s="1" t="s">
        <v>8134</v>
      </c>
      <c r="R420" s="1" t="s">
        <v>8135</v>
      </c>
      <c r="S420" s="1">
        <v>9422003015</v>
      </c>
      <c r="T420" s="1" t="s">
        <v>496</v>
      </c>
      <c r="U420" s="1" t="s">
        <v>8136</v>
      </c>
      <c r="V420" s="1">
        <v>9423566570</v>
      </c>
      <c r="W420" s="1" t="s">
        <v>674</v>
      </c>
      <c r="X420" s="1" t="s">
        <v>8137</v>
      </c>
      <c r="Y420" s="1" t="s">
        <v>191</v>
      </c>
      <c r="Z420" s="1" t="s">
        <v>92</v>
      </c>
      <c r="AA420" s="1" t="s">
        <v>8137</v>
      </c>
      <c r="AB420" s="1" t="s">
        <v>191</v>
      </c>
      <c r="AC420" s="1" t="s">
        <v>92</v>
      </c>
      <c r="AD420" s="1">
        <v>8.89</v>
      </c>
      <c r="AE420" s="1" t="s">
        <v>93</v>
      </c>
      <c r="AF420" s="1" t="s">
        <v>8138</v>
      </c>
      <c r="AG420" s="1" t="s">
        <v>4110</v>
      </c>
      <c r="AH420" s="1" t="s">
        <v>4587</v>
      </c>
      <c r="AI420" s="1" t="s">
        <v>166</v>
      </c>
      <c r="AJ420" s="1">
        <v>92.33</v>
      </c>
      <c r="AK420" s="1"/>
      <c r="AL420" s="1" t="s">
        <v>1217</v>
      </c>
      <c r="AM420" s="1" t="s">
        <v>8139</v>
      </c>
      <c r="AN420" s="1" t="s">
        <v>101</v>
      </c>
      <c r="AO420" s="1" t="s">
        <v>173</v>
      </c>
      <c r="AP420" s="1">
        <v>77.54</v>
      </c>
      <c r="AQ420" s="1"/>
      <c r="AR420" s="1"/>
      <c r="AS420" s="1"/>
      <c r="AT420" s="1"/>
      <c r="AU420" s="1"/>
      <c r="AV420" s="1"/>
      <c r="AW420" s="1"/>
      <c r="AX420" s="1" t="s">
        <v>361</v>
      </c>
      <c r="AY420" s="1" t="s">
        <v>5811</v>
      </c>
      <c r="AZ420" s="1" t="s">
        <v>173</v>
      </c>
      <c r="BA420" s="1" t="s">
        <v>1714</v>
      </c>
      <c r="BB420" s="1">
        <v>65.15</v>
      </c>
      <c r="BC420" s="1">
        <v>7.32</v>
      </c>
      <c r="BD420" s="1"/>
      <c r="BE420" s="1"/>
      <c r="BF420" s="1"/>
      <c r="BG420" s="1"/>
      <c r="BH420" s="1"/>
      <c r="BI420" s="1"/>
      <c r="BJ420" s="1" t="s">
        <v>8140</v>
      </c>
      <c r="BK420" s="1"/>
      <c r="BL420" s="1"/>
      <c r="BM420" s="1" t="s">
        <v>8141</v>
      </c>
      <c r="BN420" s="1">
        <v>25</v>
      </c>
      <c r="BO420" s="1" t="s">
        <v>8142</v>
      </c>
      <c r="BP420" s="1" t="str">
        <f>HYPERLINK("https://nconnect.nicmar.ac.in/storage/profile/ProfilePhoto_P25700373_975146.jpg","Download")</f>
        <v>0</v>
      </c>
      <c r="BQ420" s="3"/>
      <c r="BR420" s="3"/>
    </row>
    <row r="421" spans="1:70">
      <c r="A421" s="1" t="s">
        <v>70</v>
      </c>
      <c r="B421" s="1" t="s">
        <v>1269</v>
      </c>
      <c r="C421" s="1" t="s">
        <v>8143</v>
      </c>
      <c r="D421" s="1" t="s">
        <v>8144</v>
      </c>
      <c r="E421" s="1"/>
      <c r="F421" s="1" t="s">
        <v>8145</v>
      </c>
      <c r="G421" s="1" t="s">
        <v>8146</v>
      </c>
      <c r="H421" s="1" t="s">
        <v>8147</v>
      </c>
      <c r="I421" s="1" t="s">
        <v>8148</v>
      </c>
      <c r="J421" s="1">
        <v>9354817468</v>
      </c>
      <c r="K421" s="1" t="s">
        <v>148</v>
      </c>
      <c r="L421" s="1" t="s">
        <v>8015</v>
      </c>
      <c r="M421" s="1" t="s">
        <v>81</v>
      </c>
      <c r="N421" s="1" t="s">
        <v>8149</v>
      </c>
      <c r="O421" s="1"/>
      <c r="P421" s="1" t="s">
        <v>1766</v>
      </c>
      <c r="Q421" s="1" t="s">
        <v>8150</v>
      </c>
      <c r="R421" s="1" t="s">
        <v>8151</v>
      </c>
      <c r="S421" s="1">
        <v>9718078233</v>
      </c>
      <c r="T421" s="1" t="s">
        <v>910</v>
      </c>
      <c r="U421" s="1" t="s">
        <v>8152</v>
      </c>
      <c r="V421" s="1">
        <v>7982767566</v>
      </c>
      <c r="W421" s="1" t="s">
        <v>651</v>
      </c>
      <c r="X421" s="1" t="s">
        <v>8153</v>
      </c>
      <c r="Y421" s="1" t="s">
        <v>718</v>
      </c>
      <c r="Z421" s="1" t="s">
        <v>719</v>
      </c>
      <c r="AA421" s="1" t="s">
        <v>8153</v>
      </c>
      <c r="AB421" s="1" t="s">
        <v>718</v>
      </c>
      <c r="AC421" s="1" t="s">
        <v>719</v>
      </c>
      <c r="AD421" s="1">
        <v>9.31</v>
      </c>
      <c r="AE421" s="1" t="s">
        <v>93</v>
      </c>
      <c r="AF421" s="1" t="s">
        <v>501</v>
      </c>
      <c r="AG421" s="1" t="s">
        <v>307</v>
      </c>
      <c r="AH421" s="1" t="s">
        <v>279</v>
      </c>
      <c r="AI421" s="1" t="s">
        <v>165</v>
      </c>
      <c r="AJ421" s="1">
        <v>95</v>
      </c>
      <c r="AK421" s="1">
        <v>10</v>
      </c>
      <c r="AL421" s="1" t="s">
        <v>501</v>
      </c>
      <c r="AM421" s="1" t="s">
        <v>307</v>
      </c>
      <c r="AN421" s="1" t="s">
        <v>1307</v>
      </c>
      <c r="AO421" s="1" t="s">
        <v>308</v>
      </c>
      <c r="AP421" s="1">
        <v>81.5</v>
      </c>
      <c r="AQ421" s="1"/>
      <c r="AR421" s="1"/>
      <c r="AS421" s="1"/>
      <c r="AT421" s="1"/>
      <c r="AU421" s="1"/>
      <c r="AV421" s="1"/>
      <c r="AW421" s="1"/>
      <c r="AX421" s="1" t="s">
        <v>8154</v>
      </c>
      <c r="AY421" s="1" t="s">
        <v>8155</v>
      </c>
      <c r="AZ421" s="1" t="s">
        <v>201</v>
      </c>
      <c r="BA421" s="1" t="s">
        <v>386</v>
      </c>
      <c r="BB421" s="1">
        <v>70.01</v>
      </c>
      <c r="BC421" s="1">
        <v>7.37</v>
      </c>
      <c r="BD421" s="1"/>
      <c r="BE421" s="1"/>
      <c r="BF421" s="1"/>
      <c r="BG421" s="1"/>
      <c r="BH421" s="1"/>
      <c r="BI421" s="1"/>
      <c r="BJ421" s="1" t="s">
        <v>8156</v>
      </c>
      <c r="BK421" s="1"/>
      <c r="BL421" s="1"/>
      <c r="BM421" s="1" t="s">
        <v>8157</v>
      </c>
      <c r="BN421" s="1">
        <v>50</v>
      </c>
      <c r="BO421" s="1" t="s">
        <v>8158</v>
      </c>
      <c r="BP421" s="1" t="str">
        <f>HYPERLINK("https://nconnect.nicmar.ac.in/storage/profile/ProfilePhoto_P25700374_374629.jpg","Download")</f>
        <v>0</v>
      </c>
      <c r="BQ421" s="3"/>
      <c r="BR421" s="3"/>
    </row>
    <row r="422" spans="1:70">
      <c r="A422" s="1" t="s">
        <v>70</v>
      </c>
      <c r="B422" s="1" t="s">
        <v>1269</v>
      </c>
      <c r="C422" s="1" t="s">
        <v>8159</v>
      </c>
      <c r="D422" s="1" t="s">
        <v>2128</v>
      </c>
      <c r="E422" s="1" t="s">
        <v>8160</v>
      </c>
      <c r="F422" s="1" t="s">
        <v>8161</v>
      </c>
      <c r="G422" s="1" t="s">
        <v>8162</v>
      </c>
      <c r="H422" s="1" t="s">
        <v>8163</v>
      </c>
      <c r="I422" s="1" t="s">
        <v>8164</v>
      </c>
      <c r="J422" s="1">
        <v>8380092678</v>
      </c>
      <c r="K422" s="1" t="s">
        <v>79</v>
      </c>
      <c r="L422" s="1" t="s">
        <v>8165</v>
      </c>
      <c r="M422" s="1" t="s">
        <v>81</v>
      </c>
      <c r="N422" s="1" t="s">
        <v>8166</v>
      </c>
      <c r="O422" s="1"/>
      <c r="P422" s="1" t="s">
        <v>1278</v>
      </c>
      <c r="Q422" s="1" t="s">
        <v>8167</v>
      </c>
      <c r="R422" s="1" t="s">
        <v>8168</v>
      </c>
      <c r="S422" s="1">
        <v>9422147409</v>
      </c>
      <c r="T422" s="1" t="s">
        <v>496</v>
      </c>
      <c r="U422" s="1" t="s">
        <v>8169</v>
      </c>
      <c r="V422" s="1">
        <v>7030638158</v>
      </c>
      <c r="W422" s="1" t="s">
        <v>89</v>
      </c>
      <c r="X422" s="1" t="s">
        <v>8170</v>
      </c>
      <c r="Y422" s="1" t="s">
        <v>405</v>
      </c>
      <c r="Z422" s="1" t="s">
        <v>92</v>
      </c>
      <c r="AA422" s="1" t="s">
        <v>8170</v>
      </c>
      <c r="AB422" s="1" t="s">
        <v>405</v>
      </c>
      <c r="AC422" s="1" t="s">
        <v>92</v>
      </c>
      <c r="AD422" s="1">
        <v>8.59</v>
      </c>
      <c r="AE422" s="1" t="s">
        <v>93</v>
      </c>
      <c r="AF422" s="1" t="s">
        <v>8171</v>
      </c>
      <c r="AG422" s="1" t="s">
        <v>8172</v>
      </c>
      <c r="AH422" s="1" t="s">
        <v>1307</v>
      </c>
      <c r="AI422" s="1" t="s">
        <v>308</v>
      </c>
      <c r="AJ422" s="1">
        <v>87.6</v>
      </c>
      <c r="AK422" s="1"/>
      <c r="AL422" s="1"/>
      <c r="AM422" s="1"/>
      <c r="AN422" s="1"/>
      <c r="AO422" s="1"/>
      <c r="AP422" s="1"/>
      <c r="AQ422" s="1"/>
      <c r="AR422" s="1" t="s">
        <v>98</v>
      </c>
      <c r="AS422" s="1" t="s">
        <v>8173</v>
      </c>
      <c r="AT422" s="1" t="s">
        <v>310</v>
      </c>
      <c r="AU422" s="1" t="s">
        <v>105</v>
      </c>
      <c r="AV422" s="1">
        <v>91.7</v>
      </c>
      <c r="AW422" s="1"/>
      <c r="AX422" s="1" t="s">
        <v>5543</v>
      </c>
      <c r="AY422" s="1" t="s">
        <v>8174</v>
      </c>
      <c r="AZ422" s="1" t="s">
        <v>2693</v>
      </c>
      <c r="BA422" s="1" t="s">
        <v>1361</v>
      </c>
      <c r="BB422" s="1">
        <v>81.8</v>
      </c>
      <c r="BC422" s="1">
        <v>8.18</v>
      </c>
      <c r="BD422" s="1"/>
      <c r="BE422" s="1"/>
      <c r="BF422" s="1"/>
      <c r="BG422" s="1"/>
      <c r="BH422" s="1"/>
      <c r="BI422" s="1"/>
      <c r="BJ422" s="1" t="s">
        <v>8175</v>
      </c>
      <c r="BK422" s="1" t="s">
        <v>8176</v>
      </c>
      <c r="BL422" s="1" t="s">
        <v>947</v>
      </c>
      <c r="BM422" s="1" t="s">
        <v>8177</v>
      </c>
      <c r="BN422" s="1">
        <v>27</v>
      </c>
      <c r="BO422" s="1"/>
      <c r="BP422" s="1" t="str">
        <f>HYPERLINK("https://nconnect.nicmar.ac.in/storage/profile/ProfilePhoto_P25700375_963157.jpg","Download")</f>
        <v>0</v>
      </c>
      <c r="BQ422" s="3"/>
      <c r="BR422" s="3"/>
    </row>
    <row r="423" spans="1:70">
      <c r="A423" s="1" t="s">
        <v>70</v>
      </c>
      <c r="B423" s="1" t="s">
        <v>1269</v>
      </c>
      <c r="C423" s="1" t="s">
        <v>8178</v>
      </c>
      <c r="D423" s="1" t="s">
        <v>2024</v>
      </c>
      <c r="E423" s="1" t="s">
        <v>8179</v>
      </c>
      <c r="F423" s="1" t="s">
        <v>3057</v>
      </c>
      <c r="G423" s="1" t="s">
        <v>8180</v>
      </c>
      <c r="H423" s="1" t="s">
        <v>8181</v>
      </c>
      <c r="I423" s="1" t="s">
        <v>8182</v>
      </c>
      <c r="J423" s="1">
        <v>7666525337</v>
      </c>
      <c r="K423" s="1" t="s">
        <v>148</v>
      </c>
      <c r="L423" s="1" t="s">
        <v>8183</v>
      </c>
      <c r="M423" s="1" t="s">
        <v>81</v>
      </c>
      <c r="N423" s="1" t="s">
        <v>1418</v>
      </c>
      <c r="O423" s="1"/>
      <c r="P423" s="1" t="s">
        <v>1323</v>
      </c>
      <c r="Q423" s="1" t="s">
        <v>8184</v>
      </c>
      <c r="R423" s="1" t="s">
        <v>8185</v>
      </c>
      <c r="S423" s="1">
        <v>8788168137</v>
      </c>
      <c r="T423" s="1" t="s">
        <v>863</v>
      </c>
      <c r="U423" s="1" t="s">
        <v>8186</v>
      </c>
      <c r="V423" s="1">
        <v>8788614401</v>
      </c>
      <c r="W423" s="1" t="s">
        <v>273</v>
      </c>
      <c r="X423" s="1" t="s">
        <v>8187</v>
      </c>
      <c r="Y423" s="1" t="s">
        <v>304</v>
      </c>
      <c r="Z423" s="1" t="s">
        <v>92</v>
      </c>
      <c r="AA423" s="1" t="s">
        <v>8187</v>
      </c>
      <c r="AB423" s="1" t="s">
        <v>304</v>
      </c>
      <c r="AC423" s="1" t="s">
        <v>92</v>
      </c>
      <c r="AD423" s="1">
        <v>9.26</v>
      </c>
      <c r="AE423" s="1" t="s">
        <v>93</v>
      </c>
      <c r="AF423" s="1" t="s">
        <v>8188</v>
      </c>
      <c r="AG423" s="1" t="s">
        <v>160</v>
      </c>
      <c r="AH423" s="1" t="s">
        <v>165</v>
      </c>
      <c r="AI423" s="1" t="s">
        <v>281</v>
      </c>
      <c r="AJ423" s="1">
        <v>80.8</v>
      </c>
      <c r="AK423" s="1"/>
      <c r="AL423" s="1"/>
      <c r="AM423" s="1"/>
      <c r="AN423" s="1"/>
      <c r="AO423" s="1"/>
      <c r="AP423" s="1"/>
      <c r="AQ423" s="1"/>
      <c r="AR423" s="1" t="s">
        <v>98</v>
      </c>
      <c r="AS423" s="1" t="s">
        <v>8189</v>
      </c>
      <c r="AT423" s="1" t="s">
        <v>636</v>
      </c>
      <c r="AU423" s="1" t="s">
        <v>436</v>
      </c>
      <c r="AV423" s="1">
        <v>93.84</v>
      </c>
      <c r="AW423" s="1"/>
      <c r="AX423" s="1" t="s">
        <v>361</v>
      </c>
      <c r="AY423" s="1" t="s">
        <v>3864</v>
      </c>
      <c r="AZ423" s="1" t="s">
        <v>1407</v>
      </c>
      <c r="BA423" s="1" t="s">
        <v>702</v>
      </c>
      <c r="BB423" s="1">
        <v>85.4</v>
      </c>
      <c r="BC423" s="1">
        <v>9.2</v>
      </c>
      <c r="BD423" s="1"/>
      <c r="BE423" s="1"/>
      <c r="BF423" s="1"/>
      <c r="BG423" s="1"/>
      <c r="BH423" s="1"/>
      <c r="BI423" s="1"/>
      <c r="BJ423" s="1" t="s">
        <v>8190</v>
      </c>
      <c r="BK423" s="1"/>
      <c r="BL423" s="1"/>
      <c r="BM423" s="1" t="s">
        <v>8191</v>
      </c>
      <c r="BN423" s="1">
        <v>12</v>
      </c>
      <c r="BO423" s="1"/>
      <c r="BP423" s="1" t="str">
        <f>HYPERLINK("https://nconnect.nicmar.ac.in/storage/profile/ProfilePhoto_P25700376_736185.jpg","Download")</f>
        <v>0</v>
      </c>
      <c r="BQ423" s="3"/>
      <c r="BR423" s="3"/>
    </row>
    <row r="424" spans="1:70">
      <c r="A424" s="1" t="s">
        <v>70</v>
      </c>
      <c r="B424" s="1" t="s">
        <v>1269</v>
      </c>
      <c r="C424" s="1" t="s">
        <v>8192</v>
      </c>
      <c r="D424" s="1" t="s">
        <v>643</v>
      </c>
      <c r="E424" s="1" t="s">
        <v>7707</v>
      </c>
      <c r="F424" s="1" t="s">
        <v>8193</v>
      </c>
      <c r="G424" s="1" t="s">
        <v>8194</v>
      </c>
      <c r="H424" s="1" t="s">
        <v>8195</v>
      </c>
      <c r="I424" s="1" t="s">
        <v>8196</v>
      </c>
      <c r="J424" s="1">
        <v>7744972198</v>
      </c>
      <c r="K424" s="1" t="s">
        <v>79</v>
      </c>
      <c r="L424" s="1" t="s">
        <v>8197</v>
      </c>
      <c r="M424" s="1" t="s">
        <v>81</v>
      </c>
      <c r="N424" s="1" t="s">
        <v>7854</v>
      </c>
      <c r="O424" s="1"/>
      <c r="P424" s="1" t="s">
        <v>1298</v>
      </c>
      <c r="Q424" s="1" t="s">
        <v>8198</v>
      </c>
      <c r="R424" s="1" t="s">
        <v>7707</v>
      </c>
      <c r="S424" s="1">
        <v>9011625074</v>
      </c>
      <c r="T424" s="1" t="s">
        <v>122</v>
      </c>
      <c r="U424" s="1" t="s">
        <v>977</v>
      </c>
      <c r="V424" s="1">
        <v>7218626391</v>
      </c>
      <c r="W424" s="1" t="s">
        <v>156</v>
      </c>
      <c r="X424" s="1" t="s">
        <v>8199</v>
      </c>
      <c r="Y424" s="1" t="s">
        <v>2790</v>
      </c>
      <c r="Z424" s="1" t="s">
        <v>92</v>
      </c>
      <c r="AA424" s="1" t="s">
        <v>8200</v>
      </c>
      <c r="AB424" s="1" t="s">
        <v>2790</v>
      </c>
      <c r="AC424" s="1" t="s">
        <v>92</v>
      </c>
      <c r="AD424" s="1">
        <v>9.39</v>
      </c>
      <c r="AE424" s="1" t="s">
        <v>93</v>
      </c>
      <c r="AF424" s="1" t="s">
        <v>8201</v>
      </c>
      <c r="AG424" s="1" t="s">
        <v>7859</v>
      </c>
      <c r="AH424" s="1" t="s">
        <v>101</v>
      </c>
      <c r="AI424" s="1" t="s">
        <v>409</v>
      </c>
      <c r="AJ424" s="1">
        <v>93.2</v>
      </c>
      <c r="AK424" s="1"/>
      <c r="AL424" s="1"/>
      <c r="AM424" s="1"/>
      <c r="AN424" s="1"/>
      <c r="AO424" s="1"/>
      <c r="AP424" s="1"/>
      <c r="AQ424" s="1"/>
      <c r="AR424" s="1" t="s">
        <v>8202</v>
      </c>
      <c r="AS424" s="1" t="s">
        <v>8203</v>
      </c>
      <c r="AT424" s="1" t="s">
        <v>201</v>
      </c>
      <c r="AU424" s="1" t="s">
        <v>481</v>
      </c>
      <c r="AV424" s="1">
        <v>88.53</v>
      </c>
      <c r="AW424" s="1"/>
      <c r="AX424" s="1" t="s">
        <v>4506</v>
      </c>
      <c r="AY424" s="1" t="s">
        <v>7860</v>
      </c>
      <c r="AZ424" s="1" t="s">
        <v>2693</v>
      </c>
      <c r="BA424" s="1" t="s">
        <v>1361</v>
      </c>
      <c r="BB424" s="1">
        <v>79.1</v>
      </c>
      <c r="BC424" s="1">
        <v>8.66</v>
      </c>
      <c r="BD424" s="1"/>
      <c r="BE424" s="1"/>
      <c r="BF424" s="1"/>
      <c r="BG424" s="1"/>
      <c r="BH424" s="1"/>
      <c r="BI424" s="1"/>
      <c r="BJ424" s="1" t="s">
        <v>8204</v>
      </c>
      <c r="BK424" s="1"/>
      <c r="BL424" s="1"/>
      <c r="BM424" s="1" t="s">
        <v>8205</v>
      </c>
      <c r="BN424" s="1">
        <v>8</v>
      </c>
      <c r="BO424" s="1" t="s">
        <v>8206</v>
      </c>
      <c r="BP424" s="1" t="str">
        <f>HYPERLINK("https://nconnect.nicmar.ac.in/storage/profile/ProfilePhoto_P25700378_896243.jpg","Download")</f>
        <v>0</v>
      </c>
      <c r="BQ424" s="3"/>
      <c r="BR424" s="3"/>
    </row>
    <row r="425" spans="1:70">
      <c r="A425" s="1" t="s">
        <v>70</v>
      </c>
      <c r="B425" s="1" t="s">
        <v>1269</v>
      </c>
      <c r="C425" s="1" t="s">
        <v>8207</v>
      </c>
      <c r="D425" s="1" t="s">
        <v>6968</v>
      </c>
      <c r="E425" s="1" t="s">
        <v>8208</v>
      </c>
      <c r="F425" s="1" t="s">
        <v>8209</v>
      </c>
      <c r="G425" s="1" t="s">
        <v>8210</v>
      </c>
      <c r="H425" s="1" t="s">
        <v>8211</v>
      </c>
      <c r="I425" s="1" t="s">
        <v>8212</v>
      </c>
      <c r="J425" s="1">
        <v>7743877477</v>
      </c>
      <c r="K425" s="1" t="s">
        <v>79</v>
      </c>
      <c r="L425" s="1" t="s">
        <v>8213</v>
      </c>
      <c r="M425" s="1" t="s">
        <v>81</v>
      </c>
      <c r="N425" s="1" t="s">
        <v>3236</v>
      </c>
      <c r="O425" s="1"/>
      <c r="P425" s="1" t="s">
        <v>1298</v>
      </c>
      <c r="Q425" s="1" t="s">
        <v>8214</v>
      </c>
      <c r="R425" s="1" t="s">
        <v>8208</v>
      </c>
      <c r="S425" s="1">
        <v>9422651797</v>
      </c>
      <c r="T425" s="1" t="s">
        <v>496</v>
      </c>
      <c r="U425" s="1" t="s">
        <v>977</v>
      </c>
      <c r="V425" s="1">
        <v>7350519677</v>
      </c>
      <c r="W425" s="1" t="s">
        <v>273</v>
      </c>
      <c r="X425" s="1" t="s">
        <v>8215</v>
      </c>
      <c r="Y425" s="1" t="s">
        <v>158</v>
      </c>
      <c r="Z425" s="1" t="s">
        <v>92</v>
      </c>
      <c r="AA425" s="1" t="s">
        <v>8215</v>
      </c>
      <c r="AB425" s="1" t="s">
        <v>158</v>
      </c>
      <c r="AC425" s="1" t="s">
        <v>92</v>
      </c>
      <c r="AD425" s="1">
        <v>7.51</v>
      </c>
      <c r="AE425" s="1" t="s">
        <v>93</v>
      </c>
      <c r="AF425" s="1" t="s">
        <v>8216</v>
      </c>
      <c r="AG425" s="1" t="s">
        <v>160</v>
      </c>
      <c r="AH425" s="1" t="s">
        <v>96</v>
      </c>
      <c r="AI425" s="1" t="s">
        <v>131</v>
      </c>
      <c r="AJ425" s="1">
        <v>79.4</v>
      </c>
      <c r="AK425" s="1"/>
      <c r="AL425" s="1" t="s">
        <v>8217</v>
      </c>
      <c r="AM425" s="1" t="s">
        <v>160</v>
      </c>
      <c r="AN425" s="1" t="s">
        <v>162</v>
      </c>
      <c r="AO425" s="1" t="s">
        <v>479</v>
      </c>
      <c r="AP425" s="1">
        <v>54.77</v>
      </c>
      <c r="AQ425" s="1"/>
      <c r="AR425" s="1" t="s">
        <v>8218</v>
      </c>
      <c r="AS425" s="1" t="s">
        <v>356</v>
      </c>
      <c r="AT425" s="1" t="s">
        <v>383</v>
      </c>
      <c r="AU425" s="1" t="s">
        <v>433</v>
      </c>
      <c r="AV425" s="1">
        <v>83.45</v>
      </c>
      <c r="AW425" s="1"/>
      <c r="AX425" s="1" t="s">
        <v>361</v>
      </c>
      <c r="AY425" s="1" t="s">
        <v>8219</v>
      </c>
      <c r="AZ425" s="1" t="s">
        <v>310</v>
      </c>
      <c r="BA425" s="1" t="s">
        <v>105</v>
      </c>
      <c r="BB425" s="1">
        <v>80.63</v>
      </c>
      <c r="BC425" s="1">
        <v>9.06</v>
      </c>
      <c r="BD425" s="1"/>
      <c r="BE425" s="1"/>
      <c r="BF425" s="1"/>
      <c r="BG425" s="1"/>
      <c r="BH425" s="1"/>
      <c r="BI425" s="1"/>
      <c r="BJ425" s="1" t="s">
        <v>8220</v>
      </c>
      <c r="BK425" s="1"/>
      <c r="BL425" s="1"/>
      <c r="BM425" s="1" t="s">
        <v>8221</v>
      </c>
      <c r="BN425" s="1">
        <v>69</v>
      </c>
      <c r="BO425" s="1"/>
      <c r="BP425" s="1" t="str">
        <f>HYPERLINK("https://nconnect.nicmar.ac.in/storage/profile/ProfilePhoto_P25700379_143659.jpg","Download")</f>
        <v>0</v>
      </c>
      <c r="BQ425" s="3"/>
      <c r="BR425" s="3"/>
    </row>
    <row r="426" spans="1:70">
      <c r="A426" s="1" t="s">
        <v>70</v>
      </c>
      <c r="B426" s="1" t="s">
        <v>1269</v>
      </c>
      <c r="C426" s="1" t="s">
        <v>8222</v>
      </c>
      <c r="D426" s="1" t="s">
        <v>8223</v>
      </c>
      <c r="E426" s="1"/>
      <c r="F426" s="1" t="s">
        <v>8224</v>
      </c>
      <c r="G426" s="1" t="s">
        <v>8225</v>
      </c>
      <c r="H426" s="1" t="s">
        <v>8226</v>
      </c>
      <c r="I426" s="1" t="s">
        <v>8227</v>
      </c>
      <c r="J426" s="1">
        <v>9809408093</v>
      </c>
      <c r="K426" s="1" t="s">
        <v>148</v>
      </c>
      <c r="L426" s="1" t="s">
        <v>8228</v>
      </c>
      <c r="M426" s="1" t="s">
        <v>81</v>
      </c>
      <c r="N426" s="1" t="s">
        <v>5950</v>
      </c>
      <c r="O426" s="1"/>
      <c r="P426" s="1" t="s">
        <v>1278</v>
      </c>
      <c r="Q426" s="1" t="s">
        <v>8229</v>
      </c>
      <c r="R426" s="1" t="s">
        <v>8230</v>
      </c>
      <c r="S426" s="1">
        <v>9349607906</v>
      </c>
      <c r="T426" s="1" t="s">
        <v>496</v>
      </c>
      <c r="U426" s="1" t="s">
        <v>8231</v>
      </c>
      <c r="V426" s="1">
        <v>8075241580</v>
      </c>
      <c r="W426" s="1" t="s">
        <v>273</v>
      </c>
      <c r="X426" s="1" t="s">
        <v>8232</v>
      </c>
      <c r="Y426" s="1" t="s">
        <v>2140</v>
      </c>
      <c r="Z426" s="1" t="s">
        <v>125</v>
      </c>
      <c r="AA426" s="1" t="s">
        <v>8232</v>
      </c>
      <c r="AB426" s="1" t="s">
        <v>2140</v>
      </c>
      <c r="AC426" s="1" t="s">
        <v>125</v>
      </c>
      <c r="AD426" s="1">
        <v>8.84</v>
      </c>
      <c r="AE426" s="1" t="s">
        <v>93</v>
      </c>
      <c r="AF426" s="1" t="s">
        <v>8233</v>
      </c>
      <c r="AG426" s="1" t="s">
        <v>8234</v>
      </c>
      <c r="AH426" s="1" t="s">
        <v>165</v>
      </c>
      <c r="AI426" s="1" t="s">
        <v>166</v>
      </c>
      <c r="AJ426" s="1">
        <v>95</v>
      </c>
      <c r="AK426" s="1"/>
      <c r="AL426" s="1" t="s">
        <v>8233</v>
      </c>
      <c r="AM426" s="1" t="s">
        <v>2120</v>
      </c>
      <c r="AN426" s="1" t="s">
        <v>433</v>
      </c>
      <c r="AO426" s="1" t="s">
        <v>173</v>
      </c>
      <c r="AP426" s="1">
        <v>94.5</v>
      </c>
      <c r="AQ426" s="1"/>
      <c r="AR426" s="1"/>
      <c r="AS426" s="1"/>
      <c r="AT426" s="1"/>
      <c r="AU426" s="1"/>
      <c r="AV426" s="1"/>
      <c r="AW426" s="1"/>
      <c r="AX426" s="1" t="s">
        <v>132</v>
      </c>
      <c r="AY426" s="1" t="s">
        <v>8235</v>
      </c>
      <c r="AZ426" s="1" t="s">
        <v>681</v>
      </c>
      <c r="BA426" s="1" t="s">
        <v>1939</v>
      </c>
      <c r="BB426" s="1">
        <v>86.9</v>
      </c>
      <c r="BC426" s="1">
        <v>8.69</v>
      </c>
      <c r="BD426" s="1"/>
      <c r="BE426" s="1"/>
      <c r="BF426" s="1"/>
      <c r="BG426" s="1"/>
      <c r="BH426" s="1"/>
      <c r="BI426" s="1"/>
      <c r="BJ426" s="1" t="s">
        <v>8236</v>
      </c>
      <c r="BK426" s="1" t="s">
        <v>8237</v>
      </c>
      <c r="BL426" s="1" t="s">
        <v>1220</v>
      </c>
      <c r="BM426" s="1" t="s">
        <v>8238</v>
      </c>
      <c r="BN426" s="1">
        <v>9</v>
      </c>
      <c r="BO426" s="1" t="s">
        <v>8239</v>
      </c>
      <c r="BP426" s="1" t="str">
        <f>HYPERLINK("https://nconnect.nicmar.ac.in/storage/profile/ProfilePhoto_P25700380_857362.jpg","Download")</f>
        <v>0</v>
      </c>
      <c r="BQ426" s="3"/>
      <c r="BR426" s="3"/>
    </row>
    <row r="427" spans="1:70">
      <c r="A427" s="1" t="s">
        <v>70</v>
      </c>
      <c r="B427" s="1" t="s">
        <v>1269</v>
      </c>
      <c r="C427" s="1" t="s">
        <v>8240</v>
      </c>
      <c r="D427" s="1" t="s">
        <v>8241</v>
      </c>
      <c r="E427" s="1" t="s">
        <v>8242</v>
      </c>
      <c r="F427" s="1" t="s">
        <v>8243</v>
      </c>
      <c r="G427" s="1" t="s">
        <v>8244</v>
      </c>
      <c r="H427" s="1" t="s">
        <v>8245</v>
      </c>
      <c r="I427" s="1" t="s">
        <v>8246</v>
      </c>
      <c r="J427" s="1">
        <v>8459420348</v>
      </c>
      <c r="K427" s="1" t="s">
        <v>79</v>
      </c>
      <c r="L427" s="1" t="s">
        <v>8247</v>
      </c>
      <c r="M427" s="1" t="s">
        <v>81</v>
      </c>
      <c r="N427" s="1" t="s">
        <v>8248</v>
      </c>
      <c r="O427" s="1"/>
      <c r="P427" s="1" t="s">
        <v>1298</v>
      </c>
      <c r="Q427" s="1" t="s">
        <v>8249</v>
      </c>
      <c r="R427" s="1" t="s">
        <v>8242</v>
      </c>
      <c r="S427" s="1">
        <v>9423193558</v>
      </c>
      <c r="T427" s="1" t="s">
        <v>377</v>
      </c>
      <c r="U427" s="1" t="s">
        <v>3816</v>
      </c>
      <c r="V427" s="1">
        <v>9423980598</v>
      </c>
      <c r="W427" s="1" t="s">
        <v>89</v>
      </c>
      <c r="X427" s="1" t="s">
        <v>8250</v>
      </c>
      <c r="Y427" s="1" t="s">
        <v>6399</v>
      </c>
      <c r="Z427" s="1" t="s">
        <v>92</v>
      </c>
      <c r="AA427" s="1" t="s">
        <v>8250</v>
      </c>
      <c r="AB427" s="1" t="s">
        <v>6399</v>
      </c>
      <c r="AC427" s="1" t="s">
        <v>92</v>
      </c>
      <c r="AD427" s="1">
        <v>9.52</v>
      </c>
      <c r="AE427" s="1" t="s">
        <v>93</v>
      </c>
      <c r="AF427" s="1" t="s">
        <v>8251</v>
      </c>
      <c r="AG427" s="1" t="s">
        <v>8252</v>
      </c>
      <c r="AH427" s="1" t="s">
        <v>162</v>
      </c>
      <c r="AI427" s="1" t="s">
        <v>308</v>
      </c>
      <c r="AJ427" s="1">
        <v>94.6</v>
      </c>
      <c r="AK427" s="1"/>
      <c r="AL427" s="1" t="s">
        <v>8253</v>
      </c>
      <c r="AM427" s="1" t="s">
        <v>8254</v>
      </c>
      <c r="AN427" s="1" t="s">
        <v>201</v>
      </c>
      <c r="AO427" s="1" t="s">
        <v>436</v>
      </c>
      <c r="AP427" s="1">
        <v>91.17</v>
      </c>
      <c r="AQ427" s="1"/>
      <c r="AR427" s="1"/>
      <c r="AS427" s="1"/>
      <c r="AT427" s="1"/>
      <c r="AU427" s="1"/>
      <c r="AV427" s="1"/>
      <c r="AW427" s="1"/>
      <c r="AX427" s="1" t="s">
        <v>8255</v>
      </c>
      <c r="AY427" s="1" t="s">
        <v>8256</v>
      </c>
      <c r="AZ427" s="1" t="s">
        <v>506</v>
      </c>
      <c r="BA427" s="1" t="s">
        <v>1584</v>
      </c>
      <c r="BB427" s="1">
        <v>89.2</v>
      </c>
      <c r="BC427" s="1">
        <v>9.67</v>
      </c>
      <c r="BD427" s="1"/>
      <c r="BE427" s="1"/>
      <c r="BF427" s="1"/>
      <c r="BG427" s="1"/>
      <c r="BH427" s="1"/>
      <c r="BI427" s="1"/>
      <c r="BJ427" s="1" t="s">
        <v>8257</v>
      </c>
      <c r="BK427" s="1"/>
      <c r="BL427" s="1"/>
      <c r="BM427" s="1" t="s">
        <v>8258</v>
      </c>
      <c r="BN427" s="1">
        <v>34</v>
      </c>
      <c r="BO427" s="1"/>
      <c r="BP427" s="1" t="str">
        <f>HYPERLINK("https://nconnect.nicmar.ac.in/storage/profile/ProfilePhoto_P25700381_413569.jpg","Download")</f>
        <v>0</v>
      </c>
      <c r="BQ427" s="3"/>
      <c r="BR427" s="3"/>
    </row>
    <row r="428" spans="1:70">
      <c r="A428" s="1" t="s">
        <v>70</v>
      </c>
      <c r="B428" s="1" t="s">
        <v>1269</v>
      </c>
      <c r="C428" s="1" t="s">
        <v>8259</v>
      </c>
      <c r="D428" s="1" t="s">
        <v>8260</v>
      </c>
      <c r="E428" s="1" t="s">
        <v>8261</v>
      </c>
      <c r="F428" s="1" t="s">
        <v>4823</v>
      </c>
      <c r="G428" s="1" t="s">
        <v>8262</v>
      </c>
      <c r="H428" s="1" t="s">
        <v>8263</v>
      </c>
      <c r="I428" s="1" t="s">
        <v>8264</v>
      </c>
      <c r="J428" s="1">
        <v>9989995766</v>
      </c>
      <c r="K428" s="1" t="s">
        <v>79</v>
      </c>
      <c r="L428" s="1" t="s">
        <v>8265</v>
      </c>
      <c r="M428" s="1" t="s">
        <v>81</v>
      </c>
      <c r="N428" s="1" t="s">
        <v>267</v>
      </c>
      <c r="O428" s="1"/>
      <c r="P428" s="1" t="s">
        <v>1278</v>
      </c>
      <c r="Q428" s="1" t="s">
        <v>8266</v>
      </c>
      <c r="R428" s="1" t="s">
        <v>8267</v>
      </c>
      <c r="S428" s="1">
        <v>9989995766</v>
      </c>
      <c r="T428" s="1" t="s">
        <v>496</v>
      </c>
      <c r="U428" s="1" t="s">
        <v>8268</v>
      </c>
      <c r="V428" s="1">
        <v>9989995766</v>
      </c>
      <c r="W428" s="1" t="s">
        <v>89</v>
      </c>
      <c r="X428" s="1" t="s">
        <v>8269</v>
      </c>
      <c r="Y428" s="1" t="s">
        <v>1150</v>
      </c>
      <c r="Z428" s="1" t="s">
        <v>276</v>
      </c>
      <c r="AA428" s="1" t="s">
        <v>8269</v>
      </c>
      <c r="AB428" s="1" t="s">
        <v>1150</v>
      </c>
      <c r="AC428" s="1" t="s">
        <v>276</v>
      </c>
      <c r="AD428" s="1">
        <v>7.69</v>
      </c>
      <c r="AE428" s="1" t="s">
        <v>93</v>
      </c>
      <c r="AF428" s="1" t="s">
        <v>8270</v>
      </c>
      <c r="AG428" s="1" t="s">
        <v>8271</v>
      </c>
      <c r="AH428" s="1" t="s">
        <v>162</v>
      </c>
      <c r="AI428" s="1" t="s">
        <v>195</v>
      </c>
      <c r="AJ428" s="1">
        <v>88</v>
      </c>
      <c r="AK428" s="1"/>
      <c r="AL428" s="1"/>
      <c r="AM428" s="1"/>
      <c r="AN428" s="1"/>
      <c r="AO428" s="1"/>
      <c r="AP428" s="1"/>
      <c r="AQ428" s="1"/>
      <c r="AR428" s="1" t="s">
        <v>434</v>
      </c>
      <c r="AS428" s="1" t="s">
        <v>8272</v>
      </c>
      <c r="AT428" s="1" t="s">
        <v>165</v>
      </c>
      <c r="AU428" s="1" t="s">
        <v>2690</v>
      </c>
      <c r="AV428" s="1">
        <v>68.43</v>
      </c>
      <c r="AW428" s="1"/>
      <c r="AX428" s="1" t="s">
        <v>8273</v>
      </c>
      <c r="AY428" s="1" t="s">
        <v>8274</v>
      </c>
      <c r="AZ428" s="1" t="s">
        <v>284</v>
      </c>
      <c r="BA428" s="1" t="s">
        <v>1408</v>
      </c>
      <c r="BB428" s="1">
        <v>77.52</v>
      </c>
      <c r="BC428" s="1">
        <v>8.16</v>
      </c>
      <c r="BD428" s="1"/>
      <c r="BE428" s="1"/>
      <c r="BF428" s="1"/>
      <c r="BG428" s="1"/>
      <c r="BH428" s="1"/>
      <c r="BI428" s="1"/>
      <c r="BJ428" s="1" t="s">
        <v>8275</v>
      </c>
      <c r="BK428" s="1"/>
      <c r="BL428" s="1"/>
      <c r="BM428" s="1" t="s">
        <v>8276</v>
      </c>
      <c r="BN428" s="1">
        <v>39</v>
      </c>
      <c r="BO428" s="1"/>
      <c r="BP428" s="1" t="str">
        <f>HYPERLINK("https://nconnect.nicmar.ac.in/storage/profile/ProfilePhoto_P25700382_413295.jpg","Download")</f>
        <v>0</v>
      </c>
      <c r="BQ428" s="3"/>
      <c r="BR428" s="3"/>
    </row>
    <row r="429" spans="1:70">
      <c r="A429" s="1" t="s">
        <v>70</v>
      </c>
      <c r="B429" s="1" t="s">
        <v>1269</v>
      </c>
      <c r="C429" s="1" t="s">
        <v>8277</v>
      </c>
      <c r="D429" s="1" t="s">
        <v>2797</v>
      </c>
      <c r="E429" s="1"/>
      <c r="F429" s="1" t="s">
        <v>8278</v>
      </c>
      <c r="G429" s="1" t="s">
        <v>8279</v>
      </c>
      <c r="H429" s="1" t="s">
        <v>8280</v>
      </c>
      <c r="I429" s="1" t="s">
        <v>8281</v>
      </c>
      <c r="J429" s="1">
        <v>6309627275</v>
      </c>
      <c r="K429" s="1" t="s">
        <v>79</v>
      </c>
      <c r="L429" s="1" t="s">
        <v>8282</v>
      </c>
      <c r="M429" s="1" t="s">
        <v>81</v>
      </c>
      <c r="N429" s="1" t="s">
        <v>8283</v>
      </c>
      <c r="O429" s="1"/>
      <c r="P429" s="1" t="s">
        <v>1323</v>
      </c>
      <c r="Q429" s="1" t="s">
        <v>8284</v>
      </c>
      <c r="R429" s="1" t="s">
        <v>8285</v>
      </c>
      <c r="S429" s="1">
        <v>9490418388</v>
      </c>
      <c r="T429" s="1" t="s">
        <v>8286</v>
      </c>
      <c r="U429" s="1" t="s">
        <v>8287</v>
      </c>
      <c r="V429" s="1">
        <v>9000371190</v>
      </c>
      <c r="W429" s="1" t="s">
        <v>273</v>
      </c>
      <c r="X429" s="1" t="s">
        <v>8288</v>
      </c>
      <c r="Y429" s="1" t="s">
        <v>4265</v>
      </c>
      <c r="Z429" s="1" t="s">
        <v>276</v>
      </c>
      <c r="AA429" s="1" t="s">
        <v>8289</v>
      </c>
      <c r="AB429" s="1" t="s">
        <v>2727</v>
      </c>
      <c r="AC429" s="1" t="s">
        <v>276</v>
      </c>
      <c r="AD429" s="1">
        <v>7.53</v>
      </c>
      <c r="AE429" s="1" t="s">
        <v>93</v>
      </c>
      <c r="AF429" s="1" t="s">
        <v>8290</v>
      </c>
      <c r="AG429" s="1" t="s">
        <v>8291</v>
      </c>
      <c r="AH429" s="1" t="s">
        <v>165</v>
      </c>
      <c r="AI429" s="1" t="s">
        <v>1307</v>
      </c>
      <c r="AJ429" s="1">
        <v>63</v>
      </c>
      <c r="AK429" s="1">
        <v>6.3</v>
      </c>
      <c r="AL429" s="1" t="s">
        <v>8292</v>
      </c>
      <c r="AM429" s="1" t="s">
        <v>1154</v>
      </c>
      <c r="AN429" s="1" t="s">
        <v>433</v>
      </c>
      <c r="AO429" s="1" t="s">
        <v>699</v>
      </c>
      <c r="AP429" s="1">
        <v>79.4</v>
      </c>
      <c r="AQ429" s="1">
        <v>7.94</v>
      </c>
      <c r="AR429" s="1"/>
      <c r="AS429" s="1"/>
      <c r="AT429" s="1"/>
      <c r="AU429" s="1"/>
      <c r="AV429" s="1"/>
      <c r="AW429" s="1"/>
      <c r="AX429" s="1" t="s">
        <v>8293</v>
      </c>
      <c r="AY429" s="1" t="s">
        <v>8294</v>
      </c>
      <c r="AZ429" s="1" t="s">
        <v>228</v>
      </c>
      <c r="BA429" s="1" t="s">
        <v>202</v>
      </c>
      <c r="BB429" s="1">
        <v>73.2</v>
      </c>
      <c r="BC429" s="1">
        <v>7.32</v>
      </c>
      <c r="BD429" s="1"/>
      <c r="BE429" s="1"/>
      <c r="BF429" s="1"/>
      <c r="BG429" s="1"/>
      <c r="BH429" s="1"/>
      <c r="BI429" s="1"/>
      <c r="BJ429" s="1" t="s">
        <v>8295</v>
      </c>
      <c r="BK429" s="1"/>
      <c r="BL429" s="1"/>
      <c r="BM429" s="1" t="s">
        <v>8296</v>
      </c>
      <c r="BN429" s="1">
        <v>69</v>
      </c>
      <c r="BO429" s="1"/>
      <c r="BP429" s="1" t="str">
        <f>HYPERLINK("https://nconnect.nicmar.ac.in/storage/profile/ProfilePhoto_P25700383_831254.jpg","Download")</f>
        <v>0</v>
      </c>
      <c r="BQ429" s="3"/>
      <c r="BR429" s="3"/>
    </row>
    <row r="430" spans="1:70">
      <c r="A430" s="1" t="s">
        <v>70</v>
      </c>
      <c r="B430" s="1" t="s">
        <v>1269</v>
      </c>
      <c r="C430" s="1" t="s">
        <v>8297</v>
      </c>
      <c r="D430" s="1" t="s">
        <v>8298</v>
      </c>
      <c r="E430" s="1" t="s">
        <v>1566</v>
      </c>
      <c r="F430" s="1" t="s">
        <v>8299</v>
      </c>
      <c r="G430" s="1" t="s">
        <v>8300</v>
      </c>
      <c r="H430" s="1" t="s">
        <v>8301</v>
      </c>
      <c r="I430" s="1" t="s">
        <v>8302</v>
      </c>
      <c r="J430" s="1">
        <v>9373944569</v>
      </c>
      <c r="K430" s="1" t="s">
        <v>148</v>
      </c>
      <c r="L430" s="1" t="s">
        <v>8303</v>
      </c>
      <c r="M430" s="1" t="s">
        <v>81</v>
      </c>
      <c r="N430" s="1" t="s">
        <v>1418</v>
      </c>
      <c r="O430" s="1"/>
      <c r="P430" s="1" t="s">
        <v>1278</v>
      </c>
      <c r="Q430" s="1" t="s">
        <v>8304</v>
      </c>
      <c r="R430" s="1" t="s">
        <v>1566</v>
      </c>
      <c r="S430" s="1">
        <v>8888493967</v>
      </c>
      <c r="T430" s="1" t="s">
        <v>976</v>
      </c>
      <c r="U430" s="1" t="s">
        <v>8305</v>
      </c>
      <c r="V430" s="1">
        <v>9921942123</v>
      </c>
      <c r="W430" s="1" t="s">
        <v>156</v>
      </c>
      <c r="X430" s="1" t="s">
        <v>8306</v>
      </c>
      <c r="Y430" s="1" t="s">
        <v>328</v>
      </c>
      <c r="Z430" s="1" t="s">
        <v>92</v>
      </c>
      <c r="AA430" s="1" t="s">
        <v>8306</v>
      </c>
      <c r="AB430" s="1" t="s">
        <v>328</v>
      </c>
      <c r="AC430" s="1" t="s">
        <v>92</v>
      </c>
      <c r="AD430" s="1">
        <v>8.8</v>
      </c>
      <c r="AE430" s="1" t="s">
        <v>93</v>
      </c>
      <c r="AF430" s="1" t="s">
        <v>4304</v>
      </c>
      <c r="AG430" s="1" t="s">
        <v>4453</v>
      </c>
      <c r="AH430" s="1" t="s">
        <v>165</v>
      </c>
      <c r="AI430" s="1" t="s">
        <v>101</v>
      </c>
      <c r="AJ430" s="1">
        <v>89.4</v>
      </c>
      <c r="AK430" s="1"/>
      <c r="AL430" s="1" t="s">
        <v>8307</v>
      </c>
      <c r="AM430" s="1" t="s">
        <v>4453</v>
      </c>
      <c r="AN430" s="1" t="s">
        <v>310</v>
      </c>
      <c r="AO430" s="1" t="s">
        <v>173</v>
      </c>
      <c r="AP430" s="1">
        <v>79.23</v>
      </c>
      <c r="AQ430" s="1"/>
      <c r="AR430" s="1"/>
      <c r="AS430" s="1"/>
      <c r="AT430" s="1"/>
      <c r="AU430" s="1"/>
      <c r="AV430" s="1"/>
      <c r="AW430" s="1"/>
      <c r="AX430" s="1" t="s">
        <v>335</v>
      </c>
      <c r="AY430" s="1" t="s">
        <v>8308</v>
      </c>
      <c r="AZ430" s="1" t="s">
        <v>920</v>
      </c>
      <c r="BA430" s="1" t="s">
        <v>202</v>
      </c>
      <c r="BB430" s="1">
        <v>71.8</v>
      </c>
      <c r="BC430" s="1">
        <v>7.93</v>
      </c>
      <c r="BD430" s="1"/>
      <c r="BE430" s="1"/>
      <c r="BF430" s="1"/>
      <c r="BG430" s="1"/>
      <c r="BH430" s="1"/>
      <c r="BI430" s="1"/>
      <c r="BJ430" s="1" t="s">
        <v>8309</v>
      </c>
      <c r="BK430" s="1"/>
      <c r="BL430" s="1"/>
      <c r="BM430" s="1" t="s">
        <v>8310</v>
      </c>
      <c r="BN430" s="1">
        <v>7</v>
      </c>
      <c r="BO430" s="1" t="s">
        <v>8311</v>
      </c>
      <c r="BP430" s="1" t="str">
        <f>HYPERLINK("https://nconnect.nicmar.ac.in/storage/profile/ProfilePhoto_P25700384_318246.jpg","Download")</f>
        <v>0</v>
      </c>
      <c r="BQ430" s="3"/>
      <c r="BR430" s="3"/>
    </row>
    <row r="431" spans="1:70">
      <c r="A431" s="1" t="s">
        <v>70</v>
      </c>
      <c r="B431" s="1" t="s">
        <v>1269</v>
      </c>
      <c r="C431" s="1" t="s">
        <v>8312</v>
      </c>
      <c r="D431" s="1" t="s">
        <v>1566</v>
      </c>
      <c r="E431" s="1"/>
      <c r="F431" s="1" t="s">
        <v>8313</v>
      </c>
      <c r="G431" s="1" t="s">
        <v>8314</v>
      </c>
      <c r="H431" s="1" t="s">
        <v>8315</v>
      </c>
      <c r="I431" s="1" t="s">
        <v>8316</v>
      </c>
      <c r="J431" s="1">
        <v>8431133606</v>
      </c>
      <c r="K431" s="1" t="s">
        <v>79</v>
      </c>
      <c r="L431" s="1" t="s">
        <v>6413</v>
      </c>
      <c r="M431" s="1" t="s">
        <v>81</v>
      </c>
      <c r="N431" s="1" t="s">
        <v>4766</v>
      </c>
      <c r="O431" s="1"/>
      <c r="P431" s="1" t="s">
        <v>1323</v>
      </c>
      <c r="Q431" s="1" t="s">
        <v>8317</v>
      </c>
      <c r="R431" s="1" t="s">
        <v>8318</v>
      </c>
      <c r="S431" s="1">
        <v>9972444704</v>
      </c>
      <c r="T431" s="1" t="s">
        <v>8319</v>
      </c>
      <c r="U431" s="1" t="s">
        <v>8320</v>
      </c>
      <c r="V431" s="1">
        <v>9741390770</v>
      </c>
      <c r="W431" s="1" t="s">
        <v>273</v>
      </c>
      <c r="X431" s="1" t="s">
        <v>8321</v>
      </c>
      <c r="Y431" s="1" t="s">
        <v>2179</v>
      </c>
      <c r="Z431" s="1" t="s">
        <v>1084</v>
      </c>
      <c r="AA431" s="1" t="s">
        <v>8321</v>
      </c>
      <c r="AB431" s="1" t="s">
        <v>2179</v>
      </c>
      <c r="AC431" s="1" t="s">
        <v>1084</v>
      </c>
      <c r="AD431" s="1">
        <v>8.82</v>
      </c>
      <c r="AE431" s="1" t="s">
        <v>93</v>
      </c>
      <c r="AF431" s="1" t="s">
        <v>8322</v>
      </c>
      <c r="AG431" s="1" t="s">
        <v>2749</v>
      </c>
      <c r="AH431" s="1" t="s">
        <v>165</v>
      </c>
      <c r="AI431" s="1" t="s">
        <v>1307</v>
      </c>
      <c r="AJ431" s="1">
        <v>86.72</v>
      </c>
      <c r="AK431" s="1"/>
      <c r="AL431" s="1" t="s">
        <v>8323</v>
      </c>
      <c r="AM431" s="1" t="s">
        <v>2056</v>
      </c>
      <c r="AN431" s="1" t="s">
        <v>433</v>
      </c>
      <c r="AO431" s="1" t="s">
        <v>941</v>
      </c>
      <c r="AP431" s="1">
        <v>79.33</v>
      </c>
      <c r="AQ431" s="1"/>
      <c r="AR431" s="1"/>
      <c r="AS431" s="1"/>
      <c r="AT431" s="1"/>
      <c r="AU431" s="1"/>
      <c r="AV431" s="1"/>
      <c r="AW431" s="1"/>
      <c r="AX431" s="1" t="s">
        <v>1088</v>
      </c>
      <c r="AY431" s="1" t="s">
        <v>8324</v>
      </c>
      <c r="AZ431" s="1" t="s">
        <v>228</v>
      </c>
      <c r="BA431" s="1" t="s">
        <v>202</v>
      </c>
      <c r="BB431" s="1">
        <v>75.5</v>
      </c>
      <c r="BC431" s="1">
        <v>8.3</v>
      </c>
      <c r="BD431" s="1"/>
      <c r="BE431" s="1"/>
      <c r="BF431" s="1"/>
      <c r="BG431" s="1"/>
      <c r="BH431" s="1"/>
      <c r="BI431" s="1"/>
      <c r="BJ431" s="1" t="s">
        <v>8325</v>
      </c>
      <c r="BK431" s="1" t="s">
        <v>8326</v>
      </c>
      <c r="BL431" s="1" t="s">
        <v>1475</v>
      </c>
      <c r="BM431" s="1" t="s">
        <v>8327</v>
      </c>
      <c r="BN431" s="1">
        <v>11</v>
      </c>
      <c r="BO431" s="1" t="s">
        <v>8328</v>
      </c>
      <c r="BP431" s="1" t="str">
        <f>HYPERLINK("https://nconnect.nicmar.ac.in/storage/profile/ProfilePhoto_P25700385_936548.jpg","Download")</f>
        <v>0</v>
      </c>
      <c r="BQ431" s="3"/>
      <c r="BR431" s="3"/>
    </row>
    <row r="432" spans="1:70">
      <c r="A432" s="1" t="s">
        <v>70</v>
      </c>
      <c r="B432" s="1" t="s">
        <v>1269</v>
      </c>
      <c r="C432" s="1" t="s">
        <v>8329</v>
      </c>
      <c r="D432" s="1" t="s">
        <v>8330</v>
      </c>
      <c r="E432" s="1"/>
      <c r="F432" s="1" t="s">
        <v>596</v>
      </c>
      <c r="G432" s="1" t="s">
        <v>8331</v>
      </c>
      <c r="H432" s="1" t="s">
        <v>8332</v>
      </c>
      <c r="I432" s="1" t="s">
        <v>8333</v>
      </c>
      <c r="J432" s="1">
        <v>7017412065</v>
      </c>
      <c r="K432" s="1" t="s">
        <v>79</v>
      </c>
      <c r="L432" s="1" t="s">
        <v>8334</v>
      </c>
      <c r="M432" s="1" t="s">
        <v>81</v>
      </c>
      <c r="N432" s="1" t="s">
        <v>5056</v>
      </c>
      <c r="O432" s="1"/>
      <c r="P432" s="1" t="s">
        <v>1298</v>
      </c>
      <c r="Q432" s="1" t="s">
        <v>8335</v>
      </c>
      <c r="R432" s="1" t="s">
        <v>8336</v>
      </c>
      <c r="S432" s="1">
        <v>9955912826</v>
      </c>
      <c r="T432" s="1" t="s">
        <v>154</v>
      </c>
      <c r="U432" s="1" t="s">
        <v>301</v>
      </c>
      <c r="V432" s="1">
        <v>8271961319</v>
      </c>
      <c r="W432" s="1" t="s">
        <v>156</v>
      </c>
      <c r="X432" s="1" t="s">
        <v>8337</v>
      </c>
      <c r="Y432" s="1" t="s">
        <v>91</v>
      </c>
      <c r="Z432" s="1" t="s">
        <v>846</v>
      </c>
      <c r="AA432" s="1" t="s">
        <v>8337</v>
      </c>
      <c r="AB432" s="1" t="s">
        <v>91</v>
      </c>
      <c r="AC432" s="1" t="s">
        <v>846</v>
      </c>
      <c r="AD432" s="1">
        <v>8.22</v>
      </c>
      <c r="AE432" s="1" t="s">
        <v>93</v>
      </c>
      <c r="AF432" s="1" t="s">
        <v>8338</v>
      </c>
      <c r="AG432" s="1" t="s">
        <v>8339</v>
      </c>
      <c r="AH432" s="1" t="s">
        <v>4223</v>
      </c>
      <c r="AI432" s="1" t="s">
        <v>130</v>
      </c>
      <c r="AJ432" s="1">
        <v>81.6</v>
      </c>
      <c r="AK432" s="1">
        <v>8.6</v>
      </c>
      <c r="AL432" s="1" t="s">
        <v>8340</v>
      </c>
      <c r="AM432" s="1" t="s">
        <v>8341</v>
      </c>
      <c r="AN432" s="1" t="s">
        <v>503</v>
      </c>
      <c r="AO432" s="1" t="s">
        <v>733</v>
      </c>
      <c r="AP432" s="1">
        <v>64</v>
      </c>
      <c r="AQ432" s="1"/>
      <c r="AR432" s="1"/>
      <c r="AS432" s="1"/>
      <c r="AT432" s="1"/>
      <c r="AU432" s="1"/>
      <c r="AV432" s="1"/>
      <c r="AW432" s="1"/>
      <c r="AX432" s="1" t="s">
        <v>8342</v>
      </c>
      <c r="AY432" s="1" t="s">
        <v>8343</v>
      </c>
      <c r="AZ432" s="1" t="s">
        <v>134</v>
      </c>
      <c r="BA432" s="1" t="s">
        <v>173</v>
      </c>
      <c r="BB432" s="1">
        <v>61.8</v>
      </c>
      <c r="BC432" s="1">
        <v>6.18</v>
      </c>
      <c r="BD432" s="1"/>
      <c r="BE432" s="1"/>
      <c r="BF432" s="1"/>
      <c r="BG432" s="1"/>
      <c r="BH432" s="1"/>
      <c r="BI432" s="1"/>
      <c r="BJ432" s="1" t="s">
        <v>1383</v>
      </c>
      <c r="BK432" s="1" t="s">
        <v>8344</v>
      </c>
      <c r="BL432" s="1" t="s">
        <v>8345</v>
      </c>
      <c r="BM432" s="1" t="s">
        <v>8346</v>
      </c>
      <c r="BN432" s="1">
        <v>23</v>
      </c>
      <c r="BO432" s="1"/>
      <c r="BP432" s="1" t="str">
        <f>HYPERLINK("https://nconnect.nicmar.ac.in/storage/profile/ProfilePhoto_P25700386_189623.jpg","Download")</f>
        <v>0</v>
      </c>
      <c r="BQ432" s="3"/>
      <c r="BR432" s="3"/>
    </row>
    <row r="433" spans="1:70">
      <c r="A433" s="1" t="s">
        <v>70</v>
      </c>
      <c r="B433" s="1" t="s">
        <v>1269</v>
      </c>
      <c r="C433" s="1" t="s">
        <v>8347</v>
      </c>
      <c r="D433" s="1" t="s">
        <v>417</v>
      </c>
      <c r="E433" s="1" t="s">
        <v>1566</v>
      </c>
      <c r="F433" s="1" t="s">
        <v>8348</v>
      </c>
      <c r="G433" s="1" t="s">
        <v>8349</v>
      </c>
      <c r="H433" s="1" t="s">
        <v>8350</v>
      </c>
      <c r="I433" s="1" t="s">
        <v>8351</v>
      </c>
      <c r="J433" s="1">
        <v>9767413833</v>
      </c>
      <c r="K433" s="1" t="s">
        <v>148</v>
      </c>
      <c r="L433" s="1" t="s">
        <v>8352</v>
      </c>
      <c r="M433" s="1" t="s">
        <v>81</v>
      </c>
      <c r="N433" s="1" t="s">
        <v>1418</v>
      </c>
      <c r="O433" s="1"/>
      <c r="P433" s="1" t="s">
        <v>1323</v>
      </c>
      <c r="Q433" s="1" t="s">
        <v>8353</v>
      </c>
      <c r="R433" s="1" t="s">
        <v>8354</v>
      </c>
      <c r="S433" s="1">
        <v>9922615090</v>
      </c>
      <c r="T433" s="1" t="s">
        <v>472</v>
      </c>
      <c r="U433" s="1" t="s">
        <v>8355</v>
      </c>
      <c r="V433" s="1">
        <v>9922263755</v>
      </c>
      <c r="W433" s="1" t="s">
        <v>89</v>
      </c>
      <c r="X433" s="1" t="s">
        <v>8356</v>
      </c>
      <c r="Y433" s="1" t="s">
        <v>5937</v>
      </c>
      <c r="Z433" s="1" t="s">
        <v>92</v>
      </c>
      <c r="AA433" s="1" t="s">
        <v>8356</v>
      </c>
      <c r="AB433" s="1" t="s">
        <v>5937</v>
      </c>
      <c r="AC433" s="1" t="s">
        <v>92</v>
      </c>
      <c r="AD433" s="1">
        <v>8.74</v>
      </c>
      <c r="AE433" s="1" t="s">
        <v>93</v>
      </c>
      <c r="AF433" s="1" t="s">
        <v>8357</v>
      </c>
      <c r="AG433" s="1" t="s">
        <v>8358</v>
      </c>
      <c r="AH433" s="1" t="s">
        <v>527</v>
      </c>
      <c r="AI433" s="1" t="s">
        <v>165</v>
      </c>
      <c r="AJ433" s="1">
        <v>79.6</v>
      </c>
      <c r="AK433" s="1"/>
      <c r="AL433" s="1" t="s">
        <v>8359</v>
      </c>
      <c r="AM433" s="1" t="s">
        <v>8360</v>
      </c>
      <c r="AN433" s="1" t="s">
        <v>166</v>
      </c>
      <c r="AO433" s="1" t="s">
        <v>308</v>
      </c>
      <c r="AP433" s="1">
        <v>66.15</v>
      </c>
      <c r="AQ433" s="1"/>
      <c r="AR433" s="1"/>
      <c r="AS433" s="1"/>
      <c r="AT433" s="1"/>
      <c r="AU433" s="1"/>
      <c r="AV433" s="1"/>
      <c r="AW433" s="1"/>
      <c r="AX433" s="1" t="s">
        <v>361</v>
      </c>
      <c r="AY433" s="1" t="s">
        <v>8361</v>
      </c>
      <c r="AZ433" s="1" t="s">
        <v>201</v>
      </c>
      <c r="BA433" s="1" t="s">
        <v>174</v>
      </c>
      <c r="BB433" s="1">
        <v>73.5</v>
      </c>
      <c r="BC433" s="1">
        <v>7.88</v>
      </c>
      <c r="BD433" s="1"/>
      <c r="BE433" s="1"/>
      <c r="BF433" s="1"/>
      <c r="BG433" s="1"/>
      <c r="BH433" s="1"/>
      <c r="BI433" s="1"/>
      <c r="BJ433" s="1" t="s">
        <v>8362</v>
      </c>
      <c r="BK433" s="1" t="s">
        <v>8363</v>
      </c>
      <c r="BL433" s="1" t="s">
        <v>4933</v>
      </c>
      <c r="BM433" s="1" t="s">
        <v>8364</v>
      </c>
      <c r="BN433" s="1">
        <v>13</v>
      </c>
      <c r="BO433" s="1"/>
      <c r="BP433" s="1" t="str">
        <f>HYPERLINK("https://nconnect.nicmar.ac.in/storage/profile/ProfilePhoto_P25700387_318952.jpg","Download")</f>
        <v>0</v>
      </c>
      <c r="BQ433" s="3"/>
      <c r="BR433" s="3"/>
    </row>
    <row r="434" spans="1:70">
      <c r="A434" s="1" t="s">
        <v>70</v>
      </c>
      <c r="B434" s="1" t="s">
        <v>1269</v>
      </c>
      <c r="C434" s="1" t="s">
        <v>8365</v>
      </c>
      <c r="D434" s="1" t="s">
        <v>8366</v>
      </c>
      <c r="E434" s="1"/>
      <c r="F434" s="1" t="s">
        <v>2191</v>
      </c>
      <c r="G434" s="1" t="s">
        <v>8367</v>
      </c>
      <c r="H434" s="1" t="s">
        <v>8368</v>
      </c>
      <c r="I434" s="1" t="s">
        <v>8369</v>
      </c>
      <c r="J434" s="1">
        <v>6282413343</v>
      </c>
      <c r="K434" s="1" t="s">
        <v>79</v>
      </c>
      <c r="L434" s="1" t="s">
        <v>8370</v>
      </c>
      <c r="M434" s="1" t="s">
        <v>81</v>
      </c>
      <c r="N434" s="1" t="s">
        <v>8371</v>
      </c>
      <c r="O434" s="1"/>
      <c r="P434" s="1" t="s">
        <v>1323</v>
      </c>
      <c r="Q434" s="1" t="s">
        <v>8372</v>
      </c>
      <c r="R434" s="1" t="s">
        <v>8373</v>
      </c>
      <c r="S434" s="1">
        <v>9497884301</v>
      </c>
      <c r="T434" s="1" t="s">
        <v>8374</v>
      </c>
      <c r="U434" s="1" t="s">
        <v>8375</v>
      </c>
      <c r="V434" s="1">
        <v>8547634302</v>
      </c>
      <c r="W434" s="1" t="s">
        <v>8374</v>
      </c>
      <c r="X434" s="1" t="s">
        <v>8376</v>
      </c>
      <c r="Y434" s="1" t="s">
        <v>891</v>
      </c>
      <c r="Z434" s="1" t="s">
        <v>125</v>
      </c>
      <c r="AA434" s="1" t="s">
        <v>8376</v>
      </c>
      <c r="AB434" s="1" t="s">
        <v>891</v>
      </c>
      <c r="AC434" s="1" t="s">
        <v>125</v>
      </c>
      <c r="AD434" s="1">
        <v>9.15</v>
      </c>
      <c r="AE434" s="1" t="s">
        <v>93</v>
      </c>
      <c r="AF434" s="1" t="s">
        <v>8377</v>
      </c>
      <c r="AG434" s="1" t="s">
        <v>307</v>
      </c>
      <c r="AH434" s="1" t="s">
        <v>527</v>
      </c>
      <c r="AI434" s="1" t="s">
        <v>166</v>
      </c>
      <c r="AJ434" s="1">
        <v>85</v>
      </c>
      <c r="AK434" s="1"/>
      <c r="AL434" s="1" t="s">
        <v>8377</v>
      </c>
      <c r="AM434" s="1" t="s">
        <v>307</v>
      </c>
      <c r="AN434" s="1" t="s">
        <v>308</v>
      </c>
      <c r="AO434" s="1" t="s">
        <v>173</v>
      </c>
      <c r="AP434" s="1">
        <v>83.2</v>
      </c>
      <c r="AQ434" s="1"/>
      <c r="AR434" s="1"/>
      <c r="AS434" s="1"/>
      <c r="AT434" s="1"/>
      <c r="AU434" s="1"/>
      <c r="AV434" s="1"/>
      <c r="AW434" s="1"/>
      <c r="AX434" s="1" t="s">
        <v>132</v>
      </c>
      <c r="AY434" s="1" t="s">
        <v>8378</v>
      </c>
      <c r="AZ434" s="1" t="s">
        <v>170</v>
      </c>
      <c r="BA434" s="1" t="s">
        <v>202</v>
      </c>
      <c r="BB434" s="1">
        <v>82.2</v>
      </c>
      <c r="BC434" s="1">
        <v>8.22</v>
      </c>
      <c r="BD434" s="1"/>
      <c r="BE434" s="1"/>
      <c r="BF434" s="1"/>
      <c r="BG434" s="1"/>
      <c r="BH434" s="1"/>
      <c r="BI434" s="1"/>
      <c r="BJ434" s="1" t="s">
        <v>8379</v>
      </c>
      <c r="BK434" s="1"/>
      <c r="BL434" s="1"/>
      <c r="BM434" s="1" t="s">
        <v>8380</v>
      </c>
      <c r="BN434" s="1">
        <v>10</v>
      </c>
      <c r="BO434" s="1" t="s">
        <v>8381</v>
      </c>
      <c r="BP434" s="1" t="str">
        <f>HYPERLINK("https://nconnect.nicmar.ac.in/storage/profile/ProfilePhoto_P25700388_863591.jpg","Download")</f>
        <v>0</v>
      </c>
      <c r="BQ434" s="3"/>
      <c r="BR434" s="3"/>
    </row>
    <row r="435" spans="1:70">
      <c r="A435" s="1" t="s">
        <v>70</v>
      </c>
      <c r="B435" s="1" t="s">
        <v>1269</v>
      </c>
      <c r="C435" s="1" t="s">
        <v>8382</v>
      </c>
      <c r="D435" s="1" t="s">
        <v>443</v>
      </c>
      <c r="E435" s="1" t="s">
        <v>8383</v>
      </c>
      <c r="F435" s="1" t="s">
        <v>8384</v>
      </c>
      <c r="G435" s="1" t="s">
        <v>8385</v>
      </c>
      <c r="H435" s="1" t="s">
        <v>8386</v>
      </c>
      <c r="I435" s="1" t="s">
        <v>8387</v>
      </c>
      <c r="J435" s="1">
        <v>7507067672</v>
      </c>
      <c r="K435" s="1" t="s">
        <v>79</v>
      </c>
      <c r="L435" s="1" t="s">
        <v>8388</v>
      </c>
      <c r="M435" s="1" t="s">
        <v>81</v>
      </c>
      <c r="N435" s="1" t="s">
        <v>3194</v>
      </c>
      <c r="O435" s="1"/>
      <c r="P435" s="1" t="s">
        <v>1298</v>
      </c>
      <c r="Q435" s="1" t="s">
        <v>8389</v>
      </c>
      <c r="R435" s="1" t="s">
        <v>756</v>
      </c>
      <c r="S435" s="1">
        <v>9422852015</v>
      </c>
      <c r="T435" s="1" t="s">
        <v>271</v>
      </c>
      <c r="U435" s="1" t="s">
        <v>3065</v>
      </c>
      <c r="V435" s="1">
        <v>9975145373</v>
      </c>
      <c r="W435" s="1" t="s">
        <v>156</v>
      </c>
      <c r="X435" s="1" t="s">
        <v>8390</v>
      </c>
      <c r="Y435" s="1" t="s">
        <v>8391</v>
      </c>
      <c r="Z435" s="1" t="s">
        <v>92</v>
      </c>
      <c r="AA435" s="1" t="s">
        <v>8390</v>
      </c>
      <c r="AB435" s="1" t="s">
        <v>8391</v>
      </c>
      <c r="AC435" s="1" t="s">
        <v>92</v>
      </c>
      <c r="AD435" s="1">
        <v>8.56</v>
      </c>
      <c r="AE435" s="1" t="s">
        <v>93</v>
      </c>
      <c r="AF435" s="1" t="s">
        <v>8392</v>
      </c>
      <c r="AG435" s="1" t="s">
        <v>160</v>
      </c>
      <c r="AH435" s="1" t="s">
        <v>128</v>
      </c>
      <c r="AI435" s="1" t="s">
        <v>1242</v>
      </c>
      <c r="AJ435" s="1">
        <v>75.64</v>
      </c>
      <c r="AK435" s="1">
        <v>7.96</v>
      </c>
      <c r="AL435" s="1"/>
      <c r="AM435" s="1"/>
      <c r="AN435" s="1"/>
      <c r="AO435" s="1"/>
      <c r="AP435" s="1"/>
      <c r="AQ435" s="1"/>
      <c r="AR435" s="1" t="s">
        <v>98</v>
      </c>
      <c r="AS435" s="1" t="s">
        <v>8393</v>
      </c>
      <c r="AT435" s="1" t="s">
        <v>1245</v>
      </c>
      <c r="AU435" s="1" t="s">
        <v>162</v>
      </c>
      <c r="AV435" s="1">
        <v>79.88</v>
      </c>
      <c r="AW435" s="1">
        <v>8.4</v>
      </c>
      <c r="AX435" s="1" t="s">
        <v>8394</v>
      </c>
      <c r="AY435" s="1" t="s">
        <v>8395</v>
      </c>
      <c r="AZ435" s="1" t="s">
        <v>134</v>
      </c>
      <c r="BA435" s="1" t="s">
        <v>310</v>
      </c>
      <c r="BB435" s="1">
        <v>67.9</v>
      </c>
      <c r="BC435" s="1">
        <v>7.54</v>
      </c>
      <c r="BD435" s="1"/>
      <c r="BE435" s="1"/>
      <c r="BF435" s="1"/>
      <c r="BG435" s="1"/>
      <c r="BH435" s="1"/>
      <c r="BI435" s="1"/>
      <c r="BJ435" s="1" t="s">
        <v>8396</v>
      </c>
      <c r="BK435" s="1" t="s">
        <v>8397</v>
      </c>
      <c r="BL435" s="1" t="s">
        <v>8398</v>
      </c>
      <c r="BM435" s="1" t="s">
        <v>8399</v>
      </c>
      <c r="BN435" s="1">
        <v>41</v>
      </c>
      <c r="BO435" s="1" t="s">
        <v>8400</v>
      </c>
      <c r="BP435" s="1" t="str">
        <f>HYPERLINK("https://nconnect.nicmar.ac.in/storage/profile/ProfilePhoto_P25700389_893247.jpg","Download")</f>
        <v>0</v>
      </c>
      <c r="BQ435" s="3"/>
      <c r="BR435" s="3"/>
    </row>
    <row r="436" spans="1:70">
      <c r="A436" s="1" t="s">
        <v>70</v>
      </c>
      <c r="B436" s="1" t="s">
        <v>1269</v>
      </c>
      <c r="C436" s="1" t="s">
        <v>8401</v>
      </c>
      <c r="D436" s="1" t="s">
        <v>8402</v>
      </c>
      <c r="E436" s="1" t="s">
        <v>234</v>
      </c>
      <c r="F436" s="1" t="s">
        <v>8403</v>
      </c>
      <c r="G436" s="1" t="s">
        <v>8404</v>
      </c>
      <c r="H436" s="1" t="s">
        <v>8405</v>
      </c>
      <c r="I436" s="1" t="s">
        <v>8406</v>
      </c>
      <c r="J436" s="1">
        <v>8669341501</v>
      </c>
      <c r="K436" s="1" t="s">
        <v>79</v>
      </c>
      <c r="L436" s="1" t="s">
        <v>8407</v>
      </c>
      <c r="M436" s="1" t="s">
        <v>81</v>
      </c>
      <c r="N436" s="1" t="s">
        <v>1618</v>
      </c>
      <c r="O436" s="1"/>
      <c r="P436" s="1" t="s">
        <v>1323</v>
      </c>
      <c r="Q436" s="1" t="s">
        <v>8408</v>
      </c>
      <c r="R436" s="1" t="s">
        <v>8409</v>
      </c>
      <c r="S436" s="1">
        <v>9096064250</v>
      </c>
      <c r="T436" s="1" t="s">
        <v>8410</v>
      </c>
      <c r="U436" s="1" t="s">
        <v>8411</v>
      </c>
      <c r="V436" s="1">
        <v>9970125918</v>
      </c>
      <c r="W436" s="1" t="s">
        <v>156</v>
      </c>
      <c r="X436" s="1" t="s">
        <v>8412</v>
      </c>
      <c r="Y436" s="1" t="s">
        <v>191</v>
      </c>
      <c r="Z436" s="1" t="s">
        <v>92</v>
      </c>
      <c r="AA436" s="1" t="s">
        <v>8413</v>
      </c>
      <c r="AB436" s="1" t="s">
        <v>379</v>
      </c>
      <c r="AC436" s="1" t="s">
        <v>92</v>
      </c>
      <c r="AD436" s="1" t="s">
        <v>93</v>
      </c>
      <c r="AE436" s="1" t="s">
        <v>93</v>
      </c>
      <c r="AF436" s="1" t="s">
        <v>8414</v>
      </c>
      <c r="AG436" s="1" t="s">
        <v>8415</v>
      </c>
      <c r="AH436" s="1" t="s">
        <v>1307</v>
      </c>
      <c r="AI436" s="1" t="s">
        <v>308</v>
      </c>
      <c r="AJ436" s="1">
        <v>68.4</v>
      </c>
      <c r="AK436" s="1">
        <v>7.2</v>
      </c>
      <c r="AL436" s="1" t="s">
        <v>8416</v>
      </c>
      <c r="AM436" s="1" t="s">
        <v>8415</v>
      </c>
      <c r="AN436" s="1" t="s">
        <v>412</v>
      </c>
      <c r="AO436" s="1" t="s">
        <v>436</v>
      </c>
      <c r="AP436" s="1">
        <v>71.5</v>
      </c>
      <c r="AQ436" s="1"/>
      <c r="AR436" s="1"/>
      <c r="AS436" s="1"/>
      <c r="AT436" s="1"/>
      <c r="AU436" s="1"/>
      <c r="AV436" s="1"/>
      <c r="AW436" s="1"/>
      <c r="AX436" s="1" t="s">
        <v>361</v>
      </c>
      <c r="AY436" s="1" t="s">
        <v>8417</v>
      </c>
      <c r="AZ436" s="1" t="s">
        <v>5487</v>
      </c>
      <c r="BA436" s="1" t="s">
        <v>1361</v>
      </c>
      <c r="BB436" s="1">
        <v>68.3</v>
      </c>
      <c r="BC436" s="1">
        <v>7.19</v>
      </c>
      <c r="BD436" s="1"/>
      <c r="BE436" s="1"/>
      <c r="BF436" s="1"/>
      <c r="BG436" s="1"/>
      <c r="BH436" s="1"/>
      <c r="BI436" s="1"/>
      <c r="BJ436" s="1" t="s">
        <v>364</v>
      </c>
      <c r="BK436" s="1"/>
      <c r="BL436" s="1"/>
      <c r="BM436" s="1" t="s">
        <v>8418</v>
      </c>
      <c r="BN436" s="1">
        <v>25</v>
      </c>
      <c r="BO436" s="1"/>
      <c r="BP436" s="1" t="str">
        <f>HYPERLINK("https://nconnect.nicmar.ac.in/storage/profile/ProfilePhoto_P25700390_748536.jpg","Download")</f>
        <v>0</v>
      </c>
      <c r="BQ436" s="3"/>
      <c r="BR436" s="3"/>
    </row>
    <row r="437" spans="1:70">
      <c r="A437" s="1" t="s">
        <v>70</v>
      </c>
      <c r="B437" s="1" t="s">
        <v>1269</v>
      </c>
      <c r="C437" s="1" t="s">
        <v>8419</v>
      </c>
      <c r="D437" s="1" t="s">
        <v>8420</v>
      </c>
      <c r="E437" s="1" t="s">
        <v>2658</v>
      </c>
      <c r="F437" s="1" t="s">
        <v>8421</v>
      </c>
      <c r="G437" s="1" t="s">
        <v>8422</v>
      </c>
      <c r="H437" s="1" t="s">
        <v>8423</v>
      </c>
      <c r="I437" s="1" t="s">
        <v>8424</v>
      </c>
      <c r="J437" s="1">
        <v>9082006296</v>
      </c>
      <c r="K437" s="1" t="s">
        <v>79</v>
      </c>
      <c r="L437" s="1" t="s">
        <v>2901</v>
      </c>
      <c r="M437" s="1" t="s">
        <v>81</v>
      </c>
      <c r="N437" s="1" t="s">
        <v>8425</v>
      </c>
      <c r="O437" s="1"/>
      <c r="P437" s="1" t="s">
        <v>1323</v>
      </c>
      <c r="Q437" s="1" t="s">
        <v>8426</v>
      </c>
      <c r="R437" s="1" t="s">
        <v>8427</v>
      </c>
      <c r="S437" s="1">
        <v>9833560917</v>
      </c>
      <c r="T437" s="1" t="s">
        <v>1488</v>
      </c>
      <c r="U437" s="1" t="s">
        <v>8428</v>
      </c>
      <c r="V437" s="1">
        <v>9833635302</v>
      </c>
      <c r="W437" s="1" t="s">
        <v>156</v>
      </c>
      <c r="X437" s="1" t="s">
        <v>8429</v>
      </c>
      <c r="Y437" s="1" t="s">
        <v>1018</v>
      </c>
      <c r="Z437" s="1" t="s">
        <v>92</v>
      </c>
      <c r="AA437" s="1" t="s">
        <v>8429</v>
      </c>
      <c r="AB437" s="1" t="s">
        <v>1018</v>
      </c>
      <c r="AC437" s="1" t="s">
        <v>92</v>
      </c>
      <c r="AD437" s="1">
        <v>7.71</v>
      </c>
      <c r="AE437" s="1" t="s">
        <v>93</v>
      </c>
      <c r="AF437" s="1" t="s">
        <v>8430</v>
      </c>
      <c r="AG437" s="1" t="s">
        <v>8431</v>
      </c>
      <c r="AH437" s="1" t="s">
        <v>279</v>
      </c>
      <c r="AI437" s="1" t="s">
        <v>165</v>
      </c>
      <c r="AJ437" s="1">
        <v>89.3</v>
      </c>
      <c r="AK437" s="1">
        <v>9.4</v>
      </c>
      <c r="AL437" s="1" t="s">
        <v>8432</v>
      </c>
      <c r="AM437" s="1" t="s">
        <v>8431</v>
      </c>
      <c r="AN437" s="1" t="s">
        <v>1307</v>
      </c>
      <c r="AO437" s="1" t="s">
        <v>308</v>
      </c>
      <c r="AP437" s="1">
        <v>67.2</v>
      </c>
      <c r="AQ437" s="1">
        <v>7.4</v>
      </c>
      <c r="AR437" s="1"/>
      <c r="AS437" s="1"/>
      <c r="AT437" s="1"/>
      <c r="AU437" s="1"/>
      <c r="AV437" s="1"/>
      <c r="AW437" s="1"/>
      <c r="AX437" s="1" t="s">
        <v>253</v>
      </c>
      <c r="AY437" s="1" t="s">
        <v>8433</v>
      </c>
      <c r="AZ437" s="1" t="s">
        <v>433</v>
      </c>
      <c r="BA437" s="1" t="s">
        <v>8434</v>
      </c>
      <c r="BB437" s="1">
        <v>68.68</v>
      </c>
      <c r="BC437" s="1">
        <v>7.78</v>
      </c>
      <c r="BD437" s="1"/>
      <c r="BE437" s="1"/>
      <c r="BF437" s="1"/>
      <c r="BG437" s="1"/>
      <c r="BH437" s="1"/>
      <c r="BI437" s="1"/>
      <c r="BJ437" s="1" t="s">
        <v>8435</v>
      </c>
      <c r="BK437" s="1"/>
      <c r="BL437" s="1"/>
      <c r="BM437" s="1" t="s">
        <v>8436</v>
      </c>
      <c r="BN437" s="1">
        <v>93</v>
      </c>
      <c r="BO437" s="1" t="s">
        <v>1715</v>
      </c>
      <c r="BP437" s="1" t="str">
        <f>HYPERLINK("https://nconnect.nicmar.ac.in/storage/profile/ProfilePhoto_P25700391_259437.jpg","Download")</f>
        <v>0</v>
      </c>
      <c r="BQ437" s="3"/>
      <c r="BR437" s="3"/>
    </row>
    <row r="438" spans="1:70">
      <c r="A438" s="1" t="s">
        <v>70</v>
      </c>
      <c r="B438" s="1" t="s">
        <v>1269</v>
      </c>
      <c r="C438" s="1" t="s">
        <v>8437</v>
      </c>
      <c r="D438" s="1" t="s">
        <v>8438</v>
      </c>
      <c r="E438" s="1"/>
      <c r="F438" s="1" t="s">
        <v>8438</v>
      </c>
      <c r="G438" s="1" t="s">
        <v>8439</v>
      </c>
      <c r="H438" s="1" t="s">
        <v>8440</v>
      </c>
      <c r="I438" s="1" t="s">
        <v>8441</v>
      </c>
      <c r="J438" s="1">
        <v>9538442621</v>
      </c>
      <c r="K438" s="1" t="s">
        <v>148</v>
      </c>
      <c r="L438" s="1" t="s">
        <v>4483</v>
      </c>
      <c r="M438" s="1" t="s">
        <v>81</v>
      </c>
      <c r="N438" s="1" t="s">
        <v>8442</v>
      </c>
      <c r="O438" s="1"/>
      <c r="P438" s="1" t="s">
        <v>1298</v>
      </c>
      <c r="Q438" s="1" t="s">
        <v>8443</v>
      </c>
      <c r="R438" s="1" t="s">
        <v>8444</v>
      </c>
      <c r="S438" s="1">
        <v>9611984367</v>
      </c>
      <c r="T438" s="1" t="s">
        <v>8445</v>
      </c>
      <c r="U438" s="1" t="s">
        <v>8446</v>
      </c>
      <c r="V438" s="1">
        <v>9620857969</v>
      </c>
      <c r="W438" s="1" t="s">
        <v>89</v>
      </c>
      <c r="X438" s="1" t="s">
        <v>8447</v>
      </c>
      <c r="Y438" s="1" t="s">
        <v>1083</v>
      </c>
      <c r="Z438" s="1" t="s">
        <v>1084</v>
      </c>
      <c r="AA438" s="1" t="s">
        <v>8447</v>
      </c>
      <c r="AB438" s="1" t="s">
        <v>1083</v>
      </c>
      <c r="AC438" s="1" t="s">
        <v>1084</v>
      </c>
      <c r="AD438" s="1">
        <v>8.87</v>
      </c>
      <c r="AE438" s="1" t="s">
        <v>93</v>
      </c>
      <c r="AF438" s="1" t="s">
        <v>8438</v>
      </c>
      <c r="AG438" s="1" t="s">
        <v>2749</v>
      </c>
      <c r="AH438" s="1" t="s">
        <v>479</v>
      </c>
      <c r="AI438" s="1" t="s">
        <v>1307</v>
      </c>
      <c r="AJ438" s="1">
        <v>95.68</v>
      </c>
      <c r="AK438" s="1"/>
      <c r="AL438" s="1" t="s">
        <v>8448</v>
      </c>
      <c r="AM438" s="1" t="s">
        <v>2749</v>
      </c>
      <c r="AN438" s="1" t="s">
        <v>198</v>
      </c>
      <c r="AO438" s="1" t="s">
        <v>941</v>
      </c>
      <c r="AP438" s="1">
        <v>79.66</v>
      </c>
      <c r="AQ438" s="1"/>
      <c r="AR438" s="1"/>
      <c r="AS438" s="1"/>
      <c r="AT438" s="1"/>
      <c r="AU438" s="1"/>
      <c r="AV438" s="1"/>
      <c r="AW438" s="1"/>
      <c r="AX438" s="1" t="s">
        <v>8449</v>
      </c>
      <c r="AY438" s="1" t="s">
        <v>1088</v>
      </c>
      <c r="AZ438" s="1" t="s">
        <v>228</v>
      </c>
      <c r="BA438" s="1" t="s">
        <v>1408</v>
      </c>
      <c r="BB438" s="1">
        <v>66.9</v>
      </c>
      <c r="BC438" s="1">
        <v>7.44</v>
      </c>
      <c r="BD438" s="1"/>
      <c r="BE438" s="1"/>
      <c r="BF438" s="1"/>
      <c r="BG438" s="1"/>
      <c r="BH438" s="1"/>
      <c r="BI438" s="1"/>
      <c r="BJ438" s="1" t="s">
        <v>8450</v>
      </c>
      <c r="BK438" s="1"/>
      <c r="BL438" s="1"/>
      <c r="BM438" s="1" t="s">
        <v>8451</v>
      </c>
      <c r="BN438" s="1">
        <v>24</v>
      </c>
      <c r="BO438" s="1" t="s">
        <v>8452</v>
      </c>
      <c r="BP438" s="1" t="str">
        <f>HYPERLINK("https://nconnect.nicmar.ac.in/storage/profile/ProfilePhoto_P25700392_517643.jpg","Download")</f>
        <v>0</v>
      </c>
      <c r="BQ438" s="3"/>
      <c r="BR438" s="3"/>
    </row>
    <row r="439" spans="1:70">
      <c r="A439" s="1" t="s">
        <v>70</v>
      </c>
      <c r="B439" s="1" t="s">
        <v>1269</v>
      </c>
      <c r="C439" s="1" t="s">
        <v>8453</v>
      </c>
      <c r="D439" s="1" t="s">
        <v>8454</v>
      </c>
      <c r="E439" s="1"/>
      <c r="F439" s="1" t="s">
        <v>8455</v>
      </c>
      <c r="G439" s="1" t="s">
        <v>8456</v>
      </c>
      <c r="H439" s="1" t="s">
        <v>8457</v>
      </c>
      <c r="I439" s="1" t="s">
        <v>8458</v>
      </c>
      <c r="J439" s="1">
        <v>9110471281</v>
      </c>
      <c r="K439" s="1" t="s">
        <v>79</v>
      </c>
      <c r="L439" s="1" t="s">
        <v>8459</v>
      </c>
      <c r="M439" s="1" t="s">
        <v>81</v>
      </c>
      <c r="N439" s="1" t="s">
        <v>8460</v>
      </c>
      <c r="O439" s="1"/>
      <c r="P439" s="1" t="s">
        <v>1278</v>
      </c>
      <c r="Q439" s="1" t="s">
        <v>8461</v>
      </c>
      <c r="R439" s="1" t="s">
        <v>8462</v>
      </c>
      <c r="S439" s="1">
        <v>7019330358</v>
      </c>
      <c r="T439" s="1" t="s">
        <v>8463</v>
      </c>
      <c r="U439" s="1" t="s">
        <v>8464</v>
      </c>
      <c r="V439" s="1">
        <v>9113098618</v>
      </c>
      <c r="W439" s="1" t="s">
        <v>156</v>
      </c>
      <c r="X439" s="1" t="s">
        <v>8465</v>
      </c>
      <c r="Y439" s="1" t="s">
        <v>2052</v>
      </c>
      <c r="Z439" s="1" t="s">
        <v>1084</v>
      </c>
      <c r="AA439" s="1" t="s">
        <v>8465</v>
      </c>
      <c r="AB439" s="1" t="s">
        <v>2052</v>
      </c>
      <c r="AC439" s="1" t="s">
        <v>1084</v>
      </c>
      <c r="AD439" s="1">
        <v>8.42</v>
      </c>
      <c r="AE439" s="1" t="s">
        <v>93</v>
      </c>
      <c r="AF439" s="1" t="s">
        <v>8466</v>
      </c>
      <c r="AG439" s="1" t="s">
        <v>307</v>
      </c>
      <c r="AH439" s="1" t="s">
        <v>1197</v>
      </c>
      <c r="AI439" s="1" t="s">
        <v>97</v>
      </c>
      <c r="AJ439" s="1">
        <v>72.2</v>
      </c>
      <c r="AK439" s="1">
        <v>7.6</v>
      </c>
      <c r="AL439" s="1"/>
      <c r="AM439" s="1"/>
      <c r="AN439" s="1"/>
      <c r="AO439" s="1"/>
      <c r="AP439" s="1"/>
      <c r="AQ439" s="1"/>
      <c r="AR439" s="1" t="s">
        <v>8467</v>
      </c>
      <c r="AS439" s="1" t="s">
        <v>8468</v>
      </c>
      <c r="AT439" s="1" t="s">
        <v>165</v>
      </c>
      <c r="AU439" s="1" t="s">
        <v>2463</v>
      </c>
      <c r="AV439" s="1">
        <v>83.74</v>
      </c>
      <c r="AW439" s="1"/>
      <c r="AX439" s="1" t="s">
        <v>8469</v>
      </c>
      <c r="AY439" s="1" t="s">
        <v>8470</v>
      </c>
      <c r="AZ439" s="1" t="s">
        <v>363</v>
      </c>
      <c r="BA439" s="1" t="s">
        <v>6033</v>
      </c>
      <c r="BB439" s="1">
        <v>69.2</v>
      </c>
      <c r="BC439" s="1">
        <v>7.67</v>
      </c>
      <c r="BD439" s="1"/>
      <c r="BE439" s="1"/>
      <c r="BF439" s="1"/>
      <c r="BG439" s="1"/>
      <c r="BH439" s="1"/>
      <c r="BI439" s="1"/>
      <c r="BJ439" s="1" t="s">
        <v>8471</v>
      </c>
      <c r="BK439" s="1" t="s">
        <v>8472</v>
      </c>
      <c r="BL439" s="1" t="s">
        <v>3110</v>
      </c>
      <c r="BM439" s="1" t="s">
        <v>8473</v>
      </c>
      <c r="BN439" s="1">
        <v>22</v>
      </c>
      <c r="BO439" s="1"/>
      <c r="BP439" s="1" t="str">
        <f>HYPERLINK("https://nconnect.nicmar.ac.in/storage/profile/ProfilePhoto_P25700393_435691.jpg","Download")</f>
        <v>0</v>
      </c>
      <c r="BQ439" s="3"/>
      <c r="BR439" s="3"/>
    </row>
    <row r="440" spans="1:70">
      <c r="A440" s="1" t="s">
        <v>70</v>
      </c>
      <c r="B440" s="1" t="s">
        <v>1269</v>
      </c>
      <c r="C440" s="1" t="s">
        <v>8474</v>
      </c>
      <c r="D440" s="1" t="s">
        <v>707</v>
      </c>
      <c r="E440" s="1"/>
      <c r="F440" s="1" t="s">
        <v>707</v>
      </c>
      <c r="G440" s="1" t="s">
        <v>8475</v>
      </c>
      <c r="H440" s="1" t="s">
        <v>8476</v>
      </c>
      <c r="I440" s="1" t="s">
        <v>8477</v>
      </c>
      <c r="J440" s="1">
        <v>9588774772</v>
      </c>
      <c r="K440" s="1" t="s">
        <v>79</v>
      </c>
      <c r="L440" s="1" t="s">
        <v>8478</v>
      </c>
      <c r="M440" s="1" t="s">
        <v>81</v>
      </c>
      <c r="N440" s="1" t="s">
        <v>8479</v>
      </c>
      <c r="O440" s="1"/>
      <c r="P440" s="1" t="s">
        <v>1298</v>
      </c>
      <c r="Q440" s="1" t="s">
        <v>8480</v>
      </c>
      <c r="R440" s="1" t="s">
        <v>8481</v>
      </c>
      <c r="S440" s="1">
        <v>9416719637</v>
      </c>
      <c r="T440" s="1" t="s">
        <v>122</v>
      </c>
      <c r="U440" s="1" t="s">
        <v>8482</v>
      </c>
      <c r="V440" s="1">
        <v>9416703927</v>
      </c>
      <c r="W440" s="1" t="s">
        <v>122</v>
      </c>
      <c r="X440" s="1" t="s">
        <v>8483</v>
      </c>
      <c r="Y440" s="1" t="s">
        <v>8484</v>
      </c>
      <c r="Z440" s="1" t="s">
        <v>719</v>
      </c>
      <c r="AA440" s="1" t="s">
        <v>8483</v>
      </c>
      <c r="AB440" s="1" t="s">
        <v>8484</v>
      </c>
      <c r="AC440" s="1" t="s">
        <v>719</v>
      </c>
      <c r="AD440" s="1">
        <v>9.1</v>
      </c>
      <c r="AE440" s="1" t="s">
        <v>93</v>
      </c>
      <c r="AF440" s="1" t="s">
        <v>8485</v>
      </c>
      <c r="AG440" s="1" t="s">
        <v>3354</v>
      </c>
      <c r="AH440" s="1" t="s">
        <v>678</v>
      </c>
      <c r="AI440" s="1" t="s">
        <v>166</v>
      </c>
      <c r="AJ440" s="1">
        <v>62.8</v>
      </c>
      <c r="AK440" s="1"/>
      <c r="AL440" s="1" t="s">
        <v>8486</v>
      </c>
      <c r="AM440" s="1" t="s">
        <v>8487</v>
      </c>
      <c r="AN440" s="1" t="s">
        <v>1065</v>
      </c>
      <c r="AO440" s="1" t="s">
        <v>173</v>
      </c>
      <c r="AP440" s="1">
        <v>87.8</v>
      </c>
      <c r="AQ440" s="1">
        <v>8.2</v>
      </c>
      <c r="AR440" s="1"/>
      <c r="AS440" s="1"/>
      <c r="AT440" s="1"/>
      <c r="AU440" s="1"/>
      <c r="AV440" s="1"/>
      <c r="AW440" s="1"/>
      <c r="AX440" s="1" t="s">
        <v>8488</v>
      </c>
      <c r="AY440" s="1" t="s">
        <v>8488</v>
      </c>
      <c r="AZ440" s="1" t="s">
        <v>2463</v>
      </c>
      <c r="BA440" s="1" t="s">
        <v>1939</v>
      </c>
      <c r="BB440" s="1">
        <v>74.2</v>
      </c>
      <c r="BC440" s="1">
        <v>7.42</v>
      </c>
      <c r="BD440" s="1"/>
      <c r="BE440" s="1"/>
      <c r="BF440" s="1"/>
      <c r="BG440" s="1"/>
      <c r="BH440" s="1"/>
      <c r="BI440" s="1"/>
      <c r="BJ440" s="1" t="s">
        <v>8489</v>
      </c>
      <c r="BK440" s="1"/>
      <c r="BL440" s="1"/>
      <c r="BM440" s="1" t="s">
        <v>8490</v>
      </c>
      <c r="BN440" s="1">
        <v>28</v>
      </c>
      <c r="BO440" s="1"/>
      <c r="BP440" s="1" t="str">
        <f>HYPERLINK("https://nconnect.nicmar.ac.in/storage/profile/ProfilePhoto_P25700394_167349.jpg","Download")</f>
        <v>0</v>
      </c>
      <c r="BQ440" s="3"/>
      <c r="BR440" s="3"/>
    </row>
    <row r="441" spans="1:70">
      <c r="A441" s="1" t="s">
        <v>70</v>
      </c>
      <c r="B441" s="1" t="s">
        <v>1269</v>
      </c>
      <c r="C441" s="1" t="s">
        <v>8491</v>
      </c>
      <c r="D441" s="1" t="s">
        <v>8492</v>
      </c>
      <c r="E441" s="1" t="s">
        <v>368</v>
      </c>
      <c r="F441" s="1" t="s">
        <v>4117</v>
      </c>
      <c r="G441" s="1" t="s">
        <v>8493</v>
      </c>
      <c r="H441" s="1" t="s">
        <v>8494</v>
      </c>
      <c r="I441" s="1" t="s">
        <v>8495</v>
      </c>
      <c r="J441" s="1">
        <v>7506570941</v>
      </c>
      <c r="K441" s="1" t="s">
        <v>79</v>
      </c>
      <c r="L441" s="1" t="s">
        <v>8496</v>
      </c>
      <c r="M441" s="1" t="s">
        <v>81</v>
      </c>
      <c r="N441" s="1" t="s">
        <v>860</v>
      </c>
      <c r="O441" s="1"/>
      <c r="P441" s="1" t="s">
        <v>1298</v>
      </c>
      <c r="Q441" s="1" t="s">
        <v>8497</v>
      </c>
      <c r="R441" s="1" t="s">
        <v>8498</v>
      </c>
      <c r="S441" s="1">
        <v>9930577125</v>
      </c>
      <c r="T441" s="1" t="s">
        <v>496</v>
      </c>
      <c r="U441" s="1" t="s">
        <v>8499</v>
      </c>
      <c r="V441" s="1">
        <v>8291997908</v>
      </c>
      <c r="W441" s="1" t="s">
        <v>156</v>
      </c>
      <c r="X441" s="1" t="s">
        <v>8500</v>
      </c>
      <c r="Y441" s="1" t="s">
        <v>1623</v>
      </c>
      <c r="Z441" s="1" t="s">
        <v>92</v>
      </c>
      <c r="AA441" s="1" t="s">
        <v>8500</v>
      </c>
      <c r="AB441" s="1" t="s">
        <v>1623</v>
      </c>
      <c r="AC441" s="1" t="s">
        <v>92</v>
      </c>
      <c r="AD441" s="1">
        <v>7.67</v>
      </c>
      <c r="AE441" s="1" t="s">
        <v>93</v>
      </c>
      <c r="AF441" s="1" t="s">
        <v>8501</v>
      </c>
      <c r="AG441" s="1" t="s">
        <v>8502</v>
      </c>
      <c r="AH441" s="1" t="s">
        <v>161</v>
      </c>
      <c r="AI441" s="1" t="s">
        <v>456</v>
      </c>
      <c r="AJ441" s="1">
        <v>60</v>
      </c>
      <c r="AK441" s="1"/>
      <c r="AL441" s="1"/>
      <c r="AM441" s="1"/>
      <c r="AN441" s="1"/>
      <c r="AO441" s="1"/>
      <c r="AP441" s="1"/>
      <c r="AQ441" s="1"/>
      <c r="AR441" s="1" t="s">
        <v>98</v>
      </c>
      <c r="AS441" s="1" t="s">
        <v>3050</v>
      </c>
      <c r="AT441" s="1" t="s">
        <v>134</v>
      </c>
      <c r="AU441" s="1" t="s">
        <v>170</v>
      </c>
      <c r="AV441" s="1">
        <v>80.06</v>
      </c>
      <c r="AW441" s="1"/>
      <c r="AX441" s="1" t="s">
        <v>1024</v>
      </c>
      <c r="AY441" s="1" t="s">
        <v>8503</v>
      </c>
      <c r="AZ441" s="1" t="s">
        <v>363</v>
      </c>
      <c r="BA441" s="1" t="s">
        <v>682</v>
      </c>
      <c r="BB441" s="1">
        <v>69.54</v>
      </c>
      <c r="BC441" s="1">
        <v>7.32</v>
      </c>
      <c r="BD441" s="1"/>
      <c r="BE441" s="1"/>
      <c r="BF441" s="1"/>
      <c r="BG441" s="1"/>
      <c r="BH441" s="1"/>
      <c r="BI441" s="1"/>
      <c r="BJ441" s="1" t="s">
        <v>4508</v>
      </c>
      <c r="BK441" s="1" t="s">
        <v>8504</v>
      </c>
      <c r="BL441" s="1" t="s">
        <v>1629</v>
      </c>
      <c r="BM441" s="1" t="s">
        <v>8505</v>
      </c>
      <c r="BN441" s="1">
        <v>8</v>
      </c>
      <c r="BO441" s="1"/>
      <c r="BP441" s="1" t="str">
        <f>HYPERLINK("https://nconnect.nicmar.ac.in/storage/profile/ProfilePhoto_P25700395_597218.jpg","Download")</f>
        <v>0</v>
      </c>
      <c r="BQ441" s="3"/>
      <c r="BR441" s="3"/>
    </row>
    <row r="442" spans="1:70">
      <c r="A442" s="1" t="s">
        <v>70</v>
      </c>
      <c r="B442" s="1" t="s">
        <v>1269</v>
      </c>
      <c r="C442" s="1" t="s">
        <v>8506</v>
      </c>
      <c r="D442" s="1" t="s">
        <v>8507</v>
      </c>
      <c r="E442" s="1" t="s">
        <v>5088</v>
      </c>
      <c r="F442" s="1" t="s">
        <v>8508</v>
      </c>
      <c r="G442" s="1" t="s">
        <v>8509</v>
      </c>
      <c r="H442" s="1" t="s">
        <v>8510</v>
      </c>
      <c r="I442" s="1" t="s">
        <v>8511</v>
      </c>
      <c r="J442" s="1">
        <v>7666829049</v>
      </c>
      <c r="K442" s="1" t="s">
        <v>79</v>
      </c>
      <c r="L442" s="1" t="s">
        <v>8512</v>
      </c>
      <c r="M442" s="1" t="s">
        <v>81</v>
      </c>
      <c r="N442" s="1" t="s">
        <v>8513</v>
      </c>
      <c r="O442" s="1"/>
      <c r="P442" s="1" t="s">
        <v>1298</v>
      </c>
      <c r="Q442" s="1" t="s">
        <v>8514</v>
      </c>
      <c r="R442" s="1" t="s">
        <v>8515</v>
      </c>
      <c r="S442" s="1">
        <v>9370789041</v>
      </c>
      <c r="T442" s="1" t="s">
        <v>8516</v>
      </c>
      <c r="U442" s="1" t="s">
        <v>8517</v>
      </c>
      <c r="V442" s="1">
        <v>9130823409</v>
      </c>
      <c r="W442" s="1" t="s">
        <v>156</v>
      </c>
      <c r="X442" s="1" t="s">
        <v>8518</v>
      </c>
      <c r="Y442" s="1" t="s">
        <v>6399</v>
      </c>
      <c r="Z442" s="1" t="s">
        <v>92</v>
      </c>
      <c r="AA442" s="1" t="s">
        <v>8518</v>
      </c>
      <c r="AB442" s="1" t="s">
        <v>6399</v>
      </c>
      <c r="AC442" s="1" t="s">
        <v>92</v>
      </c>
      <c r="AD442" s="1">
        <v>7.84</v>
      </c>
      <c r="AE442" s="1" t="s">
        <v>93</v>
      </c>
      <c r="AF442" s="1" t="s">
        <v>8519</v>
      </c>
      <c r="AG442" s="1" t="s">
        <v>1665</v>
      </c>
      <c r="AH442" s="1" t="s">
        <v>166</v>
      </c>
      <c r="AI442" s="1" t="s">
        <v>308</v>
      </c>
      <c r="AJ442" s="1">
        <v>70.8</v>
      </c>
      <c r="AK442" s="1">
        <v>7.45</v>
      </c>
      <c r="AL442" s="1"/>
      <c r="AM442" s="1"/>
      <c r="AN442" s="1"/>
      <c r="AO442" s="1"/>
      <c r="AP442" s="1"/>
      <c r="AQ442" s="1"/>
      <c r="AR442" s="1" t="s">
        <v>98</v>
      </c>
      <c r="AS442" s="1" t="s">
        <v>8520</v>
      </c>
      <c r="AT442" s="1" t="s">
        <v>310</v>
      </c>
      <c r="AU442" s="1" t="s">
        <v>481</v>
      </c>
      <c r="AV442" s="1">
        <v>85.11</v>
      </c>
      <c r="AW442" s="1"/>
      <c r="AX442" s="1" t="s">
        <v>8521</v>
      </c>
      <c r="AY442" s="1" t="s">
        <v>8522</v>
      </c>
      <c r="AZ442" s="1" t="s">
        <v>105</v>
      </c>
      <c r="BA442" s="1" t="s">
        <v>1361</v>
      </c>
      <c r="BB442" s="1">
        <v>73.8</v>
      </c>
      <c r="BC442" s="1">
        <v>7.77</v>
      </c>
      <c r="BD442" s="1"/>
      <c r="BE442" s="1"/>
      <c r="BF442" s="1"/>
      <c r="BG442" s="1"/>
      <c r="BH442" s="1"/>
      <c r="BI442" s="1"/>
      <c r="BJ442" s="1" t="s">
        <v>1383</v>
      </c>
      <c r="BK442" s="1"/>
      <c r="BL442" s="1"/>
      <c r="BM442" s="1" t="s">
        <v>8523</v>
      </c>
      <c r="BN442" s="1">
        <v>34</v>
      </c>
      <c r="BO442" s="1" t="s">
        <v>8524</v>
      </c>
      <c r="BP442" s="1" t="str">
        <f>HYPERLINK("https://nconnect.nicmar.ac.in/storage/profile/ProfilePhoto_P25700396_127438.jpg","Download")</f>
        <v>0</v>
      </c>
      <c r="BQ442" s="3"/>
      <c r="BR442" s="3"/>
    </row>
    <row r="443" spans="1:70">
      <c r="A443" s="1" t="s">
        <v>70</v>
      </c>
      <c r="B443" s="1" t="s">
        <v>1269</v>
      </c>
      <c r="C443" s="1" t="s">
        <v>8525</v>
      </c>
      <c r="D443" s="1" t="s">
        <v>6213</v>
      </c>
      <c r="E443" s="1" t="s">
        <v>1546</v>
      </c>
      <c r="F443" s="1" t="s">
        <v>8526</v>
      </c>
      <c r="G443" s="1" t="s">
        <v>8527</v>
      </c>
      <c r="H443" s="1" t="s">
        <v>8528</v>
      </c>
      <c r="I443" s="1" t="s">
        <v>8529</v>
      </c>
      <c r="J443" s="1">
        <v>8530265005</v>
      </c>
      <c r="K443" s="1" t="s">
        <v>79</v>
      </c>
      <c r="L443" s="1" t="s">
        <v>8530</v>
      </c>
      <c r="M443" s="1" t="s">
        <v>81</v>
      </c>
      <c r="N443" s="1" t="s">
        <v>8531</v>
      </c>
      <c r="O443" s="1"/>
      <c r="P443" s="1" t="s">
        <v>1278</v>
      </c>
      <c r="Q443" s="1" t="s">
        <v>8532</v>
      </c>
      <c r="R443" s="1" t="s">
        <v>8533</v>
      </c>
      <c r="S443" s="1">
        <v>9689052282</v>
      </c>
      <c r="T443" s="1" t="s">
        <v>8534</v>
      </c>
      <c r="U443" s="1" t="s">
        <v>8535</v>
      </c>
      <c r="V443" s="1">
        <v>8080699685</v>
      </c>
      <c r="W443" s="1" t="s">
        <v>156</v>
      </c>
      <c r="X443" s="1" t="s">
        <v>8536</v>
      </c>
      <c r="Y443" s="1" t="s">
        <v>191</v>
      </c>
      <c r="Z443" s="1" t="s">
        <v>92</v>
      </c>
      <c r="AA443" s="1" t="s">
        <v>8537</v>
      </c>
      <c r="AB443" s="1" t="s">
        <v>1018</v>
      </c>
      <c r="AC443" s="1" t="s">
        <v>92</v>
      </c>
      <c r="AD443" s="1">
        <v>8.2</v>
      </c>
      <c r="AE443" s="1" t="s">
        <v>93</v>
      </c>
      <c r="AF443" s="1" t="s">
        <v>8538</v>
      </c>
      <c r="AG443" s="1" t="s">
        <v>8539</v>
      </c>
      <c r="AH443" s="1" t="s">
        <v>162</v>
      </c>
      <c r="AI443" s="1" t="s">
        <v>165</v>
      </c>
      <c r="AJ443" s="1">
        <v>64.2</v>
      </c>
      <c r="AK443" s="1"/>
      <c r="AL443" s="1"/>
      <c r="AM443" s="1"/>
      <c r="AN443" s="1"/>
      <c r="AO443" s="1"/>
      <c r="AP443" s="1"/>
      <c r="AQ443" s="1"/>
      <c r="AR443" s="1" t="s">
        <v>98</v>
      </c>
      <c r="AS443" s="1" t="s">
        <v>8540</v>
      </c>
      <c r="AT443" s="1" t="s">
        <v>225</v>
      </c>
      <c r="AU443" s="1" t="s">
        <v>170</v>
      </c>
      <c r="AV443" s="1">
        <v>80.68</v>
      </c>
      <c r="AW443" s="1"/>
      <c r="AX443" s="1" t="s">
        <v>361</v>
      </c>
      <c r="AY443" s="1" t="s">
        <v>8541</v>
      </c>
      <c r="AZ443" s="1" t="s">
        <v>363</v>
      </c>
      <c r="BA443" s="1" t="s">
        <v>174</v>
      </c>
      <c r="BB443" s="1">
        <v>74.48</v>
      </c>
      <c r="BC443" s="1">
        <v>8.29</v>
      </c>
      <c r="BD443" s="1"/>
      <c r="BE443" s="1"/>
      <c r="BF443" s="1"/>
      <c r="BG443" s="1"/>
      <c r="BH443" s="1"/>
      <c r="BI443" s="1"/>
      <c r="BJ443" s="1" t="s">
        <v>8542</v>
      </c>
      <c r="BK443" s="1" t="s">
        <v>8543</v>
      </c>
      <c r="BL443" s="1" t="s">
        <v>1629</v>
      </c>
      <c r="BM443" s="1" t="s">
        <v>8544</v>
      </c>
      <c r="BN443" s="1">
        <v>15</v>
      </c>
      <c r="BO443" s="1" t="s">
        <v>8545</v>
      </c>
      <c r="BP443" s="1" t="str">
        <f>HYPERLINK("https://nconnect.nicmar.ac.in/storage/profile/ProfilePhoto_P25700397_947536.jpg","Download")</f>
        <v>0</v>
      </c>
      <c r="BQ443" s="3"/>
      <c r="BR443" s="3"/>
    </row>
    <row r="444" spans="1:70">
      <c r="A444" s="1" t="s">
        <v>70</v>
      </c>
      <c r="B444" s="1" t="s">
        <v>1269</v>
      </c>
      <c r="C444" s="1" t="s">
        <v>8546</v>
      </c>
      <c r="D444" s="1" t="s">
        <v>8547</v>
      </c>
      <c r="E444" s="1" t="s">
        <v>1465</v>
      </c>
      <c r="F444" s="1" t="s">
        <v>1546</v>
      </c>
      <c r="G444" s="1" t="s">
        <v>8548</v>
      </c>
      <c r="H444" s="1" t="s">
        <v>8549</v>
      </c>
      <c r="I444" s="1" t="s">
        <v>8550</v>
      </c>
      <c r="J444" s="1">
        <v>9307500543</v>
      </c>
      <c r="K444" s="1" t="s">
        <v>148</v>
      </c>
      <c r="L444" s="1" t="s">
        <v>8551</v>
      </c>
      <c r="M444" s="1" t="s">
        <v>81</v>
      </c>
      <c r="N444" s="1" t="s">
        <v>1765</v>
      </c>
      <c r="O444" s="1"/>
      <c r="P444" s="1" t="s">
        <v>1278</v>
      </c>
      <c r="Q444" s="1" t="s">
        <v>8552</v>
      </c>
      <c r="R444" s="1" t="s">
        <v>1546</v>
      </c>
      <c r="S444" s="1">
        <v>9423266066</v>
      </c>
      <c r="T444" s="1" t="s">
        <v>496</v>
      </c>
      <c r="U444" s="1" t="s">
        <v>8553</v>
      </c>
      <c r="V444" s="1">
        <v>9403492325</v>
      </c>
      <c r="W444" s="1" t="s">
        <v>156</v>
      </c>
      <c r="X444" s="1" t="s">
        <v>8554</v>
      </c>
      <c r="Y444" s="1" t="s">
        <v>191</v>
      </c>
      <c r="Z444" s="1" t="s">
        <v>92</v>
      </c>
      <c r="AA444" s="1" t="s">
        <v>8555</v>
      </c>
      <c r="AB444" s="1" t="s">
        <v>5840</v>
      </c>
      <c r="AC444" s="1" t="s">
        <v>92</v>
      </c>
      <c r="AD444" s="1">
        <v>8.85</v>
      </c>
      <c r="AE444" s="1" t="s">
        <v>93</v>
      </c>
      <c r="AF444" s="1" t="s">
        <v>8556</v>
      </c>
      <c r="AG444" s="1" t="s">
        <v>455</v>
      </c>
      <c r="AH444" s="1" t="s">
        <v>101</v>
      </c>
      <c r="AI444" s="1" t="s">
        <v>433</v>
      </c>
      <c r="AJ444" s="1">
        <v>86.8</v>
      </c>
      <c r="AK444" s="1"/>
      <c r="AL444" s="1"/>
      <c r="AM444" s="1"/>
      <c r="AN444" s="1"/>
      <c r="AO444" s="1"/>
      <c r="AP444" s="1"/>
      <c r="AQ444" s="1"/>
      <c r="AR444" s="1" t="s">
        <v>98</v>
      </c>
      <c r="AS444" s="1" t="s">
        <v>8557</v>
      </c>
      <c r="AT444" s="1" t="s">
        <v>201</v>
      </c>
      <c r="AU444" s="1" t="s">
        <v>105</v>
      </c>
      <c r="AV444" s="1">
        <v>88.2</v>
      </c>
      <c r="AW444" s="1"/>
      <c r="AX444" s="1" t="s">
        <v>361</v>
      </c>
      <c r="AY444" s="1" t="s">
        <v>7828</v>
      </c>
      <c r="AZ444" s="1" t="s">
        <v>2693</v>
      </c>
      <c r="BA444" s="1" t="s">
        <v>1714</v>
      </c>
      <c r="BB444" s="1">
        <v>79.16</v>
      </c>
      <c r="BC444" s="1">
        <v>8.68</v>
      </c>
      <c r="BD444" s="1"/>
      <c r="BE444" s="1"/>
      <c r="BF444" s="1"/>
      <c r="BG444" s="1"/>
      <c r="BH444" s="1"/>
      <c r="BI444" s="1"/>
      <c r="BJ444" s="1" t="s">
        <v>7948</v>
      </c>
      <c r="BK444" s="1"/>
      <c r="BL444" s="1"/>
      <c r="BM444" s="1" t="s">
        <v>8558</v>
      </c>
      <c r="BN444" s="1">
        <v>13</v>
      </c>
      <c r="BO444" s="1"/>
      <c r="BP444" s="1" t="str">
        <f>HYPERLINK("https://nconnect.nicmar.ac.in/storage/profile/ProfilePhoto_P25700398_439256.jpg","Download")</f>
        <v>0</v>
      </c>
      <c r="BQ444" s="3"/>
      <c r="BR444" s="3"/>
    </row>
    <row r="445" spans="1:70">
      <c r="A445" s="1" t="s">
        <v>70</v>
      </c>
      <c r="B445" s="1" t="s">
        <v>1269</v>
      </c>
      <c r="C445" s="1" t="s">
        <v>8559</v>
      </c>
      <c r="D445" s="1" t="s">
        <v>1316</v>
      </c>
      <c r="E445" s="1" t="s">
        <v>8560</v>
      </c>
      <c r="F445" s="1" t="s">
        <v>8561</v>
      </c>
      <c r="G445" s="1" t="s">
        <v>8562</v>
      </c>
      <c r="H445" s="1" t="s">
        <v>8563</v>
      </c>
      <c r="I445" s="1" t="s">
        <v>8564</v>
      </c>
      <c r="J445" s="1">
        <v>7899767043</v>
      </c>
      <c r="K445" s="1" t="s">
        <v>79</v>
      </c>
      <c r="L445" s="1" t="s">
        <v>8565</v>
      </c>
      <c r="M445" s="1" t="s">
        <v>81</v>
      </c>
      <c r="N445" s="1" t="s">
        <v>8566</v>
      </c>
      <c r="O445" s="1"/>
      <c r="P445" s="1" t="s">
        <v>1278</v>
      </c>
      <c r="Q445" s="1" t="s">
        <v>8567</v>
      </c>
      <c r="R445" s="1" t="s">
        <v>8568</v>
      </c>
      <c r="S445" s="1">
        <v>9945817044</v>
      </c>
      <c r="T445" s="1" t="s">
        <v>8569</v>
      </c>
      <c r="U445" s="1" t="s">
        <v>8570</v>
      </c>
      <c r="V445" s="1">
        <v>9008951479</v>
      </c>
      <c r="W445" s="1" t="s">
        <v>273</v>
      </c>
      <c r="X445" s="1" t="s">
        <v>8571</v>
      </c>
      <c r="Y445" s="1" t="s">
        <v>2747</v>
      </c>
      <c r="Z445" s="1" t="s">
        <v>1084</v>
      </c>
      <c r="AA445" s="1" t="s">
        <v>8571</v>
      </c>
      <c r="AB445" s="1" t="s">
        <v>2747</v>
      </c>
      <c r="AC445" s="1" t="s">
        <v>1084</v>
      </c>
      <c r="AD445" s="1">
        <v>8.49</v>
      </c>
      <c r="AE445" s="1" t="s">
        <v>93</v>
      </c>
      <c r="AF445" s="1" t="s">
        <v>8572</v>
      </c>
      <c r="AG445" s="1" t="s">
        <v>2749</v>
      </c>
      <c r="AH445" s="1" t="s">
        <v>101</v>
      </c>
      <c r="AI445" s="1" t="s">
        <v>1065</v>
      </c>
      <c r="AJ445" s="1">
        <v>78.4</v>
      </c>
      <c r="AK445" s="1"/>
      <c r="AL445" s="1"/>
      <c r="AM445" s="1"/>
      <c r="AN445" s="1"/>
      <c r="AO445" s="1"/>
      <c r="AP445" s="1"/>
      <c r="AQ445" s="1"/>
      <c r="AR445" s="1" t="s">
        <v>434</v>
      </c>
      <c r="AS445" s="1" t="s">
        <v>8573</v>
      </c>
      <c r="AT445" s="1" t="s">
        <v>433</v>
      </c>
      <c r="AU445" s="1" t="s">
        <v>575</v>
      </c>
      <c r="AV445" s="1">
        <v>78.43</v>
      </c>
      <c r="AW445" s="1"/>
      <c r="AX445" s="1" t="s">
        <v>1088</v>
      </c>
      <c r="AY445" s="1" t="s">
        <v>8574</v>
      </c>
      <c r="AZ445" s="1" t="s">
        <v>616</v>
      </c>
      <c r="BA445" s="1" t="s">
        <v>1361</v>
      </c>
      <c r="BB445" s="1">
        <v>80.6</v>
      </c>
      <c r="BC445" s="1">
        <v>8.06</v>
      </c>
      <c r="BD445" s="1"/>
      <c r="BE445" s="1"/>
      <c r="BF445" s="1"/>
      <c r="BG445" s="1"/>
      <c r="BH445" s="1"/>
      <c r="BI445" s="1"/>
      <c r="BJ445" s="1" t="s">
        <v>8575</v>
      </c>
      <c r="BK445" s="1"/>
      <c r="BL445" s="1"/>
      <c r="BM445" s="1" t="s">
        <v>8576</v>
      </c>
      <c r="BN445" s="1">
        <v>15</v>
      </c>
      <c r="BO445" s="1" t="s">
        <v>8577</v>
      </c>
      <c r="BP445" s="1" t="str">
        <f>HYPERLINK("https://nconnect.nicmar.ac.in/storage/profile/ProfilePhoto_P25700399_623841.jpg","Download")</f>
        <v>0</v>
      </c>
      <c r="BQ445" s="3"/>
      <c r="BR445" s="3"/>
    </row>
    <row r="446" spans="1:70">
      <c r="A446" s="1" t="s">
        <v>70</v>
      </c>
      <c r="B446" s="1" t="s">
        <v>1269</v>
      </c>
      <c r="C446" s="1" t="s">
        <v>8578</v>
      </c>
      <c r="D446" s="1" t="s">
        <v>8579</v>
      </c>
      <c r="E446" s="1" t="s">
        <v>8580</v>
      </c>
      <c r="F446" s="1" t="s">
        <v>756</v>
      </c>
      <c r="G446" s="1" t="s">
        <v>8581</v>
      </c>
      <c r="H446" s="1" t="s">
        <v>8582</v>
      </c>
      <c r="I446" s="1" t="s">
        <v>8583</v>
      </c>
      <c r="J446" s="1">
        <v>8698165098</v>
      </c>
      <c r="K446" s="1" t="s">
        <v>79</v>
      </c>
      <c r="L446" s="1" t="s">
        <v>8584</v>
      </c>
      <c r="M446" s="1" t="s">
        <v>81</v>
      </c>
      <c r="N446" s="1" t="s">
        <v>8166</v>
      </c>
      <c r="O446" s="1"/>
      <c r="P446" s="1" t="s">
        <v>1278</v>
      </c>
      <c r="Q446" s="1" t="s">
        <v>8585</v>
      </c>
      <c r="R446" s="1" t="s">
        <v>756</v>
      </c>
      <c r="S446" s="1">
        <v>9922671642</v>
      </c>
      <c r="T446" s="1" t="s">
        <v>5420</v>
      </c>
      <c r="U446" s="1" t="s">
        <v>755</v>
      </c>
      <c r="V446" s="1">
        <v>8669566807</v>
      </c>
      <c r="W446" s="1" t="s">
        <v>273</v>
      </c>
      <c r="X446" s="1" t="s">
        <v>8586</v>
      </c>
      <c r="Y446" s="1" t="s">
        <v>2790</v>
      </c>
      <c r="Z446" s="1" t="s">
        <v>92</v>
      </c>
      <c r="AA446" s="1" t="s">
        <v>8586</v>
      </c>
      <c r="AB446" s="1" t="s">
        <v>2790</v>
      </c>
      <c r="AC446" s="1" t="s">
        <v>92</v>
      </c>
      <c r="AD446" s="1">
        <v>7.93</v>
      </c>
      <c r="AE446" s="1" t="s">
        <v>93</v>
      </c>
      <c r="AF446" s="1" t="s">
        <v>8587</v>
      </c>
      <c r="AG446" s="1" t="s">
        <v>160</v>
      </c>
      <c r="AH446" s="1" t="s">
        <v>162</v>
      </c>
      <c r="AI446" s="1" t="s">
        <v>409</v>
      </c>
      <c r="AJ446" s="1">
        <v>68.2</v>
      </c>
      <c r="AK446" s="1"/>
      <c r="AL446" s="1"/>
      <c r="AM446" s="1"/>
      <c r="AN446" s="1"/>
      <c r="AO446" s="1"/>
      <c r="AP446" s="1"/>
      <c r="AQ446" s="1"/>
      <c r="AR446" s="1" t="s">
        <v>434</v>
      </c>
      <c r="AS446" s="1" t="s">
        <v>8588</v>
      </c>
      <c r="AT446" s="1" t="s">
        <v>201</v>
      </c>
      <c r="AU446" s="1" t="s">
        <v>105</v>
      </c>
      <c r="AV446" s="1">
        <v>84.7</v>
      </c>
      <c r="AW446" s="1"/>
      <c r="AX446" s="1" t="s">
        <v>8589</v>
      </c>
      <c r="AY446" s="1" t="s">
        <v>8590</v>
      </c>
      <c r="AZ446" s="1" t="s">
        <v>2693</v>
      </c>
      <c r="BA446" s="1" t="s">
        <v>1714</v>
      </c>
      <c r="BB446" s="1">
        <v>64.2</v>
      </c>
      <c r="BC446" s="1">
        <v>7.17</v>
      </c>
      <c r="BD446" s="1"/>
      <c r="BE446" s="1"/>
      <c r="BF446" s="1"/>
      <c r="BG446" s="1"/>
      <c r="BH446" s="1"/>
      <c r="BI446" s="1"/>
      <c r="BJ446" s="1" t="s">
        <v>7948</v>
      </c>
      <c r="BK446" s="1"/>
      <c r="BL446" s="1"/>
      <c r="BM446" s="1" t="s">
        <v>8591</v>
      </c>
      <c r="BN446" s="1">
        <v>12</v>
      </c>
      <c r="BO446" s="1"/>
      <c r="BP446" s="1" t="str">
        <f>HYPERLINK("https://nconnect.nicmar.ac.in/storage/profile/ProfilePhoto_P25700400_638452.jpg","Download")</f>
        <v>0</v>
      </c>
      <c r="BQ446" s="3"/>
      <c r="BR446" s="3"/>
    </row>
    <row r="447" spans="1:70">
      <c r="A447" s="1" t="s">
        <v>70</v>
      </c>
      <c r="B447" s="1" t="s">
        <v>1269</v>
      </c>
      <c r="C447" s="1" t="s">
        <v>8592</v>
      </c>
      <c r="D447" s="1" t="s">
        <v>8593</v>
      </c>
      <c r="E447" s="1" t="s">
        <v>513</v>
      </c>
      <c r="F447" s="1" t="s">
        <v>2024</v>
      </c>
      <c r="G447" s="1" t="s">
        <v>8594</v>
      </c>
      <c r="H447" s="1" t="s">
        <v>8595</v>
      </c>
      <c r="I447" s="1" t="s">
        <v>8596</v>
      </c>
      <c r="J447" s="1">
        <v>8484048841</v>
      </c>
      <c r="K447" s="1" t="s">
        <v>79</v>
      </c>
      <c r="L447" s="1" t="s">
        <v>8597</v>
      </c>
      <c r="M447" s="1" t="s">
        <v>81</v>
      </c>
      <c r="N447" s="1" t="s">
        <v>8598</v>
      </c>
      <c r="O447" s="1"/>
      <c r="P447" s="1" t="s">
        <v>1278</v>
      </c>
      <c r="Q447" s="1" t="s">
        <v>8599</v>
      </c>
      <c r="R447" s="1" t="s">
        <v>513</v>
      </c>
      <c r="S447" s="1">
        <v>9689268062</v>
      </c>
      <c r="T447" s="1" t="s">
        <v>8600</v>
      </c>
      <c r="U447" s="1" t="s">
        <v>8601</v>
      </c>
      <c r="V447" s="1">
        <v>7030575878</v>
      </c>
      <c r="W447" s="1" t="s">
        <v>8600</v>
      </c>
      <c r="X447" s="1" t="s">
        <v>8602</v>
      </c>
      <c r="Y447" s="1" t="s">
        <v>8603</v>
      </c>
      <c r="Z447" s="1" t="s">
        <v>92</v>
      </c>
      <c r="AA447" s="1" t="s">
        <v>8604</v>
      </c>
      <c r="AB447" s="1" t="s">
        <v>8603</v>
      </c>
      <c r="AC447" s="1" t="s">
        <v>92</v>
      </c>
      <c r="AD447" s="1">
        <v>7.87</v>
      </c>
      <c r="AE447" s="1" t="s">
        <v>93</v>
      </c>
      <c r="AF447" s="1" t="s">
        <v>8605</v>
      </c>
      <c r="AG447" s="1" t="s">
        <v>160</v>
      </c>
      <c r="AH447" s="1" t="s">
        <v>162</v>
      </c>
      <c r="AI447" s="1" t="s">
        <v>383</v>
      </c>
      <c r="AJ447" s="1">
        <v>92.4</v>
      </c>
      <c r="AK447" s="1"/>
      <c r="AL447" s="1" t="s">
        <v>8606</v>
      </c>
      <c r="AM447" s="1" t="s">
        <v>8066</v>
      </c>
      <c r="AN447" s="1" t="s">
        <v>636</v>
      </c>
      <c r="AO447" s="1" t="s">
        <v>310</v>
      </c>
      <c r="AP447" s="1">
        <v>71.08</v>
      </c>
      <c r="AQ447" s="1"/>
      <c r="AR447" s="1"/>
      <c r="AS447" s="1"/>
      <c r="AT447" s="1"/>
      <c r="AU447" s="1"/>
      <c r="AV447" s="1"/>
      <c r="AW447" s="1"/>
      <c r="AX447" s="1" t="s">
        <v>361</v>
      </c>
      <c r="AY447" s="1" t="s">
        <v>8607</v>
      </c>
      <c r="AZ447" s="1" t="s">
        <v>201</v>
      </c>
      <c r="BA447" s="1" t="s">
        <v>174</v>
      </c>
      <c r="BB447" s="1">
        <v>71.2</v>
      </c>
      <c r="BC447" s="1">
        <v>7.87</v>
      </c>
      <c r="BD447" s="1"/>
      <c r="BE447" s="1"/>
      <c r="BF447" s="1"/>
      <c r="BG447" s="1"/>
      <c r="BH447" s="1"/>
      <c r="BI447" s="1"/>
      <c r="BJ447" s="1" t="s">
        <v>8608</v>
      </c>
      <c r="BK447" s="1"/>
      <c r="BL447" s="1"/>
      <c r="BM447" s="1" t="s">
        <v>8609</v>
      </c>
      <c r="BN447" s="1">
        <v>43</v>
      </c>
      <c r="BO447" s="1" t="s">
        <v>8610</v>
      </c>
      <c r="BP447" s="1" t="str">
        <f>HYPERLINK("https://nconnect.nicmar.ac.in/storage/profile/ProfilePhoto_P25700401_764591.jpg","Download")</f>
        <v>0</v>
      </c>
      <c r="BQ447" s="3"/>
      <c r="BR447" s="3"/>
    </row>
    <row r="448" spans="1:70">
      <c r="A448" s="1" t="s">
        <v>70</v>
      </c>
      <c r="B448" s="1" t="s">
        <v>1269</v>
      </c>
      <c r="C448" s="1" t="s">
        <v>8611</v>
      </c>
      <c r="D448" s="1" t="s">
        <v>5471</v>
      </c>
      <c r="E448" s="1"/>
      <c r="F448" s="1" t="s">
        <v>835</v>
      </c>
      <c r="G448" s="1" t="s">
        <v>8612</v>
      </c>
      <c r="H448" s="1" t="s">
        <v>8613</v>
      </c>
      <c r="I448" s="1" t="s">
        <v>8614</v>
      </c>
      <c r="J448" s="1">
        <v>7302951885</v>
      </c>
      <c r="K448" s="1" t="s">
        <v>79</v>
      </c>
      <c r="L448" s="1" t="s">
        <v>8615</v>
      </c>
      <c r="M448" s="1" t="s">
        <v>81</v>
      </c>
      <c r="N448" s="1" t="s">
        <v>82</v>
      </c>
      <c r="O448" s="1"/>
      <c r="P448" s="1" t="s">
        <v>1766</v>
      </c>
      <c r="Q448" s="1" t="s">
        <v>8616</v>
      </c>
      <c r="R448" s="1" t="s">
        <v>8617</v>
      </c>
      <c r="S448" s="1">
        <v>9634332185</v>
      </c>
      <c r="T448" s="1" t="s">
        <v>1351</v>
      </c>
      <c r="U448" s="1" t="s">
        <v>8618</v>
      </c>
      <c r="V448" s="1">
        <v>8266970780</v>
      </c>
      <c r="W448" s="1" t="s">
        <v>156</v>
      </c>
      <c r="X448" s="1" t="s">
        <v>8619</v>
      </c>
      <c r="Y448" s="1" t="s">
        <v>8620</v>
      </c>
      <c r="Z448" s="1" t="s">
        <v>8621</v>
      </c>
      <c r="AA448" s="1" t="s">
        <v>8619</v>
      </c>
      <c r="AB448" s="1" t="s">
        <v>8620</v>
      </c>
      <c r="AC448" s="1" t="s">
        <v>8621</v>
      </c>
      <c r="AD448" s="1">
        <v>8.38</v>
      </c>
      <c r="AE448" s="1" t="s">
        <v>93</v>
      </c>
      <c r="AF448" s="1" t="s">
        <v>8622</v>
      </c>
      <c r="AG448" s="1" t="s">
        <v>8623</v>
      </c>
      <c r="AH448" s="1" t="s">
        <v>678</v>
      </c>
      <c r="AI448" s="1" t="s">
        <v>166</v>
      </c>
      <c r="AJ448" s="1">
        <v>77</v>
      </c>
      <c r="AK448" s="1"/>
      <c r="AL448" s="1" t="s">
        <v>8622</v>
      </c>
      <c r="AM448" s="1" t="s">
        <v>8623</v>
      </c>
      <c r="AN448" s="1" t="s">
        <v>1065</v>
      </c>
      <c r="AO448" s="1" t="s">
        <v>173</v>
      </c>
      <c r="AP448" s="1">
        <v>77</v>
      </c>
      <c r="AQ448" s="1"/>
      <c r="AR448" s="1"/>
      <c r="AS448" s="1"/>
      <c r="AT448" s="1"/>
      <c r="AU448" s="1"/>
      <c r="AV448" s="1"/>
      <c r="AW448" s="1"/>
      <c r="AX448" s="1" t="s">
        <v>8624</v>
      </c>
      <c r="AY448" s="1" t="s">
        <v>8625</v>
      </c>
      <c r="AZ448" s="1" t="s">
        <v>920</v>
      </c>
      <c r="BA448" s="1" t="s">
        <v>1939</v>
      </c>
      <c r="BB448" s="1">
        <v>73.47</v>
      </c>
      <c r="BC448" s="1"/>
      <c r="BD448" s="1"/>
      <c r="BE448" s="1"/>
      <c r="BF448" s="1"/>
      <c r="BG448" s="1"/>
      <c r="BH448" s="1"/>
      <c r="BI448" s="1"/>
      <c r="BJ448" s="1" t="s">
        <v>8626</v>
      </c>
      <c r="BK448" s="1"/>
      <c r="BL448" s="1"/>
      <c r="BM448" s="1" t="s">
        <v>8627</v>
      </c>
      <c r="BN448" s="1">
        <v>17</v>
      </c>
      <c r="BO448" s="1" t="s">
        <v>8628</v>
      </c>
      <c r="BP448" s="1" t="str">
        <f>HYPERLINK("https://nconnect.nicmar.ac.in/storage/profile/ProfilePhoto_P25700402_718253.jpg","Download")</f>
        <v>0</v>
      </c>
      <c r="BQ448" s="3"/>
      <c r="BR448" s="3"/>
    </row>
    <row r="449" spans="1:70">
      <c r="A449" s="1" t="s">
        <v>70</v>
      </c>
      <c r="B449" s="1" t="s">
        <v>1269</v>
      </c>
      <c r="C449" s="1" t="s">
        <v>8629</v>
      </c>
      <c r="D449" s="1" t="s">
        <v>7993</v>
      </c>
      <c r="E449" s="1"/>
      <c r="F449" s="1" t="s">
        <v>8630</v>
      </c>
      <c r="G449" s="1" t="s">
        <v>8631</v>
      </c>
      <c r="H449" s="1" t="s">
        <v>8632</v>
      </c>
      <c r="I449" s="1" t="s">
        <v>8633</v>
      </c>
      <c r="J449" s="1">
        <v>8085725222</v>
      </c>
      <c r="K449" s="1" t="s">
        <v>79</v>
      </c>
      <c r="L449" s="1" t="s">
        <v>8634</v>
      </c>
      <c r="M449" s="1" t="s">
        <v>81</v>
      </c>
      <c r="N449" s="1" t="s">
        <v>8635</v>
      </c>
      <c r="O449" s="1"/>
      <c r="P449" s="1" t="s">
        <v>1278</v>
      </c>
      <c r="Q449" s="1" t="s">
        <v>8636</v>
      </c>
      <c r="R449" s="1" t="s">
        <v>8637</v>
      </c>
      <c r="S449" s="1">
        <v>9826289522</v>
      </c>
      <c r="T449" s="1" t="s">
        <v>496</v>
      </c>
      <c r="U449" s="1" t="s">
        <v>8638</v>
      </c>
      <c r="V449" s="1">
        <v>9826557992</v>
      </c>
      <c r="W449" s="1" t="s">
        <v>156</v>
      </c>
      <c r="X449" s="1" t="s">
        <v>8639</v>
      </c>
      <c r="Y449" s="1" t="s">
        <v>935</v>
      </c>
      <c r="Z449" s="1" t="s">
        <v>936</v>
      </c>
      <c r="AA449" s="1" t="s">
        <v>8639</v>
      </c>
      <c r="AB449" s="1" t="s">
        <v>935</v>
      </c>
      <c r="AC449" s="1" t="s">
        <v>936</v>
      </c>
      <c r="AD449" s="1">
        <v>8.59</v>
      </c>
      <c r="AE449" s="1" t="s">
        <v>93</v>
      </c>
      <c r="AF449" s="1" t="s">
        <v>8640</v>
      </c>
      <c r="AG449" s="1" t="s">
        <v>8641</v>
      </c>
      <c r="AH449" s="1" t="s">
        <v>1307</v>
      </c>
      <c r="AI449" s="1" t="s">
        <v>308</v>
      </c>
      <c r="AJ449" s="1">
        <v>82.4</v>
      </c>
      <c r="AK449" s="1">
        <v>8.67</v>
      </c>
      <c r="AL449" s="1" t="s">
        <v>8640</v>
      </c>
      <c r="AM449" s="1" t="s">
        <v>8641</v>
      </c>
      <c r="AN449" s="1" t="s">
        <v>1834</v>
      </c>
      <c r="AO449" s="1" t="s">
        <v>506</v>
      </c>
      <c r="AP449" s="1">
        <v>91.2</v>
      </c>
      <c r="AQ449" s="1">
        <v>9.6</v>
      </c>
      <c r="AR449" s="1"/>
      <c r="AS449" s="1"/>
      <c r="AT449" s="1"/>
      <c r="AU449" s="1"/>
      <c r="AV449" s="1"/>
      <c r="AW449" s="1"/>
      <c r="AX449" s="1" t="s">
        <v>8642</v>
      </c>
      <c r="AY449" s="1" t="s">
        <v>8643</v>
      </c>
      <c r="AZ449" s="1" t="s">
        <v>897</v>
      </c>
      <c r="BA449" s="1" t="s">
        <v>1714</v>
      </c>
      <c r="BB449" s="1">
        <v>82.36</v>
      </c>
      <c r="BC449" s="1">
        <v>8.67</v>
      </c>
      <c r="BD449" s="1"/>
      <c r="BE449" s="1"/>
      <c r="BF449" s="1"/>
      <c r="BG449" s="1"/>
      <c r="BH449" s="1"/>
      <c r="BI449" s="1"/>
      <c r="BJ449" s="1" t="s">
        <v>8644</v>
      </c>
      <c r="BK449" s="1"/>
      <c r="BL449" s="1"/>
      <c r="BM449" s="1" t="s">
        <v>8645</v>
      </c>
      <c r="BN449" s="1">
        <v>15</v>
      </c>
      <c r="BO449" s="1" t="s">
        <v>8646</v>
      </c>
      <c r="BP449" s="1" t="str">
        <f>HYPERLINK("https://nconnect.nicmar.ac.in/storage/profile/ProfilePhoto_P25700403_273965.jpg","Download")</f>
        <v>0</v>
      </c>
      <c r="BQ449" s="3"/>
      <c r="BR449" s="3"/>
    </row>
    <row r="450" spans="1:70">
      <c r="A450" s="1" t="s">
        <v>70</v>
      </c>
      <c r="B450" s="1" t="s">
        <v>1269</v>
      </c>
      <c r="C450" s="1" t="s">
        <v>8647</v>
      </c>
      <c r="D450" s="1" t="s">
        <v>8648</v>
      </c>
      <c r="E450" s="1" t="s">
        <v>1566</v>
      </c>
      <c r="F450" s="1" t="s">
        <v>8649</v>
      </c>
      <c r="G450" s="1" t="s">
        <v>8650</v>
      </c>
      <c r="H450" s="1" t="s">
        <v>8651</v>
      </c>
      <c r="I450" s="1" t="s">
        <v>8652</v>
      </c>
      <c r="J450" s="1">
        <v>9823574514</v>
      </c>
      <c r="K450" s="1" t="s">
        <v>79</v>
      </c>
      <c r="L450" s="1" t="s">
        <v>8653</v>
      </c>
      <c r="M450" s="1" t="s">
        <v>81</v>
      </c>
      <c r="N450" s="1" t="s">
        <v>1418</v>
      </c>
      <c r="O450" s="1"/>
      <c r="P450" s="1" t="s">
        <v>1766</v>
      </c>
      <c r="Q450" s="1" t="s">
        <v>8654</v>
      </c>
      <c r="R450" s="1" t="s">
        <v>8655</v>
      </c>
      <c r="S450" s="1">
        <v>9823594114</v>
      </c>
      <c r="T450" s="1" t="s">
        <v>2926</v>
      </c>
      <c r="U450" s="1" t="s">
        <v>8656</v>
      </c>
      <c r="V450" s="1">
        <v>9022477348</v>
      </c>
      <c r="W450" s="1" t="s">
        <v>89</v>
      </c>
      <c r="X450" s="1" t="s">
        <v>8657</v>
      </c>
      <c r="Y450" s="1" t="s">
        <v>91</v>
      </c>
      <c r="Z450" s="1" t="s">
        <v>92</v>
      </c>
      <c r="AA450" s="1" t="s">
        <v>8657</v>
      </c>
      <c r="AB450" s="1" t="s">
        <v>91</v>
      </c>
      <c r="AC450" s="1" t="s">
        <v>92</v>
      </c>
      <c r="AD450" s="1">
        <v>7.69</v>
      </c>
      <c r="AE450" s="1" t="s">
        <v>93</v>
      </c>
      <c r="AF450" s="1" t="s">
        <v>1832</v>
      </c>
      <c r="AG450" s="1" t="s">
        <v>8658</v>
      </c>
      <c r="AH450" s="1" t="s">
        <v>8032</v>
      </c>
      <c r="AI450" s="1" t="s">
        <v>101</v>
      </c>
      <c r="AJ450" s="1">
        <v>69.83</v>
      </c>
      <c r="AK450" s="1"/>
      <c r="AL450" s="1" t="s">
        <v>8659</v>
      </c>
      <c r="AM450" s="1" t="s">
        <v>160</v>
      </c>
      <c r="AN450" s="1" t="s">
        <v>101</v>
      </c>
      <c r="AO450" s="1" t="s">
        <v>699</v>
      </c>
      <c r="AP450" s="1">
        <v>62.31</v>
      </c>
      <c r="AQ450" s="1"/>
      <c r="AR450" s="1"/>
      <c r="AS450" s="1"/>
      <c r="AT450" s="1"/>
      <c r="AU450" s="1"/>
      <c r="AV450" s="1"/>
      <c r="AW450" s="1"/>
      <c r="AX450" s="1" t="s">
        <v>102</v>
      </c>
      <c r="AY450" s="1" t="s">
        <v>8660</v>
      </c>
      <c r="AZ450" s="1" t="s">
        <v>363</v>
      </c>
      <c r="BA450" s="1" t="s">
        <v>1939</v>
      </c>
      <c r="BB450" s="1">
        <v>64.5</v>
      </c>
      <c r="BC450" s="1">
        <v>6.95</v>
      </c>
      <c r="BD450" s="1"/>
      <c r="BE450" s="1"/>
      <c r="BF450" s="1"/>
      <c r="BG450" s="1"/>
      <c r="BH450" s="1"/>
      <c r="BI450" s="1"/>
      <c r="BJ450" s="1" t="s">
        <v>1383</v>
      </c>
      <c r="BK450" s="1"/>
      <c r="BL450" s="1"/>
      <c r="BM450" s="1" t="s">
        <v>8661</v>
      </c>
      <c r="BN450" s="1">
        <v>21</v>
      </c>
      <c r="BO450" s="1" t="s">
        <v>1715</v>
      </c>
      <c r="BP450" s="1" t="str">
        <f>HYPERLINK("https://nconnect.nicmar.ac.in/storage/profile/ProfilePhoto_P25700404_821954.jpg","Download")</f>
        <v>0</v>
      </c>
      <c r="BQ450" s="3"/>
      <c r="BR450" s="3"/>
    </row>
    <row r="451" spans="1:70">
      <c r="A451" s="1" t="s">
        <v>70</v>
      </c>
      <c r="B451" s="1" t="s">
        <v>1269</v>
      </c>
      <c r="C451" s="1" t="s">
        <v>8662</v>
      </c>
      <c r="D451" s="1" t="s">
        <v>8663</v>
      </c>
      <c r="E451" s="1"/>
      <c r="F451" s="1" t="s">
        <v>8664</v>
      </c>
      <c r="G451" s="1" t="s">
        <v>8665</v>
      </c>
      <c r="H451" s="1" t="s">
        <v>8666</v>
      </c>
      <c r="I451" s="1" t="s">
        <v>8667</v>
      </c>
      <c r="J451" s="1">
        <v>8891658174</v>
      </c>
      <c r="K451" s="1" t="s">
        <v>148</v>
      </c>
      <c r="L451" s="1" t="s">
        <v>8668</v>
      </c>
      <c r="M451" s="1" t="s">
        <v>81</v>
      </c>
      <c r="N451" s="1" t="s">
        <v>7761</v>
      </c>
      <c r="O451" s="1"/>
      <c r="P451" s="1" t="s">
        <v>1278</v>
      </c>
      <c r="Q451" s="1" t="s">
        <v>8669</v>
      </c>
      <c r="R451" s="1" t="s">
        <v>8670</v>
      </c>
      <c r="S451" s="1">
        <v>9567129624</v>
      </c>
      <c r="T451" s="1" t="s">
        <v>8671</v>
      </c>
      <c r="U451" s="1" t="s">
        <v>8672</v>
      </c>
      <c r="V451" s="1">
        <v>9446748024</v>
      </c>
      <c r="W451" s="1" t="s">
        <v>651</v>
      </c>
      <c r="X451" s="1" t="s">
        <v>8673</v>
      </c>
      <c r="Y451" s="1" t="s">
        <v>1491</v>
      </c>
      <c r="Z451" s="1" t="s">
        <v>125</v>
      </c>
      <c r="AA451" s="1" t="s">
        <v>8673</v>
      </c>
      <c r="AB451" s="1" t="s">
        <v>1491</v>
      </c>
      <c r="AC451" s="1" t="s">
        <v>125</v>
      </c>
      <c r="AD451" s="1">
        <v>8.05</v>
      </c>
      <c r="AE451" s="1" t="s">
        <v>93</v>
      </c>
      <c r="AF451" s="1" t="s">
        <v>8674</v>
      </c>
      <c r="AG451" s="1" t="s">
        <v>8675</v>
      </c>
      <c r="AH451" s="1" t="s">
        <v>101</v>
      </c>
      <c r="AI451" s="1" t="s">
        <v>308</v>
      </c>
      <c r="AJ451" s="1">
        <v>81.8</v>
      </c>
      <c r="AK451" s="1"/>
      <c r="AL451" s="1" t="s">
        <v>8676</v>
      </c>
      <c r="AM451" s="1" t="s">
        <v>6706</v>
      </c>
      <c r="AN451" s="1" t="s">
        <v>433</v>
      </c>
      <c r="AO451" s="1" t="s">
        <v>506</v>
      </c>
      <c r="AP451" s="1">
        <v>86.41</v>
      </c>
      <c r="AQ451" s="1"/>
      <c r="AR451" s="1"/>
      <c r="AS451" s="1"/>
      <c r="AT451" s="1"/>
      <c r="AU451" s="1"/>
      <c r="AV451" s="1"/>
      <c r="AW451" s="1"/>
      <c r="AX451" s="1" t="s">
        <v>132</v>
      </c>
      <c r="AY451" s="1" t="s">
        <v>8677</v>
      </c>
      <c r="AZ451" s="1" t="s">
        <v>3088</v>
      </c>
      <c r="BA451" s="1" t="s">
        <v>1408</v>
      </c>
      <c r="BB451" s="1">
        <v>71.7</v>
      </c>
      <c r="BC451" s="1">
        <v>7.17</v>
      </c>
      <c r="BD451" s="1"/>
      <c r="BE451" s="1"/>
      <c r="BF451" s="1"/>
      <c r="BG451" s="1"/>
      <c r="BH451" s="1"/>
      <c r="BI451" s="1"/>
      <c r="BJ451" s="1" t="s">
        <v>8678</v>
      </c>
      <c r="BK451" s="1"/>
      <c r="BL451" s="1"/>
      <c r="BM451" s="1" t="s">
        <v>8679</v>
      </c>
      <c r="BN451" s="1">
        <v>8</v>
      </c>
      <c r="BO451" s="1"/>
      <c r="BP451" s="1" t="str">
        <f>HYPERLINK("https://nconnect.nicmar.ac.in/storage/profile/ProfilePhoto_P25700405_326714.jpg","Download")</f>
        <v>0</v>
      </c>
      <c r="BQ451" s="3"/>
      <c r="BR451" s="3"/>
    </row>
    <row r="452" spans="1:70">
      <c r="A452" s="1" t="s">
        <v>70</v>
      </c>
      <c r="B452" s="1" t="s">
        <v>1269</v>
      </c>
      <c r="C452" s="1" t="s">
        <v>8680</v>
      </c>
      <c r="D452" s="1" t="s">
        <v>8681</v>
      </c>
      <c r="E452" s="1"/>
      <c r="F452" s="1" t="s">
        <v>8682</v>
      </c>
      <c r="G452" s="1" t="s">
        <v>8683</v>
      </c>
      <c r="H452" s="1" t="s">
        <v>8684</v>
      </c>
      <c r="I452" s="1" t="s">
        <v>8685</v>
      </c>
      <c r="J452" s="1">
        <v>7024932567</v>
      </c>
      <c r="K452" s="1" t="s">
        <v>79</v>
      </c>
      <c r="L452" s="1" t="s">
        <v>8686</v>
      </c>
      <c r="M452" s="1" t="s">
        <v>81</v>
      </c>
      <c r="N452" s="1" t="s">
        <v>7112</v>
      </c>
      <c r="O452" s="1"/>
      <c r="P452" s="1" t="s">
        <v>1278</v>
      </c>
      <c r="Q452" s="1" t="s">
        <v>8687</v>
      </c>
      <c r="R452" s="1" t="s">
        <v>8688</v>
      </c>
      <c r="S452" s="1">
        <v>9993191567</v>
      </c>
      <c r="T452" s="1" t="s">
        <v>154</v>
      </c>
      <c r="U452" s="1" t="s">
        <v>8689</v>
      </c>
      <c r="V452" s="1">
        <v>6263883748</v>
      </c>
      <c r="W452" s="1" t="s">
        <v>156</v>
      </c>
      <c r="X452" s="1" t="s">
        <v>8690</v>
      </c>
      <c r="Y452" s="1" t="s">
        <v>8691</v>
      </c>
      <c r="Z452" s="1" t="s">
        <v>936</v>
      </c>
      <c r="AA452" s="1" t="s">
        <v>8692</v>
      </c>
      <c r="AB452" s="1" t="s">
        <v>8691</v>
      </c>
      <c r="AC452" s="1" t="s">
        <v>936</v>
      </c>
      <c r="AD452" s="1">
        <v>8.1</v>
      </c>
      <c r="AE452" s="1" t="s">
        <v>93</v>
      </c>
      <c r="AF452" s="1" t="s">
        <v>8693</v>
      </c>
      <c r="AG452" s="1" t="s">
        <v>8694</v>
      </c>
      <c r="AH452" s="1" t="s">
        <v>1667</v>
      </c>
      <c r="AI452" s="1" t="s">
        <v>131</v>
      </c>
      <c r="AJ452" s="1">
        <v>81.7</v>
      </c>
      <c r="AK452" s="1">
        <v>8.6</v>
      </c>
      <c r="AL452" s="1" t="s">
        <v>8695</v>
      </c>
      <c r="AM452" s="1" t="s">
        <v>8696</v>
      </c>
      <c r="AN452" s="1" t="s">
        <v>456</v>
      </c>
      <c r="AO452" s="1" t="s">
        <v>195</v>
      </c>
      <c r="AP452" s="1">
        <v>82</v>
      </c>
      <c r="AQ452" s="1"/>
      <c r="AR452" s="1"/>
      <c r="AS452" s="1"/>
      <c r="AT452" s="1"/>
      <c r="AU452" s="1"/>
      <c r="AV452" s="1"/>
      <c r="AW452" s="1"/>
      <c r="AX452" s="1" t="s">
        <v>410</v>
      </c>
      <c r="AY452" s="1" t="s">
        <v>8697</v>
      </c>
      <c r="AZ452" s="1" t="s">
        <v>225</v>
      </c>
      <c r="BA452" s="1" t="s">
        <v>1712</v>
      </c>
      <c r="BB452" s="1">
        <v>62.2</v>
      </c>
      <c r="BC452" s="1">
        <v>6.97</v>
      </c>
      <c r="BD452" s="1"/>
      <c r="BE452" s="1"/>
      <c r="BF452" s="1"/>
      <c r="BG452" s="1"/>
      <c r="BH452" s="1"/>
      <c r="BI452" s="1"/>
      <c r="BJ452" s="1" t="s">
        <v>8698</v>
      </c>
      <c r="BK452" s="1" t="s">
        <v>8699</v>
      </c>
      <c r="BL452" s="1" t="s">
        <v>8700</v>
      </c>
      <c r="BM452" s="1" t="s">
        <v>8701</v>
      </c>
      <c r="BN452" s="1">
        <v>8</v>
      </c>
      <c r="BO452" s="1" t="s">
        <v>8702</v>
      </c>
      <c r="BP452" s="1" t="str">
        <f>HYPERLINK("https://nconnect.nicmar.ac.in/storage/profile/ProfilePhoto_P25700406_627149.jpg","Download")</f>
        <v>0</v>
      </c>
      <c r="BQ452" s="3"/>
      <c r="BR452" s="3"/>
    </row>
    <row r="453" spans="1:70">
      <c r="A453" s="1" t="s">
        <v>70</v>
      </c>
      <c r="B453" s="1" t="s">
        <v>1269</v>
      </c>
      <c r="C453" s="1" t="s">
        <v>8703</v>
      </c>
      <c r="D453" s="1" t="s">
        <v>8704</v>
      </c>
      <c r="E453" s="1" t="s">
        <v>8705</v>
      </c>
      <c r="F453" s="1" t="s">
        <v>111</v>
      </c>
      <c r="G453" s="1" t="s">
        <v>8706</v>
      </c>
      <c r="H453" s="1" t="s">
        <v>8707</v>
      </c>
      <c r="I453" s="1" t="s">
        <v>8708</v>
      </c>
      <c r="J453" s="1">
        <v>7904240080</v>
      </c>
      <c r="K453" s="1" t="s">
        <v>79</v>
      </c>
      <c r="L453" s="1" t="s">
        <v>8709</v>
      </c>
      <c r="M453" s="1" t="s">
        <v>81</v>
      </c>
      <c r="N453" s="1" t="s">
        <v>8710</v>
      </c>
      <c r="O453" s="1"/>
      <c r="P453" s="1" t="s">
        <v>1462</v>
      </c>
      <c r="Q453" s="1" t="s">
        <v>8711</v>
      </c>
      <c r="R453" s="1" t="s">
        <v>8712</v>
      </c>
      <c r="S453" s="1">
        <v>9486953457</v>
      </c>
      <c r="T453" s="1" t="s">
        <v>8713</v>
      </c>
      <c r="U453" s="1" t="s">
        <v>8714</v>
      </c>
      <c r="V453" s="1">
        <v>9486971574</v>
      </c>
      <c r="W453" s="1" t="s">
        <v>122</v>
      </c>
      <c r="X453" s="1" t="s">
        <v>8715</v>
      </c>
      <c r="Y453" s="1" t="s">
        <v>2669</v>
      </c>
      <c r="Z453" s="1" t="s">
        <v>1377</v>
      </c>
      <c r="AA453" s="1" t="s">
        <v>8715</v>
      </c>
      <c r="AB453" s="1" t="s">
        <v>2669</v>
      </c>
      <c r="AC453" s="1" t="s">
        <v>1377</v>
      </c>
      <c r="AD453" s="1" t="s">
        <v>93</v>
      </c>
      <c r="AE453" s="1" t="s">
        <v>93</v>
      </c>
      <c r="AF453" s="1" t="s">
        <v>8716</v>
      </c>
      <c r="AG453" s="1" t="s">
        <v>8717</v>
      </c>
      <c r="AH453" s="1" t="s">
        <v>678</v>
      </c>
      <c r="AI453" s="1" t="s">
        <v>281</v>
      </c>
      <c r="AJ453" s="1">
        <v>81</v>
      </c>
      <c r="AK453" s="1"/>
      <c r="AL453" s="1" t="s">
        <v>8716</v>
      </c>
      <c r="AM453" s="1" t="s">
        <v>8717</v>
      </c>
      <c r="AN453" s="1" t="s">
        <v>1065</v>
      </c>
      <c r="AO453" s="1" t="s">
        <v>941</v>
      </c>
      <c r="AP453" s="1">
        <v>82.6</v>
      </c>
      <c r="AQ453" s="1"/>
      <c r="AR453" s="1"/>
      <c r="AS453" s="1"/>
      <c r="AT453" s="1"/>
      <c r="AU453" s="1"/>
      <c r="AV453" s="1"/>
      <c r="AW453" s="1"/>
      <c r="AX453" s="1" t="s">
        <v>8718</v>
      </c>
      <c r="AY453" s="1" t="s">
        <v>8719</v>
      </c>
      <c r="AZ453" s="1" t="s">
        <v>1834</v>
      </c>
      <c r="BA453" s="1" t="s">
        <v>702</v>
      </c>
      <c r="BB453" s="1">
        <v>81.6</v>
      </c>
      <c r="BC453" s="1">
        <v>8.16</v>
      </c>
      <c r="BD453" s="1"/>
      <c r="BE453" s="1"/>
      <c r="BF453" s="1"/>
      <c r="BG453" s="1"/>
      <c r="BH453" s="1"/>
      <c r="BI453" s="1"/>
      <c r="BJ453" s="1" t="s">
        <v>8720</v>
      </c>
      <c r="BK453" s="1"/>
      <c r="BL453" s="1"/>
      <c r="BM453" s="1" t="s">
        <v>8721</v>
      </c>
      <c r="BN453" s="1">
        <v>38</v>
      </c>
      <c r="BO453" s="1" t="s">
        <v>8722</v>
      </c>
      <c r="BP453" s="1" t="str">
        <f>HYPERLINK("https://nconnect.nicmar.ac.in/storage/profile/ProfilePhoto_P25700408_658397.jpg","Download")</f>
        <v>0</v>
      </c>
      <c r="BQ453" s="3"/>
      <c r="BR453" s="3"/>
    </row>
    <row r="454" spans="1:70">
      <c r="A454" s="1" t="s">
        <v>70</v>
      </c>
      <c r="B454" s="1" t="s">
        <v>1269</v>
      </c>
      <c r="C454" s="1" t="s">
        <v>8723</v>
      </c>
      <c r="D454" s="1" t="s">
        <v>8724</v>
      </c>
      <c r="E454" s="1" t="s">
        <v>8725</v>
      </c>
      <c r="F454" s="1" t="s">
        <v>2024</v>
      </c>
      <c r="G454" s="1" t="s">
        <v>8726</v>
      </c>
      <c r="H454" s="1" t="s">
        <v>8727</v>
      </c>
      <c r="I454" s="1" t="s">
        <v>8728</v>
      </c>
      <c r="J454" s="1">
        <v>9324590042</v>
      </c>
      <c r="K454" s="1" t="s">
        <v>79</v>
      </c>
      <c r="L454" s="1" t="s">
        <v>7506</v>
      </c>
      <c r="M454" s="1" t="s">
        <v>81</v>
      </c>
      <c r="N454" s="1" t="s">
        <v>1618</v>
      </c>
      <c r="O454" s="1"/>
      <c r="P454" s="1" t="s">
        <v>1323</v>
      </c>
      <c r="Q454" s="1" t="s">
        <v>8729</v>
      </c>
      <c r="R454" s="1" t="s">
        <v>8730</v>
      </c>
      <c r="S454" s="1">
        <v>8928000737</v>
      </c>
      <c r="T454" s="1" t="s">
        <v>87</v>
      </c>
      <c r="U454" s="1" t="s">
        <v>8731</v>
      </c>
      <c r="V454" s="1">
        <v>7666007593</v>
      </c>
      <c r="W454" s="1" t="s">
        <v>156</v>
      </c>
      <c r="X454" s="1" t="s">
        <v>8732</v>
      </c>
      <c r="Y454" s="1" t="s">
        <v>766</v>
      </c>
      <c r="Z454" s="1" t="s">
        <v>92</v>
      </c>
      <c r="AA454" s="1" t="s">
        <v>8732</v>
      </c>
      <c r="AB454" s="1" t="s">
        <v>766</v>
      </c>
      <c r="AC454" s="1" t="s">
        <v>92</v>
      </c>
      <c r="AD454" s="1">
        <v>8.64</v>
      </c>
      <c r="AE454" s="1" t="s">
        <v>93</v>
      </c>
      <c r="AF454" s="1" t="s">
        <v>8733</v>
      </c>
      <c r="AG454" s="1" t="s">
        <v>8734</v>
      </c>
      <c r="AH454" s="1" t="s">
        <v>101</v>
      </c>
      <c r="AI454" s="1" t="s">
        <v>409</v>
      </c>
      <c r="AJ454" s="1">
        <v>76.4</v>
      </c>
      <c r="AK454" s="1"/>
      <c r="AL454" s="1"/>
      <c r="AM454" s="1"/>
      <c r="AN454" s="1"/>
      <c r="AO454" s="1"/>
      <c r="AP454" s="1"/>
      <c r="AQ454" s="1"/>
      <c r="AR454" s="1" t="s">
        <v>434</v>
      </c>
      <c r="AS454" s="1" t="s">
        <v>8735</v>
      </c>
      <c r="AT454" s="1" t="s">
        <v>310</v>
      </c>
      <c r="AU454" s="1" t="s">
        <v>105</v>
      </c>
      <c r="AV454" s="1">
        <v>83.57</v>
      </c>
      <c r="AW454" s="1"/>
      <c r="AX454" s="1" t="s">
        <v>253</v>
      </c>
      <c r="AY454" s="1" t="s">
        <v>8736</v>
      </c>
      <c r="AZ454" s="1" t="s">
        <v>2693</v>
      </c>
      <c r="BA454" s="1" t="s">
        <v>1714</v>
      </c>
      <c r="BB454" s="1">
        <v>68.33</v>
      </c>
      <c r="BC454" s="1">
        <v>7.63</v>
      </c>
      <c r="BD454" s="1"/>
      <c r="BE454" s="1"/>
      <c r="BF454" s="1"/>
      <c r="BG454" s="1"/>
      <c r="BH454" s="1"/>
      <c r="BI454" s="1"/>
      <c r="BJ454" s="1" t="s">
        <v>8737</v>
      </c>
      <c r="BK454" s="1"/>
      <c r="BL454" s="1"/>
      <c r="BM454" s="1" t="s">
        <v>8738</v>
      </c>
      <c r="BN454" s="1">
        <v>42</v>
      </c>
      <c r="BO454" s="1"/>
      <c r="BP454" s="1" t="str">
        <f>HYPERLINK("https://nconnect.nicmar.ac.in/storage/profile/ProfilePhoto_P25700409_123987.jpg","Download")</f>
        <v>0</v>
      </c>
      <c r="BQ454" s="3"/>
      <c r="BR454" s="3"/>
    </row>
    <row r="455" spans="1:70">
      <c r="A455" s="1" t="s">
        <v>70</v>
      </c>
      <c r="B455" s="1" t="s">
        <v>1269</v>
      </c>
      <c r="C455" s="1" t="s">
        <v>8739</v>
      </c>
      <c r="D455" s="1" t="s">
        <v>8740</v>
      </c>
      <c r="E455" s="1"/>
      <c r="F455" s="1" t="s">
        <v>8741</v>
      </c>
      <c r="G455" s="1" t="s">
        <v>8742</v>
      </c>
      <c r="H455" s="1" t="s">
        <v>8743</v>
      </c>
      <c r="I455" s="1" t="s">
        <v>8744</v>
      </c>
      <c r="J455" s="1">
        <v>7306098393</v>
      </c>
      <c r="K455" s="1" t="s">
        <v>79</v>
      </c>
      <c r="L455" s="1" t="s">
        <v>373</v>
      </c>
      <c r="M455" s="1" t="s">
        <v>81</v>
      </c>
      <c r="N455" s="1" t="s">
        <v>116</v>
      </c>
      <c r="O455" s="1"/>
      <c r="P455" s="1" t="s">
        <v>1278</v>
      </c>
      <c r="Q455" s="1" t="s">
        <v>8745</v>
      </c>
      <c r="R455" s="1" t="s">
        <v>8746</v>
      </c>
      <c r="S455" s="1">
        <v>8129707777</v>
      </c>
      <c r="T455" s="1" t="s">
        <v>496</v>
      </c>
      <c r="U455" s="1" t="s">
        <v>8747</v>
      </c>
      <c r="V455" s="1">
        <v>8129433773</v>
      </c>
      <c r="W455" s="1" t="s">
        <v>1351</v>
      </c>
      <c r="X455" s="1" t="s">
        <v>8748</v>
      </c>
      <c r="Y455" s="1" t="s">
        <v>1491</v>
      </c>
      <c r="Z455" s="1" t="s">
        <v>125</v>
      </c>
      <c r="AA455" s="1" t="s">
        <v>8748</v>
      </c>
      <c r="AB455" s="1" t="s">
        <v>1491</v>
      </c>
      <c r="AC455" s="1" t="s">
        <v>125</v>
      </c>
      <c r="AD455" s="1">
        <v>9.23</v>
      </c>
      <c r="AE455" s="1" t="s">
        <v>93</v>
      </c>
      <c r="AF455" s="1" t="s">
        <v>8749</v>
      </c>
      <c r="AG455" s="1" t="s">
        <v>8750</v>
      </c>
      <c r="AH455" s="1" t="s">
        <v>162</v>
      </c>
      <c r="AI455" s="1" t="s">
        <v>165</v>
      </c>
      <c r="AJ455" s="1">
        <v>95</v>
      </c>
      <c r="AK455" s="1">
        <v>10</v>
      </c>
      <c r="AL455" s="1" t="s">
        <v>8751</v>
      </c>
      <c r="AM455" s="1" t="s">
        <v>8752</v>
      </c>
      <c r="AN455" s="1" t="s">
        <v>165</v>
      </c>
      <c r="AO455" s="1" t="s">
        <v>409</v>
      </c>
      <c r="AP455" s="1">
        <v>98.41</v>
      </c>
      <c r="AQ455" s="1"/>
      <c r="AR455" s="1"/>
      <c r="AS455" s="1"/>
      <c r="AT455" s="1"/>
      <c r="AU455" s="1"/>
      <c r="AV455" s="1"/>
      <c r="AW455" s="1"/>
      <c r="AX455" s="1" t="s">
        <v>132</v>
      </c>
      <c r="AY455" s="1" t="s">
        <v>2462</v>
      </c>
      <c r="AZ455" s="1" t="s">
        <v>201</v>
      </c>
      <c r="BA455" s="1" t="s">
        <v>386</v>
      </c>
      <c r="BB455" s="1">
        <v>89</v>
      </c>
      <c r="BC455" s="1">
        <v>8.9</v>
      </c>
      <c r="BD455" s="1"/>
      <c r="BE455" s="1"/>
      <c r="BF455" s="1"/>
      <c r="BG455" s="1"/>
      <c r="BH455" s="1"/>
      <c r="BI455" s="1"/>
      <c r="BJ455" s="1" t="s">
        <v>364</v>
      </c>
      <c r="BK455" s="1" t="s">
        <v>8753</v>
      </c>
      <c r="BL455" s="1" t="s">
        <v>1920</v>
      </c>
      <c r="BM455" s="1" t="s">
        <v>8754</v>
      </c>
      <c r="BN455" s="1">
        <v>9</v>
      </c>
      <c r="BO455" s="1"/>
      <c r="BP455" s="1" t="str">
        <f>HYPERLINK("https://nconnect.nicmar.ac.in/storage/profile/ProfilePhoto_P25700410_465312.jpg","Download")</f>
        <v>0</v>
      </c>
      <c r="BQ455" s="3"/>
      <c r="BR455" s="3"/>
    </row>
    <row r="456" spans="1:70">
      <c r="A456" s="1" t="s">
        <v>70</v>
      </c>
      <c r="B456" s="1" t="s">
        <v>1269</v>
      </c>
      <c r="C456" s="1" t="s">
        <v>8755</v>
      </c>
      <c r="D456" s="1" t="s">
        <v>1057</v>
      </c>
      <c r="E456" s="1"/>
      <c r="F456" s="1" t="s">
        <v>8756</v>
      </c>
      <c r="G456" s="1" t="s">
        <v>8757</v>
      </c>
      <c r="H456" s="1" t="s">
        <v>8758</v>
      </c>
      <c r="I456" s="1" t="s">
        <v>8759</v>
      </c>
      <c r="J456" s="1">
        <v>7620468815</v>
      </c>
      <c r="K456" s="1" t="s">
        <v>148</v>
      </c>
      <c r="L456" s="1" t="s">
        <v>8760</v>
      </c>
      <c r="M456" s="1" t="s">
        <v>81</v>
      </c>
      <c r="N456" s="1" t="s">
        <v>8761</v>
      </c>
      <c r="O456" s="1"/>
      <c r="P456" s="1" t="s">
        <v>1278</v>
      </c>
      <c r="Q456" s="1" t="s">
        <v>8762</v>
      </c>
      <c r="R456" s="1" t="s">
        <v>8763</v>
      </c>
      <c r="S456" s="1">
        <v>7083909199</v>
      </c>
      <c r="T456" s="1" t="s">
        <v>8764</v>
      </c>
      <c r="U456" s="1" t="s">
        <v>8765</v>
      </c>
      <c r="V456" s="1">
        <v>9987646993</v>
      </c>
      <c r="W456" s="1" t="s">
        <v>156</v>
      </c>
      <c r="X456" s="1" t="s">
        <v>8766</v>
      </c>
      <c r="Y456" s="1" t="s">
        <v>191</v>
      </c>
      <c r="Z456" s="1" t="s">
        <v>92</v>
      </c>
      <c r="AA456" s="1" t="s">
        <v>8766</v>
      </c>
      <c r="AB456" s="1" t="s">
        <v>191</v>
      </c>
      <c r="AC456" s="1" t="s">
        <v>92</v>
      </c>
      <c r="AD456" s="1">
        <v>9.34</v>
      </c>
      <c r="AE456" s="1" t="s">
        <v>93</v>
      </c>
      <c r="AF456" s="1" t="s">
        <v>8767</v>
      </c>
      <c r="AG456" s="1" t="s">
        <v>939</v>
      </c>
      <c r="AH456" s="1" t="s">
        <v>503</v>
      </c>
      <c r="AI456" s="1" t="s">
        <v>527</v>
      </c>
      <c r="AJ456" s="1">
        <v>93.1</v>
      </c>
      <c r="AK456" s="1">
        <v>9.8</v>
      </c>
      <c r="AL456" s="1" t="s">
        <v>8768</v>
      </c>
      <c r="AM456" s="1" t="s">
        <v>307</v>
      </c>
      <c r="AN456" s="1" t="s">
        <v>678</v>
      </c>
      <c r="AO456" s="1" t="s">
        <v>166</v>
      </c>
      <c r="AP456" s="1">
        <v>84.4</v>
      </c>
      <c r="AQ456" s="1"/>
      <c r="AR456" s="1"/>
      <c r="AS456" s="1"/>
      <c r="AT456" s="1"/>
      <c r="AU456" s="1"/>
      <c r="AV456" s="1"/>
      <c r="AW456" s="1"/>
      <c r="AX456" s="1" t="s">
        <v>361</v>
      </c>
      <c r="AY456" s="1" t="s">
        <v>8769</v>
      </c>
      <c r="AZ456" s="1" t="s">
        <v>636</v>
      </c>
      <c r="BA456" s="1" t="s">
        <v>1003</v>
      </c>
      <c r="BB456" s="1">
        <v>83.42</v>
      </c>
      <c r="BC456" s="1">
        <v>9.48</v>
      </c>
      <c r="BD456" s="1"/>
      <c r="BE456" s="1"/>
      <c r="BF456" s="1"/>
      <c r="BG456" s="1"/>
      <c r="BH456" s="1"/>
      <c r="BI456" s="1"/>
      <c r="BJ456" s="1" t="s">
        <v>8770</v>
      </c>
      <c r="BK456" s="1" t="s">
        <v>8771</v>
      </c>
      <c r="BL456" s="1" t="s">
        <v>340</v>
      </c>
      <c r="BM456" s="1" t="s">
        <v>8772</v>
      </c>
      <c r="BN456" s="1">
        <v>29</v>
      </c>
      <c r="BO456" s="1" t="s">
        <v>8773</v>
      </c>
      <c r="BP456" s="1" t="str">
        <f>HYPERLINK("https://nconnect.nicmar.ac.in/storage/profile/ProfilePhoto_P25700411_579146.jpg","Download")</f>
        <v>0</v>
      </c>
      <c r="BQ456" s="3"/>
      <c r="BR456" s="3"/>
    </row>
    <row r="457" spans="1:70">
      <c r="A457" s="1" t="s">
        <v>70</v>
      </c>
      <c r="B457" s="1" t="s">
        <v>1269</v>
      </c>
      <c r="C457" s="1" t="s">
        <v>8774</v>
      </c>
      <c r="D457" s="1" t="s">
        <v>2896</v>
      </c>
      <c r="E457" s="1"/>
      <c r="F457" s="1" t="s">
        <v>8775</v>
      </c>
      <c r="G457" s="1" t="s">
        <v>8776</v>
      </c>
      <c r="H457" s="1" t="s">
        <v>8777</v>
      </c>
      <c r="I457" s="1" t="s">
        <v>8778</v>
      </c>
      <c r="J457" s="1">
        <v>6360667579</v>
      </c>
      <c r="K457" s="1" t="s">
        <v>79</v>
      </c>
      <c r="L457" s="1" t="s">
        <v>8779</v>
      </c>
      <c r="M457" s="1" t="s">
        <v>81</v>
      </c>
      <c r="N457" s="1" t="s">
        <v>8780</v>
      </c>
      <c r="O457" s="1"/>
      <c r="P457" s="1" t="s">
        <v>1298</v>
      </c>
      <c r="Q457" s="1" t="s">
        <v>8781</v>
      </c>
      <c r="R457" s="1" t="s">
        <v>8782</v>
      </c>
      <c r="S457" s="1">
        <v>9620030680</v>
      </c>
      <c r="T457" s="1" t="s">
        <v>496</v>
      </c>
      <c r="U457" s="1" t="s">
        <v>8783</v>
      </c>
      <c r="V457" s="1">
        <v>8497016301</v>
      </c>
      <c r="W457" s="1" t="s">
        <v>89</v>
      </c>
      <c r="X457" s="1" t="s">
        <v>8784</v>
      </c>
      <c r="Y457" s="1" t="s">
        <v>5383</v>
      </c>
      <c r="Z457" s="1" t="s">
        <v>1084</v>
      </c>
      <c r="AA457" s="1" t="s">
        <v>8784</v>
      </c>
      <c r="AB457" s="1" t="s">
        <v>5383</v>
      </c>
      <c r="AC457" s="1" t="s">
        <v>1084</v>
      </c>
      <c r="AD457" s="1">
        <v>8.98</v>
      </c>
      <c r="AE457" s="1" t="s">
        <v>93</v>
      </c>
      <c r="AF457" s="1" t="s">
        <v>8785</v>
      </c>
      <c r="AG457" s="1" t="s">
        <v>8786</v>
      </c>
      <c r="AH457" s="1" t="s">
        <v>96</v>
      </c>
      <c r="AI457" s="1" t="s">
        <v>131</v>
      </c>
      <c r="AJ457" s="1">
        <v>80.16</v>
      </c>
      <c r="AK457" s="1">
        <v>0</v>
      </c>
      <c r="AL457" s="1" t="s">
        <v>8787</v>
      </c>
      <c r="AM457" s="1" t="s">
        <v>8788</v>
      </c>
      <c r="AN457" s="1" t="s">
        <v>162</v>
      </c>
      <c r="AO457" s="1" t="s">
        <v>479</v>
      </c>
      <c r="AP457" s="1">
        <v>84.66</v>
      </c>
      <c r="AQ457" s="1">
        <v>0</v>
      </c>
      <c r="AR457" s="1"/>
      <c r="AS457" s="1"/>
      <c r="AT457" s="1"/>
      <c r="AU457" s="1"/>
      <c r="AV457" s="1"/>
      <c r="AW457" s="1"/>
      <c r="AX457" s="1" t="s">
        <v>1088</v>
      </c>
      <c r="AY457" s="1" t="s">
        <v>8789</v>
      </c>
      <c r="AZ457" s="1" t="s">
        <v>225</v>
      </c>
      <c r="BA457" s="1" t="s">
        <v>436</v>
      </c>
      <c r="BB457" s="1">
        <v>72.3</v>
      </c>
      <c r="BC457" s="1">
        <v>7.98</v>
      </c>
      <c r="BD457" s="1"/>
      <c r="BE457" s="1"/>
      <c r="BF457" s="1"/>
      <c r="BG457" s="1"/>
      <c r="BH457" s="1"/>
      <c r="BI457" s="1"/>
      <c r="BJ457" s="1" t="s">
        <v>8790</v>
      </c>
      <c r="BK457" s="1" t="s">
        <v>8791</v>
      </c>
      <c r="BL457" s="1" t="s">
        <v>4933</v>
      </c>
      <c r="BM457" s="1" t="s">
        <v>8792</v>
      </c>
      <c r="BN457" s="1">
        <v>8</v>
      </c>
      <c r="BO457" s="1"/>
      <c r="BP457" s="1" t="str">
        <f>HYPERLINK("https://nconnect.nicmar.ac.in/storage/profile/ProfilePhoto_P25700412_865394.jpg","Download")</f>
        <v>0</v>
      </c>
      <c r="BQ457" s="3"/>
      <c r="BR457" s="3"/>
    </row>
    <row r="458" spans="1:70">
      <c r="A458" s="1" t="s">
        <v>70</v>
      </c>
      <c r="B458" s="1" t="s">
        <v>1269</v>
      </c>
      <c r="C458" s="1" t="s">
        <v>8793</v>
      </c>
      <c r="D458" s="1" t="s">
        <v>1117</v>
      </c>
      <c r="E458" s="1" t="s">
        <v>8794</v>
      </c>
      <c r="F458" s="1" t="s">
        <v>8795</v>
      </c>
      <c r="G458" s="1" t="s">
        <v>8796</v>
      </c>
      <c r="H458" s="1" t="s">
        <v>8797</v>
      </c>
      <c r="I458" s="1" t="s">
        <v>8798</v>
      </c>
      <c r="J458" s="1">
        <v>9324100050</v>
      </c>
      <c r="K458" s="1" t="s">
        <v>79</v>
      </c>
      <c r="L458" s="1" t="s">
        <v>8799</v>
      </c>
      <c r="M458" s="1" t="s">
        <v>81</v>
      </c>
      <c r="N458" s="1" t="s">
        <v>2008</v>
      </c>
      <c r="O458" s="1"/>
      <c r="P458" s="1" t="s">
        <v>1298</v>
      </c>
      <c r="Q458" s="1" t="s">
        <v>8800</v>
      </c>
      <c r="R458" s="1" t="s">
        <v>8801</v>
      </c>
      <c r="S458" s="1">
        <v>8080406777</v>
      </c>
      <c r="T458" s="1" t="s">
        <v>496</v>
      </c>
      <c r="U458" s="1" t="s">
        <v>8802</v>
      </c>
      <c r="V458" s="1">
        <v>9594289981</v>
      </c>
      <c r="W458" s="1" t="s">
        <v>156</v>
      </c>
      <c r="X458" s="1" t="s">
        <v>8803</v>
      </c>
      <c r="Y458" s="1" t="s">
        <v>766</v>
      </c>
      <c r="Z458" s="1" t="s">
        <v>92</v>
      </c>
      <c r="AA458" s="1" t="s">
        <v>8803</v>
      </c>
      <c r="AB458" s="1" t="s">
        <v>766</v>
      </c>
      <c r="AC458" s="1" t="s">
        <v>92</v>
      </c>
      <c r="AD458" s="1">
        <v>8.02</v>
      </c>
      <c r="AE458" s="1" t="s">
        <v>93</v>
      </c>
      <c r="AF458" s="1" t="s">
        <v>8804</v>
      </c>
      <c r="AG458" s="1" t="s">
        <v>5102</v>
      </c>
      <c r="AH458" s="1" t="s">
        <v>101</v>
      </c>
      <c r="AI458" s="1" t="s">
        <v>308</v>
      </c>
      <c r="AJ458" s="1">
        <v>70.6</v>
      </c>
      <c r="AK458" s="1"/>
      <c r="AL458" s="1"/>
      <c r="AM458" s="1"/>
      <c r="AN458" s="1"/>
      <c r="AO458" s="1"/>
      <c r="AP458" s="1"/>
      <c r="AQ458" s="1"/>
      <c r="AR458" s="1" t="s">
        <v>434</v>
      </c>
      <c r="AS458" s="1" t="s">
        <v>2689</v>
      </c>
      <c r="AT458" s="1" t="s">
        <v>310</v>
      </c>
      <c r="AU458" s="1" t="s">
        <v>481</v>
      </c>
      <c r="AV458" s="1">
        <v>70.58</v>
      </c>
      <c r="AW458" s="1">
        <v>0</v>
      </c>
      <c r="AX458" s="1" t="s">
        <v>1024</v>
      </c>
      <c r="AY458" s="1" t="s">
        <v>4817</v>
      </c>
      <c r="AZ458" s="1" t="s">
        <v>2693</v>
      </c>
      <c r="BA458" s="1" t="s">
        <v>1714</v>
      </c>
      <c r="BB458" s="1">
        <v>62.14</v>
      </c>
      <c r="BC458" s="1">
        <v>6.98</v>
      </c>
      <c r="BD458" s="1"/>
      <c r="BE458" s="1"/>
      <c r="BF458" s="1"/>
      <c r="BG458" s="1"/>
      <c r="BH458" s="1"/>
      <c r="BI458" s="1"/>
      <c r="BJ458" s="1" t="s">
        <v>8805</v>
      </c>
      <c r="BK458" s="1"/>
      <c r="BL458" s="1"/>
      <c r="BM458" s="1" t="s">
        <v>8806</v>
      </c>
      <c r="BN458" s="1">
        <v>13</v>
      </c>
      <c r="BO458" s="1"/>
      <c r="BP458" s="1" t="str">
        <f>HYPERLINK("https://nconnect.nicmar.ac.in/storage/profile/ProfilePhoto_P25700413_347268.jpg","Download")</f>
        <v>0</v>
      </c>
      <c r="BQ458" s="3"/>
      <c r="BR458" s="3"/>
    </row>
    <row r="459" spans="1:70">
      <c r="A459" s="1" t="s">
        <v>70</v>
      </c>
      <c r="B459" s="1" t="s">
        <v>1269</v>
      </c>
      <c r="C459" s="1" t="s">
        <v>8807</v>
      </c>
      <c r="D459" s="1" t="s">
        <v>8808</v>
      </c>
      <c r="E459" s="1"/>
      <c r="F459" s="1" t="s">
        <v>5565</v>
      </c>
      <c r="G459" s="1" t="s">
        <v>8809</v>
      </c>
      <c r="H459" s="1" t="s">
        <v>8810</v>
      </c>
      <c r="I459" s="1" t="s">
        <v>8811</v>
      </c>
      <c r="J459" s="1">
        <v>7338337037</v>
      </c>
      <c r="K459" s="1" t="s">
        <v>79</v>
      </c>
      <c r="L459" s="1" t="s">
        <v>8812</v>
      </c>
      <c r="M459" s="1" t="s">
        <v>81</v>
      </c>
      <c r="N459" s="1" t="s">
        <v>8813</v>
      </c>
      <c r="O459" s="1"/>
      <c r="P459" s="1" t="s">
        <v>1323</v>
      </c>
      <c r="Q459" s="1" t="s">
        <v>8814</v>
      </c>
      <c r="R459" s="1" t="s">
        <v>8815</v>
      </c>
      <c r="S459" s="1">
        <v>9740148104</v>
      </c>
      <c r="T459" s="1" t="s">
        <v>842</v>
      </c>
      <c r="U459" s="1" t="s">
        <v>8816</v>
      </c>
      <c r="V459" s="1">
        <v>9008749887</v>
      </c>
      <c r="W459" s="1" t="s">
        <v>89</v>
      </c>
      <c r="X459" s="1" t="s">
        <v>8817</v>
      </c>
      <c r="Y459" s="1" t="s">
        <v>1083</v>
      </c>
      <c r="Z459" s="1" t="s">
        <v>1084</v>
      </c>
      <c r="AA459" s="1" t="s">
        <v>8817</v>
      </c>
      <c r="AB459" s="1" t="s">
        <v>1083</v>
      </c>
      <c r="AC459" s="1" t="s">
        <v>1084</v>
      </c>
      <c r="AD459" s="1">
        <v>8.82</v>
      </c>
      <c r="AE459" s="1" t="s">
        <v>93</v>
      </c>
      <c r="AF459" s="1" t="s">
        <v>8818</v>
      </c>
      <c r="AG459" s="1" t="s">
        <v>2749</v>
      </c>
      <c r="AH459" s="1" t="s">
        <v>503</v>
      </c>
      <c r="AI459" s="1" t="s">
        <v>279</v>
      </c>
      <c r="AJ459" s="1">
        <v>92.96</v>
      </c>
      <c r="AK459" s="1"/>
      <c r="AL459" s="1" t="s">
        <v>8819</v>
      </c>
      <c r="AM459" s="1" t="s">
        <v>8820</v>
      </c>
      <c r="AN459" s="1" t="s">
        <v>479</v>
      </c>
      <c r="AO459" s="1" t="s">
        <v>166</v>
      </c>
      <c r="AP459" s="1">
        <v>76.33</v>
      </c>
      <c r="AQ459" s="1"/>
      <c r="AR459" s="1"/>
      <c r="AS459" s="1"/>
      <c r="AT459" s="1"/>
      <c r="AU459" s="1"/>
      <c r="AV459" s="1"/>
      <c r="AW459" s="1"/>
      <c r="AX459" s="1" t="s">
        <v>8821</v>
      </c>
      <c r="AY459" s="1" t="s">
        <v>8822</v>
      </c>
      <c r="AZ459" s="1" t="s">
        <v>101</v>
      </c>
      <c r="BA459" s="1" t="s">
        <v>229</v>
      </c>
      <c r="BB459" s="1">
        <v>73.3</v>
      </c>
      <c r="BC459" s="1">
        <v>8.08</v>
      </c>
      <c r="BD459" s="1"/>
      <c r="BE459" s="1"/>
      <c r="BF459" s="1"/>
      <c r="BG459" s="1"/>
      <c r="BH459" s="1"/>
      <c r="BI459" s="1"/>
      <c r="BJ459" s="1" t="s">
        <v>8823</v>
      </c>
      <c r="BK459" s="1" t="s">
        <v>8824</v>
      </c>
      <c r="BL459" s="1" t="s">
        <v>1920</v>
      </c>
      <c r="BM459" s="1" t="s">
        <v>8825</v>
      </c>
      <c r="BN459" s="1">
        <v>78</v>
      </c>
      <c r="BO459" s="1" t="s">
        <v>8826</v>
      </c>
      <c r="BP459" s="1" t="str">
        <f>HYPERLINK("https://nconnect.nicmar.ac.in/storage/profile/ProfilePhoto_P25700414_835714.jpg","Download")</f>
        <v>0</v>
      </c>
      <c r="BQ459" s="3"/>
      <c r="BR459" s="3"/>
    </row>
    <row r="460" spans="1:70">
      <c r="A460" s="1" t="s">
        <v>70</v>
      </c>
      <c r="B460" s="1" t="s">
        <v>1269</v>
      </c>
      <c r="C460" s="1" t="s">
        <v>8827</v>
      </c>
      <c r="D460" s="1" t="s">
        <v>2231</v>
      </c>
      <c r="E460" s="1" t="s">
        <v>8828</v>
      </c>
      <c r="F460" s="1" t="s">
        <v>8829</v>
      </c>
      <c r="G460" s="1" t="s">
        <v>8830</v>
      </c>
      <c r="H460" s="1" t="s">
        <v>8831</v>
      </c>
      <c r="I460" s="1" t="s">
        <v>8832</v>
      </c>
      <c r="J460" s="1">
        <v>7620170426</v>
      </c>
      <c r="K460" s="1" t="s">
        <v>148</v>
      </c>
      <c r="L460" s="1" t="s">
        <v>8833</v>
      </c>
      <c r="M460" s="1" t="s">
        <v>81</v>
      </c>
      <c r="N460" s="1" t="s">
        <v>1618</v>
      </c>
      <c r="O460" s="1"/>
      <c r="P460" s="1" t="s">
        <v>1323</v>
      </c>
      <c r="Q460" s="1" t="s">
        <v>8834</v>
      </c>
      <c r="R460" s="1" t="s">
        <v>8828</v>
      </c>
      <c r="S460" s="1">
        <v>8999722459</v>
      </c>
      <c r="T460" s="1" t="s">
        <v>8835</v>
      </c>
      <c r="U460" s="1" t="s">
        <v>6939</v>
      </c>
      <c r="V460" s="1">
        <v>8788934800</v>
      </c>
      <c r="W460" s="1" t="s">
        <v>273</v>
      </c>
      <c r="X460" s="1" t="s">
        <v>8836</v>
      </c>
      <c r="Y460" s="1" t="s">
        <v>995</v>
      </c>
      <c r="Z460" s="1" t="s">
        <v>92</v>
      </c>
      <c r="AA460" s="1" t="s">
        <v>8836</v>
      </c>
      <c r="AB460" s="1" t="s">
        <v>995</v>
      </c>
      <c r="AC460" s="1" t="s">
        <v>92</v>
      </c>
      <c r="AD460" s="1">
        <v>8.64</v>
      </c>
      <c r="AE460" s="1" t="s">
        <v>93</v>
      </c>
      <c r="AF460" s="1" t="s">
        <v>8837</v>
      </c>
      <c r="AG460" s="1" t="s">
        <v>5738</v>
      </c>
      <c r="AH460" s="1" t="s">
        <v>165</v>
      </c>
      <c r="AI460" s="1" t="s">
        <v>166</v>
      </c>
      <c r="AJ460" s="1">
        <v>76</v>
      </c>
      <c r="AK460" s="1">
        <v>8</v>
      </c>
      <c r="AL460" s="1" t="s">
        <v>8838</v>
      </c>
      <c r="AM460" s="1" t="s">
        <v>5738</v>
      </c>
      <c r="AN460" s="1" t="s">
        <v>433</v>
      </c>
      <c r="AO460" s="1" t="s">
        <v>412</v>
      </c>
      <c r="AP460" s="1">
        <v>60.77</v>
      </c>
      <c r="AQ460" s="1">
        <v>6.39</v>
      </c>
      <c r="AR460" s="1" t="s">
        <v>434</v>
      </c>
      <c r="AS460" s="1" t="s">
        <v>8839</v>
      </c>
      <c r="AT460" s="1" t="s">
        <v>228</v>
      </c>
      <c r="AU460" s="1" t="s">
        <v>481</v>
      </c>
      <c r="AV460" s="1">
        <v>86.84</v>
      </c>
      <c r="AW460" s="1">
        <v>9.14</v>
      </c>
      <c r="AX460" s="1" t="s">
        <v>6239</v>
      </c>
      <c r="AY460" s="1" t="s">
        <v>8840</v>
      </c>
      <c r="AZ460" s="1" t="s">
        <v>2693</v>
      </c>
      <c r="BA460" s="1" t="s">
        <v>1584</v>
      </c>
      <c r="BB460" s="1">
        <v>71.43</v>
      </c>
      <c r="BC460" s="1">
        <v>8.08</v>
      </c>
      <c r="BD460" s="1"/>
      <c r="BE460" s="1"/>
      <c r="BF460" s="1"/>
      <c r="BG460" s="1"/>
      <c r="BH460" s="1"/>
      <c r="BI460" s="1"/>
      <c r="BJ460" s="1" t="s">
        <v>8841</v>
      </c>
      <c r="BK460" s="1"/>
      <c r="BL460" s="1"/>
      <c r="BM460" s="1" t="s">
        <v>8842</v>
      </c>
      <c r="BN460" s="1">
        <v>11</v>
      </c>
      <c r="BO460" s="1" t="s">
        <v>8843</v>
      </c>
      <c r="BP460" s="1" t="str">
        <f>HYPERLINK("https://nconnect.nicmar.ac.in/storage/profile/ProfilePhoto_P25700415_861234.jpg","Download")</f>
        <v>0</v>
      </c>
      <c r="BQ460" s="3"/>
      <c r="BR460" s="3"/>
    </row>
    <row r="461" spans="1:70">
      <c r="A461" s="1" t="s">
        <v>70</v>
      </c>
      <c r="B461" s="1" t="s">
        <v>1269</v>
      </c>
      <c r="C461" s="1" t="s">
        <v>8844</v>
      </c>
      <c r="D461" s="1" t="s">
        <v>8845</v>
      </c>
      <c r="E461" s="1" t="s">
        <v>8846</v>
      </c>
      <c r="F461" s="1" t="s">
        <v>3676</v>
      </c>
      <c r="G461" s="1" t="s">
        <v>8847</v>
      </c>
      <c r="H461" s="1" t="s">
        <v>8848</v>
      </c>
      <c r="I461" s="1" t="s">
        <v>8849</v>
      </c>
      <c r="J461" s="1">
        <v>9825848642</v>
      </c>
      <c r="K461" s="1" t="s">
        <v>79</v>
      </c>
      <c r="L461" s="1" t="s">
        <v>8850</v>
      </c>
      <c r="M461" s="1" t="s">
        <v>81</v>
      </c>
      <c r="N461" s="1" t="s">
        <v>7078</v>
      </c>
      <c r="O461" s="1"/>
      <c r="P461" s="1" t="s">
        <v>1278</v>
      </c>
      <c r="Q461" s="1" t="s">
        <v>8851</v>
      </c>
      <c r="R461" s="1" t="s">
        <v>8852</v>
      </c>
      <c r="S461" s="1">
        <v>9825848641</v>
      </c>
      <c r="T461" s="1" t="s">
        <v>496</v>
      </c>
      <c r="U461" s="1" t="s">
        <v>8853</v>
      </c>
      <c r="V461" s="1">
        <v>8758839151</v>
      </c>
      <c r="W461" s="1" t="s">
        <v>651</v>
      </c>
      <c r="X461" s="1" t="s">
        <v>8854</v>
      </c>
      <c r="Y461" s="1" t="s">
        <v>8855</v>
      </c>
      <c r="Z461" s="1" t="s">
        <v>1468</v>
      </c>
      <c r="AA461" s="1" t="s">
        <v>8854</v>
      </c>
      <c r="AB461" s="1" t="s">
        <v>8855</v>
      </c>
      <c r="AC461" s="1" t="s">
        <v>1468</v>
      </c>
      <c r="AD461" s="1">
        <v>8.6</v>
      </c>
      <c r="AE461" s="1" t="s">
        <v>93</v>
      </c>
      <c r="AF461" s="1" t="s">
        <v>8856</v>
      </c>
      <c r="AG461" s="1" t="s">
        <v>8857</v>
      </c>
      <c r="AH461" s="1" t="s">
        <v>281</v>
      </c>
      <c r="AI461" s="1" t="s">
        <v>409</v>
      </c>
      <c r="AJ461" s="1">
        <v>78</v>
      </c>
      <c r="AK461" s="1">
        <v>0</v>
      </c>
      <c r="AL461" s="1" t="s">
        <v>8856</v>
      </c>
      <c r="AM461" s="1" t="s">
        <v>8857</v>
      </c>
      <c r="AN461" s="1" t="s">
        <v>412</v>
      </c>
      <c r="AO461" s="1" t="s">
        <v>1712</v>
      </c>
      <c r="AP461" s="1">
        <v>74.5</v>
      </c>
      <c r="AQ461" s="1">
        <v>0</v>
      </c>
      <c r="AR461" s="1"/>
      <c r="AS461" s="1"/>
      <c r="AT461" s="1"/>
      <c r="AU461" s="1"/>
      <c r="AV461" s="1"/>
      <c r="AW461" s="1"/>
      <c r="AX461" s="1" t="s">
        <v>8858</v>
      </c>
      <c r="AY461" s="1" t="s">
        <v>8859</v>
      </c>
      <c r="AZ461" s="1" t="s">
        <v>1407</v>
      </c>
      <c r="BA461" s="1" t="s">
        <v>1361</v>
      </c>
      <c r="BB461" s="1">
        <v>70.4</v>
      </c>
      <c r="BC461" s="1">
        <v>7.54</v>
      </c>
      <c r="BD461" s="1"/>
      <c r="BE461" s="1"/>
      <c r="BF461" s="1"/>
      <c r="BG461" s="1"/>
      <c r="BH461" s="1"/>
      <c r="BI461" s="1"/>
      <c r="BJ461" s="1" t="s">
        <v>8860</v>
      </c>
      <c r="BK461" s="1"/>
      <c r="BL461" s="1"/>
      <c r="BM461" s="1" t="s">
        <v>8861</v>
      </c>
      <c r="BN461" s="1">
        <v>30</v>
      </c>
      <c r="BO461" s="1" t="s">
        <v>8862</v>
      </c>
      <c r="BP461" s="1" t="str">
        <f>HYPERLINK("https://nconnect.nicmar.ac.in/storage/profile/ProfilePhoto_P25700416_291456.jpg","Download")</f>
        <v>0</v>
      </c>
      <c r="BQ461" s="3"/>
      <c r="BR461" s="3"/>
    </row>
    <row r="462" spans="1:70">
      <c r="A462" s="1" t="s">
        <v>70</v>
      </c>
      <c r="B462" s="1" t="s">
        <v>1269</v>
      </c>
      <c r="C462" s="1" t="s">
        <v>8863</v>
      </c>
      <c r="D462" s="1" t="s">
        <v>6284</v>
      </c>
      <c r="E462" s="1"/>
      <c r="F462" s="1" t="s">
        <v>8864</v>
      </c>
      <c r="G462" s="1" t="s">
        <v>8865</v>
      </c>
      <c r="H462" s="1" t="s">
        <v>8866</v>
      </c>
      <c r="I462" s="1" t="s">
        <v>8867</v>
      </c>
      <c r="J462" s="1">
        <v>9785037991</v>
      </c>
      <c r="K462" s="1" t="s">
        <v>79</v>
      </c>
      <c r="L462" s="1" t="s">
        <v>8868</v>
      </c>
      <c r="M462" s="1" t="s">
        <v>150</v>
      </c>
      <c r="N462" s="1" t="s">
        <v>5056</v>
      </c>
      <c r="O462" s="1"/>
      <c r="P462" s="1" t="s">
        <v>1766</v>
      </c>
      <c r="Q462" s="1" t="s">
        <v>8869</v>
      </c>
      <c r="R462" s="1" t="s">
        <v>8870</v>
      </c>
      <c r="S462" s="1">
        <v>7737471080</v>
      </c>
      <c r="T462" s="1" t="s">
        <v>863</v>
      </c>
      <c r="U462" s="1" t="s">
        <v>8871</v>
      </c>
      <c r="V462" s="1">
        <v>9694125868</v>
      </c>
      <c r="W462" s="1" t="s">
        <v>273</v>
      </c>
      <c r="X462" s="1" t="s">
        <v>8872</v>
      </c>
      <c r="Y462" s="1" t="s">
        <v>866</v>
      </c>
      <c r="Z462" s="1" t="s">
        <v>867</v>
      </c>
      <c r="AA462" s="1" t="s">
        <v>8872</v>
      </c>
      <c r="AB462" s="1" t="s">
        <v>866</v>
      </c>
      <c r="AC462" s="1" t="s">
        <v>867</v>
      </c>
      <c r="AD462" s="1">
        <v>9.0</v>
      </c>
      <c r="AE462" s="1" t="s">
        <v>93</v>
      </c>
      <c r="AF462" s="1" t="s">
        <v>8873</v>
      </c>
      <c r="AG462" s="1" t="s">
        <v>8874</v>
      </c>
      <c r="AH462" s="1" t="s">
        <v>4564</v>
      </c>
      <c r="AI462" s="1" t="s">
        <v>1242</v>
      </c>
      <c r="AJ462" s="1">
        <v>85.5</v>
      </c>
      <c r="AK462" s="1">
        <v>9</v>
      </c>
      <c r="AL462" s="1" t="s">
        <v>8873</v>
      </c>
      <c r="AM462" s="1" t="s">
        <v>8874</v>
      </c>
      <c r="AN462" s="1" t="s">
        <v>477</v>
      </c>
      <c r="AO462" s="1" t="s">
        <v>97</v>
      </c>
      <c r="AP462" s="1">
        <v>81</v>
      </c>
      <c r="AQ462" s="1"/>
      <c r="AR462" s="1"/>
      <c r="AS462" s="1"/>
      <c r="AT462" s="1"/>
      <c r="AU462" s="1"/>
      <c r="AV462" s="1"/>
      <c r="AW462" s="1"/>
      <c r="AX462" s="1" t="s">
        <v>8875</v>
      </c>
      <c r="AY462" s="1" t="s">
        <v>8876</v>
      </c>
      <c r="AZ462" s="1" t="s">
        <v>337</v>
      </c>
      <c r="BA462" s="1" t="s">
        <v>310</v>
      </c>
      <c r="BB462" s="1">
        <v>77.78</v>
      </c>
      <c r="BC462" s="1">
        <v>8.74</v>
      </c>
      <c r="BD462" s="1" t="s">
        <v>8877</v>
      </c>
      <c r="BE462" s="1" t="s">
        <v>2405</v>
      </c>
      <c r="BF462" s="1" t="s">
        <v>105</v>
      </c>
      <c r="BG462" s="1" t="s">
        <v>1939</v>
      </c>
      <c r="BH462" s="1">
        <v>85</v>
      </c>
      <c r="BI462" s="1">
        <v>8.5</v>
      </c>
      <c r="BJ462" s="1" t="s">
        <v>8878</v>
      </c>
      <c r="BK462" s="1"/>
      <c r="BL462" s="1"/>
      <c r="BM462" s="1" t="s">
        <v>8879</v>
      </c>
      <c r="BN462" s="1">
        <v>8</v>
      </c>
      <c r="BO462" s="1"/>
      <c r="BP462" s="1" t="str">
        <f>HYPERLINK("https://nconnect.nicmar.ac.in/storage/profile/ProfilePhoto_P25700417_451862.jpg","Download")</f>
        <v>0</v>
      </c>
      <c r="BQ462" s="3"/>
      <c r="BR462" s="3"/>
    </row>
    <row r="463" spans="1:70">
      <c r="A463" s="1" t="s">
        <v>70</v>
      </c>
      <c r="B463" s="1" t="s">
        <v>1269</v>
      </c>
      <c r="C463" s="1" t="s">
        <v>8880</v>
      </c>
      <c r="D463" s="1" t="s">
        <v>8881</v>
      </c>
      <c r="E463" s="1"/>
      <c r="F463" s="1" t="s">
        <v>8882</v>
      </c>
      <c r="G463" s="1" t="s">
        <v>8883</v>
      </c>
      <c r="H463" s="1" t="s">
        <v>8884</v>
      </c>
      <c r="I463" s="1" t="s">
        <v>8885</v>
      </c>
      <c r="J463" s="1">
        <v>9384198048</v>
      </c>
      <c r="K463" s="1" t="s">
        <v>79</v>
      </c>
      <c r="L463" s="1" t="s">
        <v>8886</v>
      </c>
      <c r="M463" s="1" t="s">
        <v>81</v>
      </c>
      <c r="N463" s="1" t="s">
        <v>241</v>
      </c>
      <c r="O463" s="1"/>
      <c r="P463" s="1" t="s">
        <v>1278</v>
      </c>
      <c r="Q463" s="1" t="s">
        <v>8887</v>
      </c>
      <c r="R463" s="1" t="s">
        <v>8888</v>
      </c>
      <c r="S463" s="1">
        <v>9425789216</v>
      </c>
      <c r="T463" s="1" t="s">
        <v>4199</v>
      </c>
      <c r="U463" s="1" t="s">
        <v>8889</v>
      </c>
      <c r="V463" s="1">
        <v>9425120617</v>
      </c>
      <c r="W463" s="1" t="s">
        <v>651</v>
      </c>
      <c r="X463" s="1" t="s">
        <v>8890</v>
      </c>
      <c r="Y463" s="1" t="s">
        <v>935</v>
      </c>
      <c r="Z463" s="1" t="s">
        <v>936</v>
      </c>
      <c r="AA463" s="1" t="s">
        <v>8890</v>
      </c>
      <c r="AB463" s="1" t="s">
        <v>935</v>
      </c>
      <c r="AC463" s="1" t="s">
        <v>936</v>
      </c>
      <c r="AD463" s="1">
        <v>9.02</v>
      </c>
      <c r="AE463" s="1" t="s">
        <v>93</v>
      </c>
      <c r="AF463" s="1" t="s">
        <v>8891</v>
      </c>
      <c r="AG463" s="1" t="s">
        <v>8892</v>
      </c>
      <c r="AH463" s="1" t="s">
        <v>4223</v>
      </c>
      <c r="AI463" s="1" t="s">
        <v>1197</v>
      </c>
      <c r="AJ463" s="1">
        <v>72.2</v>
      </c>
      <c r="AK463" s="1">
        <v>7.6</v>
      </c>
      <c r="AL463" s="1" t="s">
        <v>8893</v>
      </c>
      <c r="AM463" s="1" t="s">
        <v>8894</v>
      </c>
      <c r="AN463" s="1" t="s">
        <v>97</v>
      </c>
      <c r="AO463" s="1" t="s">
        <v>527</v>
      </c>
      <c r="AP463" s="1">
        <v>68</v>
      </c>
      <c r="AQ463" s="1"/>
      <c r="AR463" s="1"/>
      <c r="AS463" s="1"/>
      <c r="AT463" s="1"/>
      <c r="AU463" s="1"/>
      <c r="AV463" s="1"/>
      <c r="AW463" s="1"/>
      <c r="AX463" s="1" t="s">
        <v>5267</v>
      </c>
      <c r="AY463" s="1" t="s">
        <v>8895</v>
      </c>
      <c r="AZ463" s="1" t="s">
        <v>733</v>
      </c>
      <c r="BA463" s="1" t="s">
        <v>699</v>
      </c>
      <c r="BB463" s="1">
        <v>72.8</v>
      </c>
      <c r="BC463" s="1">
        <v>7.28</v>
      </c>
      <c r="BD463" s="1"/>
      <c r="BE463" s="1"/>
      <c r="BF463" s="1"/>
      <c r="BG463" s="1"/>
      <c r="BH463" s="1"/>
      <c r="BI463" s="1"/>
      <c r="BJ463" s="1" t="s">
        <v>8896</v>
      </c>
      <c r="BK463" s="1" t="s">
        <v>8897</v>
      </c>
      <c r="BL463" s="1" t="s">
        <v>1385</v>
      </c>
      <c r="BM463" s="1" t="s">
        <v>8898</v>
      </c>
      <c r="BN463" s="1">
        <v>15</v>
      </c>
      <c r="BO463" s="1" t="s">
        <v>8899</v>
      </c>
      <c r="BP463" s="1" t="str">
        <f>HYPERLINK("https://nconnect.nicmar.ac.in/storage/profile/ProfilePhoto_P25700418_528617.jpg","Download")</f>
        <v>0</v>
      </c>
      <c r="BQ463" s="3"/>
      <c r="BR463" s="3"/>
    </row>
    <row r="464" spans="1:70">
      <c r="A464" s="1" t="s">
        <v>70</v>
      </c>
      <c r="B464" s="1" t="s">
        <v>1269</v>
      </c>
      <c r="C464" s="1" t="s">
        <v>8900</v>
      </c>
      <c r="D464" s="1" t="s">
        <v>314</v>
      </c>
      <c r="E464" s="1" t="s">
        <v>2289</v>
      </c>
      <c r="F464" s="1" t="s">
        <v>236</v>
      </c>
      <c r="G464" s="1" t="s">
        <v>8901</v>
      </c>
      <c r="H464" s="1" t="s">
        <v>8902</v>
      </c>
      <c r="I464" s="1" t="s">
        <v>8903</v>
      </c>
      <c r="J464" s="1">
        <v>9309983597</v>
      </c>
      <c r="K464" s="1" t="s">
        <v>79</v>
      </c>
      <c r="L464" s="1" t="s">
        <v>8904</v>
      </c>
      <c r="M464" s="1" t="s">
        <v>81</v>
      </c>
      <c r="N464" s="1" t="s">
        <v>2295</v>
      </c>
      <c r="O464" s="1"/>
      <c r="P464" s="1" t="s">
        <v>1323</v>
      </c>
      <c r="Q464" s="1" t="s">
        <v>8905</v>
      </c>
      <c r="R464" s="1" t="s">
        <v>8906</v>
      </c>
      <c r="S464" s="1">
        <v>9421480654</v>
      </c>
      <c r="T464" s="1" t="s">
        <v>8907</v>
      </c>
      <c r="U464" s="1" t="s">
        <v>8908</v>
      </c>
      <c r="V464" s="1">
        <v>7796339869</v>
      </c>
      <c r="W464" s="1" t="s">
        <v>156</v>
      </c>
      <c r="X464" s="1" t="s">
        <v>8909</v>
      </c>
      <c r="Y464" s="1" t="s">
        <v>8603</v>
      </c>
      <c r="Z464" s="1" t="s">
        <v>92</v>
      </c>
      <c r="AA464" s="1" t="s">
        <v>8909</v>
      </c>
      <c r="AB464" s="1" t="s">
        <v>8603</v>
      </c>
      <c r="AC464" s="1" t="s">
        <v>92</v>
      </c>
      <c r="AD464" s="1">
        <v>9.25</v>
      </c>
      <c r="AE464" s="1" t="s">
        <v>93</v>
      </c>
      <c r="AF464" s="1" t="s">
        <v>8910</v>
      </c>
      <c r="AG464" s="1" t="s">
        <v>8911</v>
      </c>
      <c r="AH464" s="1" t="s">
        <v>503</v>
      </c>
      <c r="AI464" s="1" t="s">
        <v>456</v>
      </c>
      <c r="AJ464" s="1">
        <v>83</v>
      </c>
      <c r="AK464" s="1"/>
      <c r="AL464" s="1" t="s">
        <v>8912</v>
      </c>
      <c r="AM464" s="1" t="s">
        <v>8911</v>
      </c>
      <c r="AN464" s="1" t="s">
        <v>678</v>
      </c>
      <c r="AO464" s="1" t="s">
        <v>457</v>
      </c>
      <c r="AP464" s="1">
        <v>72.92</v>
      </c>
      <c r="AQ464" s="1"/>
      <c r="AR464" s="1"/>
      <c r="AS464" s="1"/>
      <c r="AT464" s="1"/>
      <c r="AU464" s="1"/>
      <c r="AV464" s="1"/>
      <c r="AW464" s="1"/>
      <c r="AX464" s="1" t="s">
        <v>8913</v>
      </c>
      <c r="AY464" s="1" t="s">
        <v>8914</v>
      </c>
      <c r="AZ464" s="1" t="s">
        <v>101</v>
      </c>
      <c r="BA464" s="1" t="s">
        <v>105</v>
      </c>
      <c r="BB464" s="1">
        <v>90.46</v>
      </c>
      <c r="BC464" s="1">
        <v>9.49</v>
      </c>
      <c r="BD464" s="1"/>
      <c r="BE464" s="1"/>
      <c r="BF464" s="1"/>
      <c r="BG464" s="1"/>
      <c r="BH464" s="1"/>
      <c r="BI464" s="1"/>
      <c r="BJ464" s="1" t="s">
        <v>8915</v>
      </c>
      <c r="BK464" s="1" t="s">
        <v>8916</v>
      </c>
      <c r="BL464" s="1" t="s">
        <v>340</v>
      </c>
      <c r="BM464" s="1" t="s">
        <v>8917</v>
      </c>
      <c r="BN464" s="1">
        <v>13</v>
      </c>
      <c r="BO464" s="1" t="s">
        <v>8918</v>
      </c>
      <c r="BP464" s="1" t="str">
        <f>HYPERLINK("https://nconnect.nicmar.ac.in/storage/profile/ProfilePhoto_P25700419_475938.jpg","Download")</f>
        <v>0</v>
      </c>
      <c r="BQ464" s="3"/>
      <c r="BR464" s="3"/>
    </row>
    <row r="465" spans="1:70">
      <c r="A465" s="1" t="s">
        <v>70</v>
      </c>
      <c r="B465" s="1" t="s">
        <v>1269</v>
      </c>
      <c r="C465" s="1" t="s">
        <v>8919</v>
      </c>
      <c r="D465" s="1" t="s">
        <v>8920</v>
      </c>
      <c r="E465" s="1"/>
      <c r="F465" s="1" t="s">
        <v>2658</v>
      </c>
      <c r="G465" s="1" t="s">
        <v>8921</v>
      </c>
      <c r="H465" s="1" t="s">
        <v>8922</v>
      </c>
      <c r="I465" s="1" t="s">
        <v>8923</v>
      </c>
      <c r="J465" s="1">
        <v>7975346656</v>
      </c>
      <c r="K465" s="1" t="s">
        <v>148</v>
      </c>
      <c r="L465" s="1" t="s">
        <v>8924</v>
      </c>
      <c r="M465" s="1" t="s">
        <v>81</v>
      </c>
      <c r="N465" s="1" t="s">
        <v>8925</v>
      </c>
      <c r="O465" s="1"/>
      <c r="P465" s="1" t="s">
        <v>1298</v>
      </c>
      <c r="Q465" s="1" t="s">
        <v>8926</v>
      </c>
      <c r="R465" s="1" t="s">
        <v>8927</v>
      </c>
      <c r="S465" s="1">
        <v>9845428751</v>
      </c>
      <c r="T465" s="1" t="s">
        <v>5657</v>
      </c>
      <c r="U465" s="1" t="s">
        <v>8928</v>
      </c>
      <c r="V465" s="1">
        <v>8095132865</v>
      </c>
      <c r="W465" s="1" t="s">
        <v>273</v>
      </c>
      <c r="X465" s="1" t="s">
        <v>8929</v>
      </c>
      <c r="Y465" s="1" t="s">
        <v>1083</v>
      </c>
      <c r="Z465" s="1" t="s">
        <v>1084</v>
      </c>
      <c r="AA465" s="1" t="s">
        <v>8929</v>
      </c>
      <c r="AB465" s="1" t="s">
        <v>1083</v>
      </c>
      <c r="AC465" s="1" t="s">
        <v>1084</v>
      </c>
      <c r="AD465" s="1">
        <v>8.85</v>
      </c>
      <c r="AE465" s="1" t="s">
        <v>93</v>
      </c>
      <c r="AF465" s="1" t="s">
        <v>8930</v>
      </c>
      <c r="AG465" s="1" t="s">
        <v>8931</v>
      </c>
      <c r="AH465" s="1" t="s">
        <v>161</v>
      </c>
      <c r="AI465" s="1" t="s">
        <v>527</v>
      </c>
      <c r="AJ465" s="1">
        <v>84.5</v>
      </c>
      <c r="AK465" s="1">
        <v>0</v>
      </c>
      <c r="AL465" s="1" t="s">
        <v>8932</v>
      </c>
      <c r="AM465" s="1" t="s">
        <v>8933</v>
      </c>
      <c r="AN465" s="1" t="s">
        <v>165</v>
      </c>
      <c r="AO465" s="1" t="s">
        <v>166</v>
      </c>
      <c r="AP465" s="1">
        <v>69.83</v>
      </c>
      <c r="AQ465" s="1">
        <v>0</v>
      </c>
      <c r="AR465" s="1"/>
      <c r="AS465" s="1"/>
      <c r="AT465" s="1"/>
      <c r="AU465" s="1"/>
      <c r="AV465" s="1"/>
      <c r="AW465" s="1"/>
      <c r="AX465" s="1" t="s">
        <v>1088</v>
      </c>
      <c r="AY465" s="1" t="s">
        <v>8934</v>
      </c>
      <c r="AZ465" s="1" t="s">
        <v>101</v>
      </c>
      <c r="BA465" s="1" t="s">
        <v>8085</v>
      </c>
      <c r="BB465" s="1">
        <v>71.7</v>
      </c>
      <c r="BC465" s="1">
        <v>7.92</v>
      </c>
      <c r="BD465" s="1"/>
      <c r="BE465" s="1"/>
      <c r="BF465" s="1"/>
      <c r="BG465" s="1"/>
      <c r="BH465" s="1"/>
      <c r="BI465" s="1"/>
      <c r="BJ465" s="1" t="s">
        <v>8935</v>
      </c>
      <c r="BK465" s="1" t="s">
        <v>8936</v>
      </c>
      <c r="BL465" s="1" t="s">
        <v>1920</v>
      </c>
      <c r="BM465" s="1" t="s">
        <v>8937</v>
      </c>
      <c r="BN465" s="1">
        <v>15</v>
      </c>
      <c r="BO465" s="1"/>
      <c r="BP465" s="1" t="str">
        <f>HYPERLINK("https://nconnect.nicmar.ac.in/storage/profile/ProfilePhoto_P25700420_287643.jpg","Download")</f>
        <v>0</v>
      </c>
      <c r="BQ465" s="3"/>
      <c r="BR465" s="3"/>
    </row>
    <row r="466" spans="1:70">
      <c r="A466" s="1" t="s">
        <v>70</v>
      </c>
      <c r="B466" s="1" t="s">
        <v>1269</v>
      </c>
      <c r="C466" s="1" t="s">
        <v>8938</v>
      </c>
      <c r="D466" s="1" t="s">
        <v>2128</v>
      </c>
      <c r="E466" s="1" t="s">
        <v>2658</v>
      </c>
      <c r="F466" s="1" t="s">
        <v>1072</v>
      </c>
      <c r="G466" s="1" t="s">
        <v>8939</v>
      </c>
      <c r="H466" s="1" t="s">
        <v>8940</v>
      </c>
      <c r="I466" s="1" t="s">
        <v>8941</v>
      </c>
      <c r="J466" s="1">
        <v>8792287682</v>
      </c>
      <c r="K466" s="1" t="s">
        <v>79</v>
      </c>
      <c r="L466" s="1" t="s">
        <v>8942</v>
      </c>
      <c r="M466" s="1" t="s">
        <v>81</v>
      </c>
      <c r="N466" s="1" t="s">
        <v>8943</v>
      </c>
      <c r="O466" s="1"/>
      <c r="P466" s="1" t="s">
        <v>1298</v>
      </c>
      <c r="Q466" s="1" t="s">
        <v>8944</v>
      </c>
      <c r="R466" s="1" t="s">
        <v>8945</v>
      </c>
      <c r="S466" s="1">
        <v>8007326759</v>
      </c>
      <c r="T466" s="1" t="s">
        <v>1351</v>
      </c>
      <c r="U466" s="1" t="s">
        <v>8946</v>
      </c>
      <c r="V466" s="1">
        <v>9035436462</v>
      </c>
      <c r="W466" s="1" t="s">
        <v>651</v>
      </c>
      <c r="X466" s="1" t="s">
        <v>8947</v>
      </c>
      <c r="Y466" s="1" t="s">
        <v>8948</v>
      </c>
      <c r="Z466" s="1" t="s">
        <v>1084</v>
      </c>
      <c r="AA466" s="1" t="s">
        <v>8947</v>
      </c>
      <c r="AB466" s="1" t="s">
        <v>8948</v>
      </c>
      <c r="AC466" s="1" t="s">
        <v>1084</v>
      </c>
      <c r="AD466" s="1">
        <v>8.72</v>
      </c>
      <c r="AE466" s="1" t="s">
        <v>93</v>
      </c>
      <c r="AF466" s="1" t="s">
        <v>8949</v>
      </c>
      <c r="AG466" s="1" t="s">
        <v>2749</v>
      </c>
      <c r="AH466" s="1" t="s">
        <v>279</v>
      </c>
      <c r="AI466" s="1" t="s">
        <v>479</v>
      </c>
      <c r="AJ466" s="1">
        <v>94.88</v>
      </c>
      <c r="AK466" s="1"/>
      <c r="AL466" s="1" t="s">
        <v>8950</v>
      </c>
      <c r="AM466" s="1" t="s">
        <v>2749</v>
      </c>
      <c r="AN466" s="1" t="s">
        <v>281</v>
      </c>
      <c r="AO466" s="1" t="s">
        <v>1065</v>
      </c>
      <c r="AP466" s="1">
        <v>90.88</v>
      </c>
      <c r="AQ466" s="1"/>
      <c r="AR466" s="1"/>
      <c r="AS466" s="1"/>
      <c r="AT466" s="1"/>
      <c r="AU466" s="1"/>
      <c r="AV466" s="1"/>
      <c r="AW466" s="1"/>
      <c r="AX466" s="1" t="s">
        <v>8951</v>
      </c>
      <c r="AY466" s="1" t="s">
        <v>8952</v>
      </c>
      <c r="AZ466" s="1" t="s">
        <v>433</v>
      </c>
      <c r="BA466" s="1" t="s">
        <v>682</v>
      </c>
      <c r="BB466" s="1">
        <v>83.3</v>
      </c>
      <c r="BC466" s="1">
        <v>8.33</v>
      </c>
      <c r="BD466" s="1"/>
      <c r="BE466" s="1"/>
      <c r="BF466" s="1"/>
      <c r="BG466" s="1"/>
      <c r="BH466" s="1"/>
      <c r="BI466" s="1"/>
      <c r="BJ466" s="1" t="s">
        <v>8953</v>
      </c>
      <c r="BK466" s="1" t="s">
        <v>8954</v>
      </c>
      <c r="BL466" s="1" t="s">
        <v>1561</v>
      </c>
      <c r="BM466" s="1" t="s">
        <v>8955</v>
      </c>
      <c r="BN466" s="1">
        <v>34</v>
      </c>
      <c r="BO466" s="1"/>
      <c r="BP466" s="1" t="str">
        <f>HYPERLINK("https://nconnect.nicmar.ac.in/storage/profile/ProfilePhoto_P25700421_961834.jpg","Download")</f>
        <v>0</v>
      </c>
      <c r="BQ466" s="3"/>
      <c r="BR466" s="3"/>
    </row>
    <row r="467" spans="1:70">
      <c r="A467" s="1" t="s">
        <v>70</v>
      </c>
      <c r="B467" s="1" t="s">
        <v>1269</v>
      </c>
      <c r="C467" s="1" t="s">
        <v>8956</v>
      </c>
      <c r="D467" s="1" t="s">
        <v>8957</v>
      </c>
      <c r="E467" s="1"/>
      <c r="F467" s="1" t="s">
        <v>1226</v>
      </c>
      <c r="G467" s="1" t="s">
        <v>8958</v>
      </c>
      <c r="H467" s="1" t="s">
        <v>8959</v>
      </c>
      <c r="I467" s="1" t="s">
        <v>8960</v>
      </c>
      <c r="J467" s="1">
        <v>6232156909</v>
      </c>
      <c r="K467" s="1" t="s">
        <v>79</v>
      </c>
      <c r="L467" s="1" t="s">
        <v>8961</v>
      </c>
      <c r="M467" s="1" t="s">
        <v>81</v>
      </c>
      <c r="N467" s="1" t="s">
        <v>8962</v>
      </c>
      <c r="O467" s="1"/>
      <c r="P467" s="1" t="s">
        <v>1323</v>
      </c>
      <c r="Q467" s="1" t="s">
        <v>8963</v>
      </c>
      <c r="R467" s="1" t="s">
        <v>8964</v>
      </c>
      <c r="S467" s="1">
        <v>9425430025</v>
      </c>
      <c r="T467" s="1" t="s">
        <v>496</v>
      </c>
      <c r="U467" s="1" t="s">
        <v>8965</v>
      </c>
      <c r="V467" s="1">
        <v>9425430025</v>
      </c>
      <c r="W467" s="1" t="s">
        <v>7286</v>
      </c>
      <c r="X467" s="1" t="s">
        <v>8966</v>
      </c>
      <c r="Y467" s="1" t="s">
        <v>935</v>
      </c>
      <c r="Z467" s="1" t="s">
        <v>936</v>
      </c>
      <c r="AA467" s="1" t="s">
        <v>8966</v>
      </c>
      <c r="AB467" s="1" t="s">
        <v>935</v>
      </c>
      <c r="AC467" s="1" t="s">
        <v>936</v>
      </c>
      <c r="AD467" s="1">
        <v>7.82</v>
      </c>
      <c r="AE467" s="1" t="s">
        <v>93</v>
      </c>
      <c r="AF467" s="1" t="s">
        <v>8967</v>
      </c>
      <c r="AG467" s="1" t="s">
        <v>307</v>
      </c>
      <c r="AH467" s="1" t="s">
        <v>195</v>
      </c>
      <c r="AI467" s="1" t="s">
        <v>166</v>
      </c>
      <c r="AJ467" s="1">
        <v>81</v>
      </c>
      <c r="AK467" s="1">
        <v>8.52</v>
      </c>
      <c r="AL467" s="1" t="s">
        <v>8968</v>
      </c>
      <c r="AM467" s="1" t="s">
        <v>307</v>
      </c>
      <c r="AN467" s="1" t="s">
        <v>409</v>
      </c>
      <c r="AO467" s="1" t="s">
        <v>412</v>
      </c>
      <c r="AP467" s="1">
        <v>65.2</v>
      </c>
      <c r="AQ467" s="1">
        <v>6.86</v>
      </c>
      <c r="AR467" s="1"/>
      <c r="AS467" s="1"/>
      <c r="AT467" s="1"/>
      <c r="AU467" s="1"/>
      <c r="AV467" s="1"/>
      <c r="AW467" s="1"/>
      <c r="AX467" s="1" t="s">
        <v>4565</v>
      </c>
      <c r="AY467" s="1" t="s">
        <v>8969</v>
      </c>
      <c r="AZ467" s="1" t="s">
        <v>1834</v>
      </c>
      <c r="BA467" s="1" t="s">
        <v>202</v>
      </c>
      <c r="BB467" s="1">
        <v>80.3</v>
      </c>
      <c r="BC467" s="1">
        <v>8.03</v>
      </c>
      <c r="BD467" s="1"/>
      <c r="BE467" s="1"/>
      <c r="BF467" s="1"/>
      <c r="BG467" s="1"/>
      <c r="BH467" s="1"/>
      <c r="BI467" s="1"/>
      <c r="BJ467" s="1" t="s">
        <v>8970</v>
      </c>
      <c r="BK467" s="1"/>
      <c r="BL467" s="1"/>
      <c r="BM467" s="1" t="s">
        <v>8971</v>
      </c>
      <c r="BN467" s="1">
        <v>31</v>
      </c>
      <c r="BO467" s="1"/>
      <c r="BP467" s="1" t="str">
        <f>HYPERLINK("https://nconnect.nicmar.ac.in/storage/profile/ProfilePhoto_P25700422_634185.jpg","Download")</f>
        <v>0</v>
      </c>
      <c r="BQ467" s="3"/>
      <c r="BR467" s="3"/>
    </row>
    <row r="468" spans="1:70">
      <c r="A468" s="1" t="s">
        <v>70</v>
      </c>
      <c r="B468" s="1" t="s">
        <v>1269</v>
      </c>
      <c r="C468" s="1" t="s">
        <v>8972</v>
      </c>
      <c r="D468" s="1" t="s">
        <v>643</v>
      </c>
      <c r="E468" s="1"/>
      <c r="F468" s="1" t="s">
        <v>835</v>
      </c>
      <c r="G468" s="1" t="s">
        <v>8973</v>
      </c>
      <c r="H468" s="1" t="s">
        <v>8974</v>
      </c>
      <c r="I468" s="1" t="s">
        <v>8975</v>
      </c>
      <c r="J468" s="1">
        <v>6206576334</v>
      </c>
      <c r="K468" s="1" t="s">
        <v>79</v>
      </c>
      <c r="L468" s="1" t="s">
        <v>8976</v>
      </c>
      <c r="M468" s="1" t="s">
        <v>81</v>
      </c>
      <c r="N468" s="1" t="s">
        <v>538</v>
      </c>
      <c r="O468" s="1"/>
      <c r="P468" s="1" t="s">
        <v>1323</v>
      </c>
      <c r="Q468" s="1" t="s">
        <v>8977</v>
      </c>
      <c r="R468" s="1" t="s">
        <v>8978</v>
      </c>
      <c r="S468" s="1">
        <v>8757741621</v>
      </c>
      <c r="T468" s="1" t="s">
        <v>763</v>
      </c>
      <c r="U468" s="1" t="s">
        <v>8979</v>
      </c>
      <c r="V468" s="1">
        <v>7017133725</v>
      </c>
      <c r="W468" s="1" t="s">
        <v>651</v>
      </c>
      <c r="X468" s="1" t="s">
        <v>8980</v>
      </c>
      <c r="Y468" s="1" t="s">
        <v>845</v>
      </c>
      <c r="Z468" s="1" t="s">
        <v>846</v>
      </c>
      <c r="AA468" s="1" t="s">
        <v>8981</v>
      </c>
      <c r="AB468" s="1" t="s">
        <v>8982</v>
      </c>
      <c r="AC468" s="1" t="s">
        <v>3774</v>
      </c>
      <c r="AD468" s="1" t="s">
        <v>93</v>
      </c>
      <c r="AE468" s="1" t="s">
        <v>93</v>
      </c>
      <c r="AF468" s="1" t="s">
        <v>8983</v>
      </c>
      <c r="AG468" s="1" t="s">
        <v>8984</v>
      </c>
      <c r="AH468" s="1" t="s">
        <v>678</v>
      </c>
      <c r="AI468" s="1" t="s">
        <v>166</v>
      </c>
      <c r="AJ468" s="1">
        <v>76.2</v>
      </c>
      <c r="AK468" s="1">
        <v>7.62</v>
      </c>
      <c r="AL468" s="1" t="s">
        <v>8983</v>
      </c>
      <c r="AM468" s="1" t="s">
        <v>8985</v>
      </c>
      <c r="AN468" s="1" t="s">
        <v>1065</v>
      </c>
      <c r="AO468" s="1" t="s">
        <v>920</v>
      </c>
      <c r="AP468" s="1">
        <v>73.16</v>
      </c>
      <c r="AQ468" s="1">
        <v>7.31</v>
      </c>
      <c r="AR468" s="1"/>
      <c r="AS468" s="1"/>
      <c r="AT468" s="1"/>
      <c r="AU468" s="1"/>
      <c r="AV468" s="1"/>
      <c r="AW468" s="1"/>
      <c r="AX468" s="1" t="s">
        <v>5863</v>
      </c>
      <c r="AY468" s="1" t="s">
        <v>5864</v>
      </c>
      <c r="AZ468" s="1" t="s">
        <v>412</v>
      </c>
      <c r="BA468" s="1" t="s">
        <v>1939</v>
      </c>
      <c r="BB468" s="1">
        <v>69.3</v>
      </c>
      <c r="BC468" s="1">
        <v>6.93</v>
      </c>
      <c r="BD468" s="1"/>
      <c r="BE468" s="1"/>
      <c r="BF468" s="1"/>
      <c r="BG468" s="1"/>
      <c r="BH468" s="1"/>
      <c r="BI468" s="1"/>
      <c r="BJ468" s="1" t="s">
        <v>8986</v>
      </c>
      <c r="BK468" s="1"/>
      <c r="BL468" s="1"/>
      <c r="BM468" s="1" t="s">
        <v>8987</v>
      </c>
      <c r="BN468" s="1">
        <v>8</v>
      </c>
      <c r="BO468" s="1"/>
      <c r="BP468" s="1" t="str">
        <f>HYPERLINK("https://nconnect.nicmar.ac.in/storage/profile/ProfilePhoto_P25700424_432817.jpg","Download")</f>
        <v>0</v>
      </c>
      <c r="BQ468" s="3"/>
      <c r="BR468" s="3"/>
    </row>
    <row r="469" spans="1:70">
      <c r="A469" s="1" t="s">
        <v>70</v>
      </c>
      <c r="B469" s="1" t="s">
        <v>1269</v>
      </c>
      <c r="C469" s="1" t="s">
        <v>8988</v>
      </c>
      <c r="D469" s="1" t="s">
        <v>1965</v>
      </c>
      <c r="E469" s="1" t="s">
        <v>1566</v>
      </c>
      <c r="F469" s="1" t="s">
        <v>903</v>
      </c>
      <c r="G469" s="1" t="s">
        <v>8989</v>
      </c>
      <c r="H469" s="1" t="s">
        <v>8990</v>
      </c>
      <c r="I469" s="1" t="s">
        <v>8991</v>
      </c>
      <c r="J469" s="1">
        <v>7058986096</v>
      </c>
      <c r="K469" s="1" t="s">
        <v>79</v>
      </c>
      <c r="L469" s="1" t="s">
        <v>8992</v>
      </c>
      <c r="M469" s="1" t="s">
        <v>81</v>
      </c>
      <c r="N469" s="1" t="s">
        <v>860</v>
      </c>
      <c r="O469" s="1"/>
      <c r="P469" s="1"/>
      <c r="Q469" s="1" t="s">
        <v>8993</v>
      </c>
      <c r="R469" s="1" t="s">
        <v>8994</v>
      </c>
      <c r="S469" s="1">
        <v>9405440044</v>
      </c>
      <c r="T469" s="1" t="s">
        <v>842</v>
      </c>
      <c r="U469" s="1" t="s">
        <v>8995</v>
      </c>
      <c r="V469" s="1">
        <v>7058986096</v>
      </c>
      <c r="W469" s="1" t="s">
        <v>8996</v>
      </c>
      <c r="X469" s="1" t="s">
        <v>8997</v>
      </c>
      <c r="Y469" s="1" t="s">
        <v>1887</v>
      </c>
      <c r="Z469" s="1" t="s">
        <v>92</v>
      </c>
      <c r="AA469" s="1" t="s">
        <v>8998</v>
      </c>
      <c r="AB469" s="1" t="s">
        <v>429</v>
      </c>
      <c r="AC469" s="1" t="s">
        <v>92</v>
      </c>
      <c r="AD469" s="1">
        <v>8.59</v>
      </c>
      <c r="AE469" s="1" t="s">
        <v>93</v>
      </c>
      <c r="AF469" s="1" t="s">
        <v>8999</v>
      </c>
      <c r="AG469" s="1" t="s">
        <v>160</v>
      </c>
      <c r="AH469" s="1" t="s">
        <v>165</v>
      </c>
      <c r="AI469" s="1" t="s">
        <v>281</v>
      </c>
      <c r="AJ469" s="1">
        <v>89.2</v>
      </c>
      <c r="AK469" s="1">
        <v>0</v>
      </c>
      <c r="AL469" s="1" t="s">
        <v>9000</v>
      </c>
      <c r="AM469" s="1" t="s">
        <v>160</v>
      </c>
      <c r="AN469" s="1" t="s">
        <v>433</v>
      </c>
      <c r="AO469" s="1" t="s">
        <v>360</v>
      </c>
      <c r="AP469" s="1">
        <v>66.31</v>
      </c>
      <c r="AQ469" s="1">
        <v>0</v>
      </c>
      <c r="AR469" s="1"/>
      <c r="AS469" s="1"/>
      <c r="AT469" s="1"/>
      <c r="AU469" s="1"/>
      <c r="AV469" s="1"/>
      <c r="AW469" s="1"/>
      <c r="AX469" s="1" t="s">
        <v>9001</v>
      </c>
      <c r="AY469" s="1" t="s">
        <v>9002</v>
      </c>
      <c r="AZ469" s="1" t="s">
        <v>681</v>
      </c>
      <c r="BA469" s="1" t="s">
        <v>202</v>
      </c>
      <c r="BB469" s="1">
        <v>64.4</v>
      </c>
      <c r="BC469" s="1">
        <v>6.94</v>
      </c>
      <c r="BD469" s="1"/>
      <c r="BE469" s="1"/>
      <c r="BF469" s="1"/>
      <c r="BG469" s="1"/>
      <c r="BH469" s="1"/>
      <c r="BI469" s="1"/>
      <c r="BJ469" s="1" t="s">
        <v>9003</v>
      </c>
      <c r="BK469" s="1"/>
      <c r="BL469" s="1"/>
      <c r="BM469" s="1" t="s">
        <v>9004</v>
      </c>
      <c r="BN469" s="1">
        <v>9</v>
      </c>
      <c r="BO469" s="1"/>
      <c r="BP469" s="1" t="str">
        <f>HYPERLINK("https://nconnect.nicmar.ac.in/storage/profile/ProfilePhoto_P25700425_379841.jpg","Download")</f>
        <v>0</v>
      </c>
      <c r="BQ469" s="3"/>
      <c r="BR469" s="3"/>
    </row>
    <row r="470" spans="1:70">
      <c r="A470" s="1" t="s">
        <v>70</v>
      </c>
      <c r="B470" s="1" t="s">
        <v>1269</v>
      </c>
      <c r="C470" s="1" t="s">
        <v>9005</v>
      </c>
      <c r="D470" s="1" t="s">
        <v>9006</v>
      </c>
      <c r="E470" s="1" t="s">
        <v>1139</v>
      </c>
      <c r="F470" s="1" t="s">
        <v>9007</v>
      </c>
      <c r="G470" s="1" t="s">
        <v>9008</v>
      </c>
      <c r="H470" s="1" t="s">
        <v>9009</v>
      </c>
      <c r="I470" s="1" t="s">
        <v>9010</v>
      </c>
      <c r="J470" s="1">
        <v>7840994016</v>
      </c>
      <c r="K470" s="1" t="s">
        <v>148</v>
      </c>
      <c r="L470" s="1" t="s">
        <v>9011</v>
      </c>
      <c r="M470" s="1" t="s">
        <v>81</v>
      </c>
      <c r="N470" s="1" t="s">
        <v>860</v>
      </c>
      <c r="O470" s="1"/>
      <c r="P470" s="1" t="s">
        <v>1323</v>
      </c>
      <c r="Q470" s="1" t="s">
        <v>9012</v>
      </c>
      <c r="R470" s="1" t="s">
        <v>1139</v>
      </c>
      <c r="S470" s="1">
        <v>9518593832</v>
      </c>
      <c r="T470" s="1" t="s">
        <v>122</v>
      </c>
      <c r="U470" s="1" t="s">
        <v>6819</v>
      </c>
      <c r="V470" s="1">
        <v>7972685693</v>
      </c>
      <c r="W470" s="1" t="s">
        <v>9013</v>
      </c>
      <c r="X470" s="1" t="s">
        <v>9014</v>
      </c>
      <c r="Y470" s="1" t="s">
        <v>4337</v>
      </c>
      <c r="Z470" s="1" t="s">
        <v>92</v>
      </c>
      <c r="AA470" s="1" t="s">
        <v>9014</v>
      </c>
      <c r="AB470" s="1" t="s">
        <v>4337</v>
      </c>
      <c r="AC470" s="1" t="s">
        <v>92</v>
      </c>
      <c r="AD470" s="1">
        <v>7.94</v>
      </c>
      <c r="AE470" s="1" t="s">
        <v>93</v>
      </c>
      <c r="AF470" s="1" t="s">
        <v>9015</v>
      </c>
      <c r="AG470" s="1" t="s">
        <v>160</v>
      </c>
      <c r="AH470" s="1" t="s">
        <v>101</v>
      </c>
      <c r="AI470" s="1" t="s">
        <v>409</v>
      </c>
      <c r="AJ470" s="1">
        <v>77.2</v>
      </c>
      <c r="AK470" s="1">
        <v>0</v>
      </c>
      <c r="AL470" s="1" t="s">
        <v>9016</v>
      </c>
      <c r="AM470" s="1" t="s">
        <v>160</v>
      </c>
      <c r="AN470" s="1" t="s">
        <v>699</v>
      </c>
      <c r="AO470" s="1" t="s">
        <v>504</v>
      </c>
      <c r="AP470" s="1">
        <v>93.17</v>
      </c>
      <c r="AQ470" s="1">
        <v>0</v>
      </c>
      <c r="AR470" s="1"/>
      <c r="AS470" s="1"/>
      <c r="AT470" s="1"/>
      <c r="AU470" s="1"/>
      <c r="AV470" s="1"/>
      <c r="AW470" s="1"/>
      <c r="AX470" s="1" t="s">
        <v>1359</v>
      </c>
      <c r="AY470" s="1" t="s">
        <v>1583</v>
      </c>
      <c r="AZ470" s="1" t="s">
        <v>436</v>
      </c>
      <c r="BA470" s="1" t="s">
        <v>1584</v>
      </c>
      <c r="BB470" s="1">
        <v>77.3</v>
      </c>
      <c r="BC470" s="1">
        <v>7.73</v>
      </c>
      <c r="BD470" s="1"/>
      <c r="BE470" s="1"/>
      <c r="BF470" s="1"/>
      <c r="BG470" s="1"/>
      <c r="BH470" s="1"/>
      <c r="BI470" s="1"/>
      <c r="BJ470" s="1" t="s">
        <v>9017</v>
      </c>
      <c r="BK470" s="1"/>
      <c r="BL470" s="1"/>
      <c r="BM470" s="1" t="s">
        <v>9018</v>
      </c>
      <c r="BN470" s="1">
        <v>17</v>
      </c>
      <c r="BO470" s="1"/>
      <c r="BP470" s="1" t="str">
        <f>HYPERLINK("https://nconnect.nicmar.ac.in/storage/profile/ProfilePhoto_P25700426_957814.jpg","Download")</f>
        <v>0</v>
      </c>
      <c r="BQ470" s="3"/>
      <c r="BR470" s="3"/>
    </row>
    <row r="471" spans="1:70">
      <c r="A471" s="1" t="s">
        <v>70</v>
      </c>
      <c r="B471" s="1" t="s">
        <v>1269</v>
      </c>
      <c r="C471" s="1" t="s">
        <v>9019</v>
      </c>
      <c r="D471" s="1" t="s">
        <v>9020</v>
      </c>
      <c r="E471" s="1" t="s">
        <v>9021</v>
      </c>
      <c r="F471" s="1" t="s">
        <v>9022</v>
      </c>
      <c r="G471" s="1" t="s">
        <v>9023</v>
      </c>
      <c r="H471" s="1" t="s">
        <v>9024</v>
      </c>
      <c r="I471" s="1" t="s">
        <v>9025</v>
      </c>
      <c r="J471" s="1">
        <v>8332899933</v>
      </c>
      <c r="K471" s="1" t="s">
        <v>79</v>
      </c>
      <c r="L471" s="1" t="s">
        <v>9026</v>
      </c>
      <c r="M471" s="1" t="s">
        <v>81</v>
      </c>
      <c r="N471" s="1" t="s">
        <v>9027</v>
      </c>
      <c r="O471" s="1"/>
      <c r="P471" s="1" t="s">
        <v>1278</v>
      </c>
      <c r="Q471" s="1" t="s">
        <v>9028</v>
      </c>
      <c r="R471" s="1" t="s">
        <v>9029</v>
      </c>
      <c r="S471" s="1">
        <v>9849766553</v>
      </c>
      <c r="T471" s="1" t="s">
        <v>1554</v>
      </c>
      <c r="U471" s="1" t="s">
        <v>9030</v>
      </c>
      <c r="V471" s="1">
        <v>9440491271</v>
      </c>
      <c r="W471" s="1" t="s">
        <v>273</v>
      </c>
      <c r="X471" s="1" t="s">
        <v>9031</v>
      </c>
      <c r="Y471" s="1" t="s">
        <v>9032</v>
      </c>
      <c r="Z471" s="1" t="s">
        <v>609</v>
      </c>
      <c r="AA471" s="1" t="s">
        <v>9031</v>
      </c>
      <c r="AB471" s="1" t="s">
        <v>9032</v>
      </c>
      <c r="AC471" s="1" t="s">
        <v>609</v>
      </c>
      <c r="AD471" s="1">
        <v>8.03</v>
      </c>
      <c r="AE471" s="1" t="s">
        <v>93</v>
      </c>
      <c r="AF471" s="1" t="s">
        <v>9033</v>
      </c>
      <c r="AG471" s="1" t="s">
        <v>9034</v>
      </c>
      <c r="AH471" s="1" t="s">
        <v>165</v>
      </c>
      <c r="AI471" s="1" t="s">
        <v>281</v>
      </c>
      <c r="AJ471" s="1">
        <v>78.85</v>
      </c>
      <c r="AK471" s="1">
        <v>8.3</v>
      </c>
      <c r="AL471" s="1" t="s">
        <v>2421</v>
      </c>
      <c r="AM471" s="1" t="s">
        <v>9035</v>
      </c>
      <c r="AN471" s="1" t="s">
        <v>433</v>
      </c>
      <c r="AO471" s="1" t="s">
        <v>941</v>
      </c>
      <c r="AP471" s="1">
        <v>79.2</v>
      </c>
      <c r="AQ471" s="1"/>
      <c r="AR471" s="1"/>
      <c r="AS471" s="1"/>
      <c r="AT471" s="1"/>
      <c r="AU471" s="1"/>
      <c r="AV471" s="1"/>
      <c r="AW471" s="1"/>
      <c r="AX471" s="1" t="s">
        <v>614</v>
      </c>
      <c r="AY471" s="1" t="s">
        <v>9036</v>
      </c>
      <c r="AZ471" s="1" t="s">
        <v>681</v>
      </c>
      <c r="BA471" s="1" t="s">
        <v>413</v>
      </c>
      <c r="BB471" s="1">
        <v>63.1</v>
      </c>
      <c r="BC471" s="1">
        <v>6.81</v>
      </c>
      <c r="BD471" s="1"/>
      <c r="BE471" s="1"/>
      <c r="BF471" s="1"/>
      <c r="BG471" s="1"/>
      <c r="BH471" s="1"/>
      <c r="BI471" s="1"/>
      <c r="BJ471" s="1" t="s">
        <v>9037</v>
      </c>
      <c r="BK471" s="1"/>
      <c r="BL471" s="1"/>
      <c r="BM471" s="1" t="s">
        <v>9038</v>
      </c>
      <c r="BN471" s="1">
        <v>8</v>
      </c>
      <c r="BO471" s="1"/>
      <c r="BP471" s="1" t="str">
        <f>HYPERLINK("https://nconnect.nicmar.ac.in/storage/profile/ProfilePhoto_P25700427_561483.jpg","Download")</f>
        <v>0</v>
      </c>
      <c r="BQ471" s="3"/>
      <c r="BR471" s="3"/>
    </row>
    <row r="472" spans="1:70">
      <c r="A472" s="1" t="s">
        <v>70</v>
      </c>
      <c r="B472" s="1" t="s">
        <v>1269</v>
      </c>
      <c r="C472" s="1" t="s">
        <v>9039</v>
      </c>
      <c r="D472" s="1" t="s">
        <v>9040</v>
      </c>
      <c r="E472" s="1" t="s">
        <v>6744</v>
      </c>
      <c r="F472" s="1" t="s">
        <v>9041</v>
      </c>
      <c r="G472" s="1" t="s">
        <v>9042</v>
      </c>
      <c r="H472" s="1" t="s">
        <v>9043</v>
      </c>
      <c r="I472" s="1" t="s">
        <v>9044</v>
      </c>
      <c r="J472" s="1">
        <v>9923155346</v>
      </c>
      <c r="K472" s="1" t="s">
        <v>79</v>
      </c>
      <c r="L472" s="1" t="s">
        <v>9045</v>
      </c>
      <c r="M472" s="1" t="s">
        <v>81</v>
      </c>
      <c r="N472" s="1" t="s">
        <v>1418</v>
      </c>
      <c r="O472" s="1"/>
      <c r="P472" s="1" t="s">
        <v>1298</v>
      </c>
      <c r="Q472" s="1" t="s">
        <v>9046</v>
      </c>
      <c r="R472" s="1" t="s">
        <v>9047</v>
      </c>
      <c r="S472" s="1">
        <v>9420566475</v>
      </c>
      <c r="T472" s="1" t="s">
        <v>496</v>
      </c>
      <c r="U472" s="1" t="s">
        <v>9048</v>
      </c>
      <c r="V472" s="1">
        <v>9405936731</v>
      </c>
      <c r="W472" s="1" t="s">
        <v>273</v>
      </c>
      <c r="X472" s="1" t="s">
        <v>9049</v>
      </c>
      <c r="Y472" s="1" t="s">
        <v>405</v>
      </c>
      <c r="Z472" s="1" t="s">
        <v>92</v>
      </c>
      <c r="AA472" s="1" t="s">
        <v>9049</v>
      </c>
      <c r="AB472" s="1" t="s">
        <v>405</v>
      </c>
      <c r="AC472" s="1" t="s">
        <v>92</v>
      </c>
      <c r="AD472" s="1">
        <v>8.52</v>
      </c>
      <c r="AE472" s="1" t="s">
        <v>93</v>
      </c>
      <c r="AF472" s="1" t="s">
        <v>9050</v>
      </c>
      <c r="AG472" s="1" t="s">
        <v>9051</v>
      </c>
      <c r="AH472" s="1" t="s">
        <v>195</v>
      </c>
      <c r="AI472" s="1" t="s">
        <v>281</v>
      </c>
      <c r="AJ472" s="1">
        <v>87.6</v>
      </c>
      <c r="AK472" s="1"/>
      <c r="AL472" s="1" t="s">
        <v>9052</v>
      </c>
      <c r="AM472" s="1" t="s">
        <v>9051</v>
      </c>
      <c r="AN472" s="1" t="s">
        <v>198</v>
      </c>
      <c r="AO472" s="1" t="s">
        <v>360</v>
      </c>
      <c r="AP472" s="1">
        <v>64.62</v>
      </c>
      <c r="AQ472" s="1"/>
      <c r="AR472" s="1"/>
      <c r="AS472" s="1"/>
      <c r="AT472" s="1"/>
      <c r="AU472" s="1"/>
      <c r="AV472" s="1"/>
      <c r="AW472" s="1"/>
      <c r="AX472" s="1" t="s">
        <v>410</v>
      </c>
      <c r="AY472" s="1" t="s">
        <v>9053</v>
      </c>
      <c r="AZ472" s="1" t="s">
        <v>363</v>
      </c>
      <c r="BA472" s="1" t="s">
        <v>413</v>
      </c>
      <c r="BB472" s="1">
        <v>64.6</v>
      </c>
      <c r="BC472" s="1">
        <v>7.21</v>
      </c>
      <c r="BD472" s="1"/>
      <c r="BE472" s="1"/>
      <c r="BF472" s="1"/>
      <c r="BG472" s="1"/>
      <c r="BH472" s="1"/>
      <c r="BI472" s="1"/>
      <c r="BJ472" s="1" t="s">
        <v>9054</v>
      </c>
      <c r="BK472" s="1" t="s">
        <v>9055</v>
      </c>
      <c r="BL472" s="1" t="s">
        <v>1920</v>
      </c>
      <c r="BM472" s="1" t="s">
        <v>9056</v>
      </c>
      <c r="BN472" s="1">
        <v>20</v>
      </c>
      <c r="BO472" s="1" t="s">
        <v>9057</v>
      </c>
      <c r="BP472" s="1" t="str">
        <f>HYPERLINK("https://nconnect.nicmar.ac.in/storage/profile/ProfilePhoto_P25700428_648923.jpg","Download")</f>
        <v>0</v>
      </c>
      <c r="BQ472" s="3"/>
      <c r="BR472" s="3"/>
    </row>
    <row r="473" spans="1:70">
      <c r="A473" s="1" t="s">
        <v>70</v>
      </c>
      <c r="B473" s="1" t="s">
        <v>1269</v>
      </c>
      <c r="C473" s="1" t="s">
        <v>9058</v>
      </c>
      <c r="D473" s="1" t="s">
        <v>9059</v>
      </c>
      <c r="E473" s="1" t="s">
        <v>9060</v>
      </c>
      <c r="F473" s="1" t="s">
        <v>9061</v>
      </c>
      <c r="G473" s="1" t="s">
        <v>9062</v>
      </c>
      <c r="H473" s="1" t="s">
        <v>9063</v>
      </c>
      <c r="I473" s="1" t="s">
        <v>9064</v>
      </c>
      <c r="J473" s="1">
        <v>9370401293</v>
      </c>
      <c r="K473" s="1" t="s">
        <v>79</v>
      </c>
      <c r="L473" s="1" t="s">
        <v>9065</v>
      </c>
      <c r="M473" s="1" t="s">
        <v>81</v>
      </c>
      <c r="N473" s="1" t="s">
        <v>2008</v>
      </c>
      <c r="O473" s="1"/>
      <c r="P473" s="1" t="s">
        <v>1323</v>
      </c>
      <c r="Q473" s="1" t="s">
        <v>9066</v>
      </c>
      <c r="R473" s="1" t="s">
        <v>9067</v>
      </c>
      <c r="S473" s="1">
        <v>8275219980</v>
      </c>
      <c r="T473" s="1" t="s">
        <v>122</v>
      </c>
      <c r="U473" s="1" t="s">
        <v>9068</v>
      </c>
      <c r="V473" s="1">
        <v>8275219980</v>
      </c>
      <c r="W473" s="1" t="s">
        <v>156</v>
      </c>
      <c r="X473" s="1" t="s">
        <v>9069</v>
      </c>
      <c r="Y473" s="1" t="s">
        <v>328</v>
      </c>
      <c r="Z473" s="1" t="s">
        <v>92</v>
      </c>
      <c r="AA473" s="1" t="s">
        <v>9069</v>
      </c>
      <c r="AB473" s="1" t="s">
        <v>328</v>
      </c>
      <c r="AC473" s="1" t="s">
        <v>92</v>
      </c>
      <c r="AD473" s="1">
        <v>9.05</v>
      </c>
      <c r="AE473" s="1" t="s">
        <v>93</v>
      </c>
      <c r="AF473" s="1" t="s">
        <v>9070</v>
      </c>
      <c r="AG473" s="1" t="s">
        <v>3279</v>
      </c>
      <c r="AH473" s="1" t="s">
        <v>165</v>
      </c>
      <c r="AI473" s="1" t="s">
        <v>166</v>
      </c>
      <c r="AJ473" s="1">
        <v>80.4</v>
      </c>
      <c r="AK473" s="1">
        <v>0</v>
      </c>
      <c r="AL473" s="1"/>
      <c r="AM473" s="1"/>
      <c r="AN473" s="1"/>
      <c r="AO473" s="1"/>
      <c r="AP473" s="1"/>
      <c r="AQ473" s="1"/>
      <c r="AR473" s="1" t="s">
        <v>434</v>
      </c>
      <c r="AS473" s="1" t="s">
        <v>9071</v>
      </c>
      <c r="AT473" s="1" t="s">
        <v>636</v>
      </c>
      <c r="AU473" s="1" t="s">
        <v>1051</v>
      </c>
      <c r="AV473" s="1">
        <v>86.85</v>
      </c>
      <c r="AW473" s="1">
        <v>0</v>
      </c>
      <c r="AX473" s="1" t="s">
        <v>9072</v>
      </c>
      <c r="AY473" s="1" t="s">
        <v>9073</v>
      </c>
      <c r="AZ473" s="1" t="s">
        <v>897</v>
      </c>
      <c r="BA473" s="1" t="s">
        <v>202</v>
      </c>
      <c r="BB473" s="1">
        <v>80</v>
      </c>
      <c r="BC473" s="1">
        <v>8</v>
      </c>
      <c r="BD473" s="1"/>
      <c r="BE473" s="1"/>
      <c r="BF473" s="1"/>
      <c r="BG473" s="1"/>
      <c r="BH473" s="1"/>
      <c r="BI473" s="1"/>
      <c r="BJ473" s="1" t="s">
        <v>9074</v>
      </c>
      <c r="BK473" s="1"/>
      <c r="BL473" s="1"/>
      <c r="BM473" s="1" t="s">
        <v>9075</v>
      </c>
      <c r="BN473" s="1">
        <v>9</v>
      </c>
      <c r="BO473" s="1" t="s">
        <v>9076</v>
      </c>
      <c r="BP473" s="1" t="str">
        <f>HYPERLINK("https://nconnect.nicmar.ac.in/storage/profile/ProfilePhoto_P25700429_627859.jpg","Download")</f>
        <v>0</v>
      </c>
      <c r="BQ473" s="3"/>
      <c r="BR473" s="3"/>
    </row>
    <row r="474" spans="1:70">
      <c r="A474" s="1" t="s">
        <v>70</v>
      </c>
      <c r="B474" s="1" t="s">
        <v>1269</v>
      </c>
      <c r="C474" s="1" t="s">
        <v>9077</v>
      </c>
      <c r="D474" s="1" t="s">
        <v>9078</v>
      </c>
      <c r="E474" s="1" t="s">
        <v>513</v>
      </c>
      <c r="F474" s="1" t="s">
        <v>3400</v>
      </c>
      <c r="G474" s="1" t="s">
        <v>9079</v>
      </c>
      <c r="H474" s="1" t="s">
        <v>9080</v>
      </c>
      <c r="I474" s="1" t="s">
        <v>9081</v>
      </c>
      <c r="J474" s="1">
        <v>7738999969</v>
      </c>
      <c r="K474" s="1" t="s">
        <v>79</v>
      </c>
      <c r="L474" s="1" t="s">
        <v>9082</v>
      </c>
      <c r="M474" s="1" t="s">
        <v>81</v>
      </c>
      <c r="N474" s="1" t="s">
        <v>6122</v>
      </c>
      <c r="O474" s="1"/>
      <c r="P474" s="1" t="s">
        <v>1298</v>
      </c>
      <c r="Q474" s="1" t="s">
        <v>9083</v>
      </c>
      <c r="R474" s="1" t="s">
        <v>9084</v>
      </c>
      <c r="S474" s="1">
        <v>7900049032</v>
      </c>
      <c r="T474" s="1" t="s">
        <v>9085</v>
      </c>
      <c r="U474" s="1" t="s">
        <v>9086</v>
      </c>
      <c r="V474" s="1">
        <v>7700036459</v>
      </c>
      <c r="W474" s="1" t="s">
        <v>156</v>
      </c>
      <c r="X474" s="1" t="s">
        <v>9087</v>
      </c>
      <c r="Y474" s="1" t="s">
        <v>766</v>
      </c>
      <c r="Z474" s="1" t="s">
        <v>92</v>
      </c>
      <c r="AA474" s="1" t="s">
        <v>9087</v>
      </c>
      <c r="AB474" s="1" t="s">
        <v>766</v>
      </c>
      <c r="AC474" s="1" t="s">
        <v>92</v>
      </c>
      <c r="AD474" s="1">
        <v>8.66</v>
      </c>
      <c r="AE474" s="1" t="s">
        <v>93</v>
      </c>
      <c r="AF474" s="1" t="s">
        <v>9088</v>
      </c>
      <c r="AG474" s="1" t="s">
        <v>160</v>
      </c>
      <c r="AH474" s="1" t="s">
        <v>97</v>
      </c>
      <c r="AI474" s="1" t="s">
        <v>456</v>
      </c>
      <c r="AJ474" s="1">
        <v>78.6</v>
      </c>
      <c r="AK474" s="1"/>
      <c r="AL474" s="1"/>
      <c r="AM474" s="1"/>
      <c r="AN474" s="1"/>
      <c r="AO474" s="1"/>
      <c r="AP474" s="1"/>
      <c r="AQ474" s="1"/>
      <c r="AR474" s="1" t="s">
        <v>98</v>
      </c>
      <c r="AS474" s="1" t="s">
        <v>9089</v>
      </c>
      <c r="AT474" s="1" t="s">
        <v>733</v>
      </c>
      <c r="AU474" s="1" t="s">
        <v>433</v>
      </c>
      <c r="AV474" s="1">
        <v>74.18</v>
      </c>
      <c r="AW474" s="1"/>
      <c r="AX474" s="1" t="s">
        <v>1024</v>
      </c>
      <c r="AY474" s="1" t="s">
        <v>9090</v>
      </c>
      <c r="AZ474" s="1" t="s">
        <v>310</v>
      </c>
      <c r="BA474" s="1" t="s">
        <v>105</v>
      </c>
      <c r="BB474" s="1">
        <v>69.48</v>
      </c>
      <c r="BC474" s="1">
        <v>7.75</v>
      </c>
      <c r="BD474" s="1"/>
      <c r="BE474" s="1"/>
      <c r="BF474" s="1"/>
      <c r="BG474" s="1"/>
      <c r="BH474" s="1"/>
      <c r="BI474" s="1"/>
      <c r="BJ474" s="1" t="s">
        <v>1383</v>
      </c>
      <c r="BK474" s="1" t="s">
        <v>9091</v>
      </c>
      <c r="BL474" s="1" t="s">
        <v>8345</v>
      </c>
      <c r="BM474" s="1" t="s">
        <v>9092</v>
      </c>
      <c r="BN474" s="1">
        <v>8</v>
      </c>
      <c r="BO474" s="1"/>
      <c r="BP474" s="1" t="str">
        <f>HYPERLINK("https://nconnect.nicmar.ac.in/storage/profile/ProfilePhoto_P25700430_384715.jpg","Download")</f>
        <v>0</v>
      </c>
      <c r="BQ474" s="3"/>
      <c r="BR474" s="3"/>
    </row>
    <row r="475" spans="1:70">
      <c r="A475" s="1" t="s">
        <v>70</v>
      </c>
      <c r="B475" s="1" t="s">
        <v>1269</v>
      </c>
      <c r="C475" s="1" t="s">
        <v>9093</v>
      </c>
      <c r="D475" s="1" t="s">
        <v>9094</v>
      </c>
      <c r="E475" s="1"/>
      <c r="F475" s="1" t="s">
        <v>4699</v>
      </c>
      <c r="G475" s="1" t="s">
        <v>9095</v>
      </c>
      <c r="H475" s="1" t="s">
        <v>9096</v>
      </c>
      <c r="I475" s="1" t="s">
        <v>9097</v>
      </c>
      <c r="J475" s="1">
        <v>9337010182</v>
      </c>
      <c r="K475" s="1" t="s">
        <v>79</v>
      </c>
      <c r="L475" s="1" t="s">
        <v>9098</v>
      </c>
      <c r="M475" s="1" t="s">
        <v>81</v>
      </c>
      <c r="N475" s="1" t="s">
        <v>9099</v>
      </c>
      <c r="O475" s="1"/>
      <c r="P475" s="1" t="s">
        <v>1323</v>
      </c>
      <c r="Q475" s="1" t="s">
        <v>9100</v>
      </c>
      <c r="R475" s="1" t="s">
        <v>9101</v>
      </c>
      <c r="S475" s="1">
        <v>7978990750</v>
      </c>
      <c r="T475" s="1" t="s">
        <v>9102</v>
      </c>
      <c r="U475" s="1" t="s">
        <v>9103</v>
      </c>
      <c r="V475" s="1">
        <v>7008831481</v>
      </c>
      <c r="W475" s="1" t="s">
        <v>9102</v>
      </c>
      <c r="X475" s="1" t="s">
        <v>9104</v>
      </c>
      <c r="Y475" s="1" t="s">
        <v>9105</v>
      </c>
      <c r="Z475" s="1" t="s">
        <v>1731</v>
      </c>
      <c r="AA475" s="1" t="s">
        <v>9104</v>
      </c>
      <c r="AB475" s="1" t="s">
        <v>9105</v>
      </c>
      <c r="AC475" s="1" t="s">
        <v>1731</v>
      </c>
      <c r="AD475" s="1">
        <v>8.87</v>
      </c>
      <c r="AE475" s="1" t="s">
        <v>93</v>
      </c>
      <c r="AF475" s="1" t="s">
        <v>4266</v>
      </c>
      <c r="AG475" s="1" t="s">
        <v>9106</v>
      </c>
      <c r="AH475" s="1" t="s">
        <v>279</v>
      </c>
      <c r="AI475" s="1" t="s">
        <v>165</v>
      </c>
      <c r="AJ475" s="1">
        <v>95</v>
      </c>
      <c r="AK475" s="1">
        <v>10</v>
      </c>
      <c r="AL475" s="1" t="s">
        <v>2097</v>
      </c>
      <c r="AM475" s="1" t="s">
        <v>2832</v>
      </c>
      <c r="AN475" s="1" t="s">
        <v>383</v>
      </c>
      <c r="AO475" s="1" t="s">
        <v>308</v>
      </c>
      <c r="AP475" s="1">
        <v>71.2</v>
      </c>
      <c r="AQ475" s="1"/>
      <c r="AR475" s="1"/>
      <c r="AS475" s="1"/>
      <c r="AT475" s="1"/>
      <c r="AU475" s="1"/>
      <c r="AV475" s="1"/>
      <c r="AW475" s="1"/>
      <c r="AX475" s="1" t="s">
        <v>5863</v>
      </c>
      <c r="AY475" s="1" t="s">
        <v>9107</v>
      </c>
      <c r="AZ475" s="1" t="s">
        <v>310</v>
      </c>
      <c r="BA475" s="1" t="s">
        <v>702</v>
      </c>
      <c r="BB475" s="1">
        <v>87.4</v>
      </c>
      <c r="BC475" s="1">
        <v>8.74</v>
      </c>
      <c r="BD475" s="1"/>
      <c r="BE475" s="1"/>
      <c r="BF475" s="1"/>
      <c r="BG475" s="1"/>
      <c r="BH475" s="1"/>
      <c r="BI475" s="1"/>
      <c r="BJ475" s="1" t="s">
        <v>9108</v>
      </c>
      <c r="BK475" s="1" t="s">
        <v>9109</v>
      </c>
      <c r="BL475" s="1" t="s">
        <v>1289</v>
      </c>
      <c r="BM475" s="1" t="s">
        <v>9110</v>
      </c>
      <c r="BN475" s="1">
        <v>34</v>
      </c>
      <c r="BO475" s="1"/>
      <c r="BP475" s="1" t="str">
        <f>HYPERLINK("https://nconnect.nicmar.ac.in/storage/profile/ProfilePhoto_P25700431_926174.jpg","Download")</f>
        <v>0</v>
      </c>
      <c r="BQ475" s="3"/>
      <c r="BR475" s="3"/>
    </row>
    <row r="476" spans="1:70">
      <c r="A476" s="1" t="s">
        <v>70</v>
      </c>
      <c r="B476" s="1" t="s">
        <v>1269</v>
      </c>
      <c r="C476" s="1" t="s">
        <v>9111</v>
      </c>
      <c r="D476" s="1" t="s">
        <v>643</v>
      </c>
      <c r="E476" s="1"/>
      <c r="F476" s="1" t="s">
        <v>9112</v>
      </c>
      <c r="G476" s="1" t="s">
        <v>9113</v>
      </c>
      <c r="H476" s="1" t="s">
        <v>9114</v>
      </c>
      <c r="I476" s="1" t="s">
        <v>9115</v>
      </c>
      <c r="J476" s="1">
        <v>7000150551</v>
      </c>
      <c r="K476" s="1" t="s">
        <v>79</v>
      </c>
      <c r="L476" s="1" t="s">
        <v>9116</v>
      </c>
      <c r="M476" s="1" t="s">
        <v>81</v>
      </c>
      <c r="N476" s="1" t="s">
        <v>9117</v>
      </c>
      <c r="O476" s="1"/>
      <c r="P476" s="1" t="s">
        <v>1766</v>
      </c>
      <c r="Q476" s="1" t="s">
        <v>9118</v>
      </c>
      <c r="R476" s="1" t="s">
        <v>9119</v>
      </c>
      <c r="S476" s="1">
        <v>9827589630</v>
      </c>
      <c r="T476" s="1" t="s">
        <v>9120</v>
      </c>
      <c r="U476" s="1" t="s">
        <v>9121</v>
      </c>
      <c r="V476" s="1">
        <v>9340888192</v>
      </c>
      <c r="W476" s="1" t="s">
        <v>273</v>
      </c>
      <c r="X476" s="1" t="s">
        <v>9122</v>
      </c>
      <c r="Y476" s="1" t="s">
        <v>935</v>
      </c>
      <c r="Z476" s="1" t="s">
        <v>936</v>
      </c>
      <c r="AA476" s="1" t="s">
        <v>9122</v>
      </c>
      <c r="AB476" s="1" t="s">
        <v>935</v>
      </c>
      <c r="AC476" s="1" t="s">
        <v>936</v>
      </c>
      <c r="AD476" s="1">
        <v>8.16</v>
      </c>
      <c r="AE476" s="1" t="s">
        <v>93</v>
      </c>
      <c r="AF476" s="1" t="s">
        <v>9123</v>
      </c>
      <c r="AG476" s="1" t="s">
        <v>9124</v>
      </c>
      <c r="AH476" s="1" t="s">
        <v>658</v>
      </c>
      <c r="AI476" s="1" t="s">
        <v>129</v>
      </c>
      <c r="AJ476" s="1">
        <v>87.4</v>
      </c>
      <c r="AK476" s="1">
        <v>9.2</v>
      </c>
      <c r="AL476" s="1" t="s">
        <v>9123</v>
      </c>
      <c r="AM476" s="1" t="s">
        <v>9124</v>
      </c>
      <c r="AN476" s="1" t="s">
        <v>1197</v>
      </c>
      <c r="AO476" s="1" t="s">
        <v>131</v>
      </c>
      <c r="AP476" s="1">
        <v>60.4</v>
      </c>
      <c r="AQ476" s="1">
        <v>0</v>
      </c>
      <c r="AR476" s="1"/>
      <c r="AS476" s="1"/>
      <c r="AT476" s="1"/>
      <c r="AU476" s="1"/>
      <c r="AV476" s="1"/>
      <c r="AW476" s="1"/>
      <c r="AX476" s="1" t="s">
        <v>5980</v>
      </c>
      <c r="AY476" s="1" t="s">
        <v>9125</v>
      </c>
      <c r="AZ476" s="1" t="s">
        <v>161</v>
      </c>
      <c r="BA476" s="1" t="s">
        <v>433</v>
      </c>
      <c r="BB476" s="1">
        <v>64.7</v>
      </c>
      <c r="BC476" s="1">
        <v>6.47</v>
      </c>
      <c r="BD476" s="1"/>
      <c r="BE476" s="1"/>
      <c r="BF476" s="1"/>
      <c r="BG476" s="1"/>
      <c r="BH476" s="1"/>
      <c r="BI476" s="1"/>
      <c r="BJ476" s="1" t="s">
        <v>9126</v>
      </c>
      <c r="BK476" s="1" t="s">
        <v>9127</v>
      </c>
      <c r="BL476" s="1" t="s">
        <v>2384</v>
      </c>
      <c r="BM476" s="1" t="s">
        <v>9128</v>
      </c>
      <c r="BN476" s="1">
        <v>10</v>
      </c>
      <c r="BO476" s="1"/>
      <c r="BP476" s="1" t="str">
        <f>HYPERLINK("https://nconnect.nicmar.ac.in/storage/profile/ProfilePhoto_P25700432_658914.jpg","Download")</f>
        <v>0</v>
      </c>
      <c r="BQ476" s="3"/>
      <c r="BR476" s="3"/>
    </row>
    <row r="477" spans="1:70">
      <c r="A477" s="1" t="s">
        <v>70</v>
      </c>
      <c r="B477" s="1" t="s">
        <v>1269</v>
      </c>
      <c r="C477" s="1" t="s">
        <v>9129</v>
      </c>
      <c r="D477" s="1" t="s">
        <v>643</v>
      </c>
      <c r="E477" s="1" t="s">
        <v>4742</v>
      </c>
      <c r="F477" s="1" t="s">
        <v>9130</v>
      </c>
      <c r="G477" s="1" t="s">
        <v>9131</v>
      </c>
      <c r="H477" s="1" t="s">
        <v>9132</v>
      </c>
      <c r="I477" s="1" t="s">
        <v>9133</v>
      </c>
      <c r="J477" s="1">
        <v>7719921717</v>
      </c>
      <c r="K477" s="1" t="s">
        <v>79</v>
      </c>
      <c r="L477" s="1" t="s">
        <v>9134</v>
      </c>
      <c r="M477" s="1" t="s">
        <v>81</v>
      </c>
      <c r="N477" s="1" t="s">
        <v>9135</v>
      </c>
      <c r="O477" s="1"/>
      <c r="P477" s="1" t="s">
        <v>1278</v>
      </c>
      <c r="Q477" s="1" t="s">
        <v>9136</v>
      </c>
      <c r="R477" s="1" t="s">
        <v>9137</v>
      </c>
      <c r="S477" s="1">
        <v>7057320017</v>
      </c>
      <c r="T477" s="1" t="s">
        <v>9138</v>
      </c>
      <c r="U477" s="1" t="s">
        <v>3368</v>
      </c>
      <c r="V477" s="1">
        <v>7057330017</v>
      </c>
      <c r="W477" s="1" t="s">
        <v>156</v>
      </c>
      <c r="X477" s="1" t="s">
        <v>9139</v>
      </c>
      <c r="Y477" s="1" t="s">
        <v>4337</v>
      </c>
      <c r="Z477" s="1" t="s">
        <v>92</v>
      </c>
      <c r="AA477" s="1" t="s">
        <v>9139</v>
      </c>
      <c r="AB477" s="1" t="s">
        <v>4337</v>
      </c>
      <c r="AC477" s="1" t="s">
        <v>92</v>
      </c>
      <c r="AD477" s="1">
        <v>8.31</v>
      </c>
      <c r="AE477" s="1" t="s">
        <v>93</v>
      </c>
      <c r="AF477" s="1" t="s">
        <v>9140</v>
      </c>
      <c r="AG477" s="1" t="s">
        <v>160</v>
      </c>
      <c r="AH477" s="1" t="s">
        <v>128</v>
      </c>
      <c r="AI477" s="1" t="s">
        <v>998</v>
      </c>
      <c r="AJ477" s="1">
        <v>84.2</v>
      </c>
      <c r="AK477" s="1"/>
      <c r="AL477" s="1"/>
      <c r="AM477" s="1"/>
      <c r="AN477" s="1"/>
      <c r="AO477" s="1"/>
      <c r="AP477" s="1"/>
      <c r="AQ477" s="1"/>
      <c r="AR477" s="1" t="s">
        <v>98</v>
      </c>
      <c r="AS477" s="1" t="s">
        <v>9141</v>
      </c>
      <c r="AT477" s="1" t="s">
        <v>998</v>
      </c>
      <c r="AU477" s="1" t="s">
        <v>162</v>
      </c>
      <c r="AV477" s="1">
        <v>85.94</v>
      </c>
      <c r="AW477" s="1"/>
      <c r="AX477" s="1" t="s">
        <v>3980</v>
      </c>
      <c r="AY477" s="1" t="s">
        <v>9142</v>
      </c>
      <c r="AZ477" s="1" t="s">
        <v>162</v>
      </c>
      <c r="BA477" s="1" t="s">
        <v>310</v>
      </c>
      <c r="BB477" s="1">
        <v>68.11</v>
      </c>
      <c r="BC477" s="1">
        <v>7.74</v>
      </c>
      <c r="BD477" s="1"/>
      <c r="BE477" s="1"/>
      <c r="BF477" s="1"/>
      <c r="BG477" s="1"/>
      <c r="BH477" s="1"/>
      <c r="BI477" s="1"/>
      <c r="BJ477" s="1" t="s">
        <v>1383</v>
      </c>
      <c r="BK477" s="1" t="s">
        <v>9143</v>
      </c>
      <c r="BL477" s="1" t="s">
        <v>138</v>
      </c>
      <c r="BM477" s="1" t="s">
        <v>9144</v>
      </c>
      <c r="BN477" s="1">
        <v>8</v>
      </c>
      <c r="BO477" s="1"/>
      <c r="BP477" s="1" t="str">
        <f>HYPERLINK("https://nconnect.nicmar.ac.in/storage/profile/ProfilePhoto_P25700433_873965.jpg","Download")</f>
        <v>0</v>
      </c>
      <c r="BQ477" s="3"/>
      <c r="BR477" s="3"/>
    </row>
    <row r="478" spans="1:70">
      <c r="A478" s="1" t="s">
        <v>70</v>
      </c>
      <c r="B478" s="1" t="s">
        <v>1269</v>
      </c>
      <c r="C478" s="1" t="s">
        <v>9145</v>
      </c>
      <c r="D478" s="1" t="s">
        <v>7277</v>
      </c>
      <c r="E478" s="1" t="s">
        <v>1316</v>
      </c>
      <c r="F478" s="1" t="s">
        <v>3036</v>
      </c>
      <c r="G478" s="1" t="s">
        <v>9146</v>
      </c>
      <c r="H478" s="1" t="s">
        <v>9147</v>
      </c>
      <c r="I478" s="1" t="s">
        <v>9148</v>
      </c>
      <c r="J478" s="1">
        <v>7744977229</v>
      </c>
      <c r="K478" s="1" t="s">
        <v>79</v>
      </c>
      <c r="L478" s="1" t="s">
        <v>9149</v>
      </c>
      <c r="M478" s="1" t="s">
        <v>81</v>
      </c>
      <c r="N478" s="1" t="s">
        <v>9150</v>
      </c>
      <c r="O478" s="1"/>
      <c r="P478" s="1" t="s">
        <v>1298</v>
      </c>
      <c r="Q478" s="1" t="s">
        <v>9151</v>
      </c>
      <c r="R478" s="1" t="s">
        <v>1316</v>
      </c>
      <c r="S478" s="1">
        <v>9822246222</v>
      </c>
      <c r="T478" s="1" t="s">
        <v>496</v>
      </c>
      <c r="U478" s="1" t="s">
        <v>2758</v>
      </c>
      <c r="V478" s="1">
        <v>9823258144</v>
      </c>
      <c r="W478" s="1" t="s">
        <v>651</v>
      </c>
      <c r="X478" s="1" t="s">
        <v>9152</v>
      </c>
      <c r="Y478" s="1" t="s">
        <v>191</v>
      </c>
      <c r="Z478" s="1" t="s">
        <v>92</v>
      </c>
      <c r="AA478" s="1" t="s">
        <v>9152</v>
      </c>
      <c r="AB478" s="1" t="s">
        <v>191</v>
      </c>
      <c r="AC478" s="1" t="s">
        <v>92</v>
      </c>
      <c r="AD478" s="1">
        <v>9.21</v>
      </c>
      <c r="AE478" s="1" t="s">
        <v>93</v>
      </c>
      <c r="AF478" s="1" t="s">
        <v>9153</v>
      </c>
      <c r="AG478" s="1" t="s">
        <v>9154</v>
      </c>
      <c r="AH478" s="1" t="s">
        <v>101</v>
      </c>
      <c r="AI478" s="1" t="s">
        <v>308</v>
      </c>
      <c r="AJ478" s="1">
        <v>95</v>
      </c>
      <c r="AK478" s="1"/>
      <c r="AL478" s="1" t="s">
        <v>3315</v>
      </c>
      <c r="AM478" s="1" t="s">
        <v>9155</v>
      </c>
      <c r="AN478" s="1" t="s">
        <v>173</v>
      </c>
      <c r="AO478" s="1" t="s">
        <v>1712</v>
      </c>
      <c r="AP478" s="1">
        <v>88.5</v>
      </c>
      <c r="AQ478" s="1"/>
      <c r="AR478" s="1"/>
      <c r="AS478" s="1"/>
      <c r="AT478" s="1"/>
      <c r="AU478" s="1"/>
      <c r="AV478" s="1"/>
      <c r="AW478" s="1"/>
      <c r="AX478" s="1" t="s">
        <v>361</v>
      </c>
      <c r="AY478" s="1" t="s">
        <v>6756</v>
      </c>
      <c r="AZ478" s="1" t="s">
        <v>897</v>
      </c>
      <c r="BA478" s="1" t="s">
        <v>1714</v>
      </c>
      <c r="BB478" s="1">
        <v>84.3</v>
      </c>
      <c r="BC478" s="1">
        <v>8.93</v>
      </c>
      <c r="BD478" s="1"/>
      <c r="BE478" s="1"/>
      <c r="BF478" s="1"/>
      <c r="BG478" s="1"/>
      <c r="BH478" s="1"/>
      <c r="BI478" s="1"/>
      <c r="BJ478" s="1" t="s">
        <v>9156</v>
      </c>
      <c r="BK478" s="1"/>
      <c r="BL478" s="1"/>
      <c r="BM478" s="1" t="s">
        <v>9157</v>
      </c>
      <c r="BN478" s="1">
        <v>16</v>
      </c>
      <c r="BO478" s="1"/>
      <c r="BP478" s="1" t="str">
        <f>HYPERLINK("https://nconnect.nicmar.ac.in/storage/profile/ProfilePhoto_P25700434_157429.jpg","Download")</f>
        <v>0</v>
      </c>
      <c r="BQ478" s="3"/>
      <c r="BR478" s="3"/>
    </row>
    <row r="479" spans="1:70">
      <c r="A479" s="1" t="s">
        <v>70</v>
      </c>
      <c r="B479" s="1" t="s">
        <v>1269</v>
      </c>
      <c r="C479" s="1" t="s">
        <v>9158</v>
      </c>
      <c r="D479" s="1" t="s">
        <v>9022</v>
      </c>
      <c r="E479" s="1" t="s">
        <v>9159</v>
      </c>
      <c r="F479" s="1" t="s">
        <v>9160</v>
      </c>
      <c r="G479" s="1" t="s">
        <v>9161</v>
      </c>
      <c r="H479" s="1" t="s">
        <v>9162</v>
      </c>
      <c r="I479" s="1" t="s">
        <v>9163</v>
      </c>
      <c r="J479" s="1">
        <v>7993699465</v>
      </c>
      <c r="K479" s="1" t="s">
        <v>148</v>
      </c>
      <c r="L479" s="1" t="s">
        <v>9164</v>
      </c>
      <c r="M479" s="1" t="s">
        <v>81</v>
      </c>
      <c r="N479" s="1" t="s">
        <v>9165</v>
      </c>
      <c r="O479" s="1"/>
      <c r="P479" s="1" t="s">
        <v>1278</v>
      </c>
      <c r="Q479" s="1" t="s">
        <v>9166</v>
      </c>
      <c r="R479" s="1" t="s">
        <v>9167</v>
      </c>
      <c r="S479" s="1">
        <v>9849544624</v>
      </c>
      <c r="T479" s="1" t="s">
        <v>9168</v>
      </c>
      <c r="U479" s="1" t="s">
        <v>9169</v>
      </c>
      <c r="V479" s="1">
        <v>8328436838</v>
      </c>
      <c r="W479" s="1" t="s">
        <v>496</v>
      </c>
      <c r="X479" s="1" t="s">
        <v>9170</v>
      </c>
      <c r="Y479" s="1" t="s">
        <v>3900</v>
      </c>
      <c r="Z479" s="1" t="s">
        <v>276</v>
      </c>
      <c r="AA479" s="1" t="s">
        <v>9170</v>
      </c>
      <c r="AB479" s="1" t="s">
        <v>3900</v>
      </c>
      <c r="AC479" s="1" t="s">
        <v>276</v>
      </c>
      <c r="AD479" s="1">
        <v>8.85</v>
      </c>
      <c r="AE479" s="1" t="s">
        <v>93</v>
      </c>
      <c r="AF479" s="1" t="s">
        <v>9171</v>
      </c>
      <c r="AG479" s="1" t="s">
        <v>2245</v>
      </c>
      <c r="AH479" s="1" t="s">
        <v>162</v>
      </c>
      <c r="AI479" s="1" t="s">
        <v>195</v>
      </c>
      <c r="AJ479" s="1">
        <v>97</v>
      </c>
      <c r="AK479" s="1">
        <v>9.7</v>
      </c>
      <c r="AL479" s="1" t="s">
        <v>9172</v>
      </c>
      <c r="AM479" s="1" t="s">
        <v>1154</v>
      </c>
      <c r="AN479" s="1" t="s">
        <v>383</v>
      </c>
      <c r="AO479" s="1" t="s">
        <v>1065</v>
      </c>
      <c r="AP479" s="1">
        <v>84</v>
      </c>
      <c r="AQ479" s="1">
        <v>8.44</v>
      </c>
      <c r="AR479" s="1"/>
      <c r="AS479" s="1"/>
      <c r="AT479" s="1"/>
      <c r="AU479" s="1"/>
      <c r="AV479" s="1"/>
      <c r="AW479" s="1"/>
      <c r="AX479" s="1" t="s">
        <v>9172</v>
      </c>
      <c r="AY479" s="1" t="s">
        <v>9172</v>
      </c>
      <c r="AZ479" s="1" t="s">
        <v>433</v>
      </c>
      <c r="BA479" s="1" t="s">
        <v>682</v>
      </c>
      <c r="BB479" s="1">
        <v>92</v>
      </c>
      <c r="BC479" s="1">
        <v>9.2</v>
      </c>
      <c r="BD479" s="1"/>
      <c r="BE479" s="1"/>
      <c r="BF479" s="1"/>
      <c r="BG479" s="1"/>
      <c r="BH479" s="1"/>
      <c r="BI479" s="1"/>
      <c r="BJ479" s="1" t="s">
        <v>9173</v>
      </c>
      <c r="BK479" s="1"/>
      <c r="BL479" s="1"/>
      <c r="BM479" s="1" t="s">
        <v>9174</v>
      </c>
      <c r="BN479" s="1">
        <v>8</v>
      </c>
      <c r="BO479" s="1" t="s">
        <v>9175</v>
      </c>
      <c r="BP479" s="1" t="str">
        <f>HYPERLINK("https://nconnect.nicmar.ac.in/storage/profile/ProfilePhoto_P25700435_234951.jpg","Download")</f>
        <v>0</v>
      </c>
      <c r="BQ479" s="3"/>
      <c r="BR479" s="3"/>
    </row>
    <row r="480" spans="1:70">
      <c r="A480" s="1" t="s">
        <v>70</v>
      </c>
      <c r="B480" s="1" t="s">
        <v>1269</v>
      </c>
      <c r="C480" s="1" t="s">
        <v>9176</v>
      </c>
      <c r="D480" s="1" t="s">
        <v>9177</v>
      </c>
      <c r="E480" s="1" t="s">
        <v>9178</v>
      </c>
      <c r="F480" s="1" t="s">
        <v>3342</v>
      </c>
      <c r="G480" s="1" t="s">
        <v>9179</v>
      </c>
      <c r="H480" s="1" t="s">
        <v>9180</v>
      </c>
      <c r="I480" s="1" t="s">
        <v>9181</v>
      </c>
      <c r="J480" s="1">
        <v>7020783464</v>
      </c>
      <c r="K480" s="1" t="s">
        <v>79</v>
      </c>
      <c r="L480" s="1" t="s">
        <v>9182</v>
      </c>
      <c r="M480" s="1" t="s">
        <v>81</v>
      </c>
      <c r="N480" s="1" t="s">
        <v>7542</v>
      </c>
      <c r="O480" s="1"/>
      <c r="P480" s="1" t="s">
        <v>1298</v>
      </c>
      <c r="Q480" s="1" t="s">
        <v>9183</v>
      </c>
      <c r="R480" s="1" t="s">
        <v>9184</v>
      </c>
      <c r="S480" s="1">
        <v>8421793301</v>
      </c>
      <c r="T480" s="1" t="s">
        <v>496</v>
      </c>
      <c r="U480" s="1" t="s">
        <v>9185</v>
      </c>
      <c r="V480" s="1">
        <v>7058313575</v>
      </c>
      <c r="W480" s="1" t="s">
        <v>156</v>
      </c>
      <c r="X480" s="1" t="s">
        <v>9186</v>
      </c>
      <c r="Y480" s="1" t="s">
        <v>328</v>
      </c>
      <c r="Z480" s="1" t="s">
        <v>92</v>
      </c>
      <c r="AA480" s="1" t="s">
        <v>9186</v>
      </c>
      <c r="AB480" s="1" t="s">
        <v>328</v>
      </c>
      <c r="AC480" s="1" t="s">
        <v>92</v>
      </c>
      <c r="AD480" s="1">
        <v>8.15</v>
      </c>
      <c r="AE480" s="1" t="s">
        <v>93</v>
      </c>
      <c r="AF480" s="1" t="s">
        <v>9187</v>
      </c>
      <c r="AG480" s="1" t="s">
        <v>160</v>
      </c>
      <c r="AH480" s="1" t="s">
        <v>383</v>
      </c>
      <c r="AI480" s="1" t="s">
        <v>166</v>
      </c>
      <c r="AJ480" s="1">
        <v>63.8</v>
      </c>
      <c r="AK480" s="1"/>
      <c r="AL480" s="1"/>
      <c r="AM480" s="1"/>
      <c r="AN480" s="1"/>
      <c r="AO480" s="1"/>
      <c r="AP480" s="1"/>
      <c r="AQ480" s="1"/>
      <c r="AR480" s="1" t="s">
        <v>98</v>
      </c>
      <c r="AS480" s="1" t="s">
        <v>9188</v>
      </c>
      <c r="AT480" s="1" t="s">
        <v>101</v>
      </c>
      <c r="AU480" s="1" t="s">
        <v>506</v>
      </c>
      <c r="AV480" s="1">
        <v>79.11</v>
      </c>
      <c r="AW480" s="1"/>
      <c r="AX480" s="1" t="s">
        <v>335</v>
      </c>
      <c r="AY480" s="1" t="s">
        <v>8308</v>
      </c>
      <c r="AZ480" s="1" t="s">
        <v>506</v>
      </c>
      <c r="BA480" s="1" t="s">
        <v>1939</v>
      </c>
      <c r="BB480" s="1">
        <v>66.22</v>
      </c>
      <c r="BC480" s="1">
        <v>7.5</v>
      </c>
      <c r="BD480" s="1"/>
      <c r="BE480" s="1"/>
      <c r="BF480" s="1"/>
      <c r="BG480" s="1"/>
      <c r="BH480" s="1"/>
      <c r="BI480" s="1"/>
      <c r="BJ480" s="1" t="s">
        <v>8608</v>
      </c>
      <c r="BK480" s="1"/>
      <c r="BL480" s="1"/>
      <c r="BM480" s="1"/>
      <c r="BN480" s="1"/>
      <c r="BO480" s="1" t="s">
        <v>9189</v>
      </c>
      <c r="BP480" s="1" t="str">
        <f>HYPERLINK("https://nconnect.nicmar.ac.in/storage/profile/ProfilePhoto_P25700436_561982.jpg","Download")</f>
        <v>0</v>
      </c>
      <c r="BQ480" s="3"/>
      <c r="BR480" s="3"/>
    </row>
    <row r="481" spans="1:70">
      <c r="A481" s="1" t="s">
        <v>70</v>
      </c>
      <c r="B481" s="1" t="s">
        <v>1269</v>
      </c>
      <c r="C481" s="1" t="s">
        <v>9190</v>
      </c>
      <c r="D481" s="1" t="s">
        <v>9191</v>
      </c>
      <c r="E481" s="1" t="s">
        <v>9192</v>
      </c>
      <c r="F481" s="1" t="s">
        <v>9193</v>
      </c>
      <c r="G481" s="1" t="s">
        <v>9194</v>
      </c>
      <c r="H481" s="1" t="s">
        <v>9195</v>
      </c>
      <c r="I481" s="1" t="s">
        <v>9196</v>
      </c>
      <c r="J481" s="1">
        <v>9604493618</v>
      </c>
      <c r="K481" s="1" t="s">
        <v>79</v>
      </c>
      <c r="L481" s="1" t="s">
        <v>9197</v>
      </c>
      <c r="M481" s="1" t="s">
        <v>81</v>
      </c>
      <c r="N481" s="1" t="s">
        <v>9198</v>
      </c>
      <c r="O481" s="1"/>
      <c r="P481" s="1" t="s">
        <v>1278</v>
      </c>
      <c r="Q481" s="1" t="s">
        <v>9199</v>
      </c>
      <c r="R481" s="1" t="s">
        <v>9192</v>
      </c>
      <c r="S481" s="1">
        <v>9168085461</v>
      </c>
      <c r="T481" s="1" t="s">
        <v>154</v>
      </c>
      <c r="U481" s="1" t="s">
        <v>9200</v>
      </c>
      <c r="V481" s="1">
        <v>8317272994</v>
      </c>
      <c r="W481" s="1" t="s">
        <v>156</v>
      </c>
      <c r="X481" s="1" t="s">
        <v>9201</v>
      </c>
      <c r="Y481" s="1" t="s">
        <v>766</v>
      </c>
      <c r="Z481" s="1" t="s">
        <v>92</v>
      </c>
      <c r="AA481" s="1" t="s">
        <v>9201</v>
      </c>
      <c r="AB481" s="1" t="s">
        <v>766</v>
      </c>
      <c r="AC481" s="1" t="s">
        <v>92</v>
      </c>
      <c r="AD481" s="1">
        <v>9.02</v>
      </c>
      <c r="AE481" s="1" t="s">
        <v>93</v>
      </c>
      <c r="AF481" s="1" t="s">
        <v>9202</v>
      </c>
      <c r="AG481" s="1" t="s">
        <v>476</v>
      </c>
      <c r="AH481" s="1" t="s">
        <v>161</v>
      </c>
      <c r="AI481" s="1" t="s">
        <v>162</v>
      </c>
      <c r="AJ481" s="1">
        <v>82.4</v>
      </c>
      <c r="AK481" s="1"/>
      <c r="AL481" s="1"/>
      <c r="AM481" s="1"/>
      <c r="AN481" s="1"/>
      <c r="AO481" s="1"/>
      <c r="AP481" s="1"/>
      <c r="AQ481" s="1"/>
      <c r="AR481" s="1" t="s">
        <v>434</v>
      </c>
      <c r="AS481" s="1" t="s">
        <v>9203</v>
      </c>
      <c r="AT481" s="1" t="s">
        <v>134</v>
      </c>
      <c r="AU481" s="1" t="s">
        <v>433</v>
      </c>
      <c r="AV481" s="1">
        <v>59.39</v>
      </c>
      <c r="AW481" s="1"/>
      <c r="AX481" s="1" t="s">
        <v>253</v>
      </c>
      <c r="AY481" s="1" t="s">
        <v>9204</v>
      </c>
      <c r="AZ481" s="1" t="s">
        <v>201</v>
      </c>
      <c r="BA481" s="1" t="s">
        <v>1003</v>
      </c>
      <c r="BB481" s="1">
        <v>68.2</v>
      </c>
      <c r="BC481" s="1"/>
      <c r="BD481" s="1"/>
      <c r="BE481" s="1"/>
      <c r="BF481" s="1"/>
      <c r="BG481" s="1"/>
      <c r="BH481" s="1"/>
      <c r="BI481" s="1"/>
      <c r="BJ481" s="1" t="s">
        <v>7948</v>
      </c>
      <c r="BK481" s="1" t="s">
        <v>9205</v>
      </c>
      <c r="BL481" s="1" t="s">
        <v>1497</v>
      </c>
      <c r="BM481" s="1" t="s">
        <v>9206</v>
      </c>
      <c r="BN481" s="1">
        <v>27</v>
      </c>
      <c r="BO481" s="1" t="s">
        <v>9207</v>
      </c>
      <c r="BP481" s="1" t="str">
        <f>HYPERLINK("https://nconnect.nicmar.ac.in/storage/profile/6a60b9b9a8f6d.png","Download")</f>
        <v>0</v>
      </c>
      <c r="BQ481" s="3"/>
      <c r="BR481" s="3"/>
    </row>
    <row r="482" spans="1:70">
      <c r="A482" s="1" t="s">
        <v>70</v>
      </c>
      <c r="B482" s="1" t="s">
        <v>1269</v>
      </c>
      <c r="C482" s="1" t="s">
        <v>9208</v>
      </c>
      <c r="D482" s="1" t="s">
        <v>4024</v>
      </c>
      <c r="E482" s="1"/>
      <c r="F482" s="1" t="s">
        <v>3852</v>
      </c>
      <c r="G482" s="1" t="s">
        <v>9209</v>
      </c>
      <c r="H482" s="1" t="s">
        <v>9210</v>
      </c>
      <c r="I482" s="1" t="s">
        <v>9211</v>
      </c>
      <c r="J482" s="1">
        <v>9067577085</v>
      </c>
      <c r="K482" s="1" t="s">
        <v>148</v>
      </c>
      <c r="L482" s="1" t="s">
        <v>9212</v>
      </c>
      <c r="M482" s="1" t="s">
        <v>81</v>
      </c>
      <c r="N482" s="1" t="s">
        <v>1618</v>
      </c>
      <c r="O482" s="1"/>
      <c r="P482" s="1" t="s">
        <v>1278</v>
      </c>
      <c r="Q482" s="1" t="s">
        <v>9213</v>
      </c>
      <c r="R482" s="1" t="s">
        <v>9214</v>
      </c>
      <c r="S482" s="1">
        <v>9765309777</v>
      </c>
      <c r="T482" s="1" t="s">
        <v>763</v>
      </c>
      <c r="U482" s="1" t="s">
        <v>9215</v>
      </c>
      <c r="V482" s="1">
        <v>8421821114</v>
      </c>
      <c r="W482" s="1" t="s">
        <v>156</v>
      </c>
      <c r="X482" s="1" t="s">
        <v>9216</v>
      </c>
      <c r="Y482" s="1" t="s">
        <v>91</v>
      </c>
      <c r="Z482" s="1" t="s">
        <v>92</v>
      </c>
      <c r="AA482" s="1" t="s">
        <v>9217</v>
      </c>
      <c r="AB482" s="1" t="s">
        <v>91</v>
      </c>
      <c r="AC482" s="1" t="s">
        <v>92</v>
      </c>
      <c r="AD482" s="1">
        <v>8.36</v>
      </c>
      <c r="AE482" s="1" t="s">
        <v>93</v>
      </c>
      <c r="AF482" s="1" t="s">
        <v>6925</v>
      </c>
      <c r="AG482" s="1" t="s">
        <v>9218</v>
      </c>
      <c r="AH482" s="1" t="s">
        <v>101</v>
      </c>
      <c r="AI482" s="1" t="s">
        <v>308</v>
      </c>
      <c r="AJ482" s="1">
        <v>87</v>
      </c>
      <c r="AK482" s="1">
        <v>0</v>
      </c>
      <c r="AL482" s="1" t="s">
        <v>9219</v>
      </c>
      <c r="AM482" s="1" t="s">
        <v>160</v>
      </c>
      <c r="AN482" s="1" t="s">
        <v>699</v>
      </c>
      <c r="AO482" s="1" t="s">
        <v>1712</v>
      </c>
      <c r="AP482" s="1">
        <v>94.33</v>
      </c>
      <c r="AQ482" s="1">
        <v>0</v>
      </c>
      <c r="AR482" s="1"/>
      <c r="AS482" s="1"/>
      <c r="AT482" s="1"/>
      <c r="AU482" s="1"/>
      <c r="AV482" s="1"/>
      <c r="AW482" s="1"/>
      <c r="AX482" s="1" t="s">
        <v>6928</v>
      </c>
      <c r="AY482" s="1" t="s">
        <v>6929</v>
      </c>
      <c r="AZ482" s="1" t="s">
        <v>897</v>
      </c>
      <c r="BA482" s="1" t="s">
        <v>1714</v>
      </c>
      <c r="BB482" s="1">
        <v>78.18</v>
      </c>
      <c r="BC482" s="1">
        <v>7.75</v>
      </c>
      <c r="BD482" s="1"/>
      <c r="BE482" s="1"/>
      <c r="BF482" s="1"/>
      <c r="BG482" s="1"/>
      <c r="BH482" s="1"/>
      <c r="BI482" s="1"/>
      <c r="BJ482" s="1" t="s">
        <v>4508</v>
      </c>
      <c r="BK482" s="1"/>
      <c r="BL482" s="1"/>
      <c r="BM482" s="1" t="s">
        <v>9220</v>
      </c>
      <c r="BN482" s="1">
        <v>13</v>
      </c>
      <c r="BO482" s="1"/>
      <c r="BP482" s="1" t="str">
        <f>HYPERLINK("https://nconnect.nicmar.ac.in/storage/profile/ProfilePhoto_P25700438_752491.jpg","Download")</f>
        <v>0</v>
      </c>
      <c r="BQ482" s="3"/>
      <c r="BR482" s="3"/>
    </row>
    <row r="483" spans="1:70">
      <c r="A483" s="1" t="s">
        <v>70</v>
      </c>
      <c r="B483" s="1" t="s">
        <v>1269</v>
      </c>
      <c r="C483" s="1" t="s">
        <v>9221</v>
      </c>
      <c r="D483" s="1" t="s">
        <v>9222</v>
      </c>
      <c r="E483" s="1" t="s">
        <v>1566</v>
      </c>
      <c r="F483" s="1" t="s">
        <v>142</v>
      </c>
      <c r="G483" s="1" t="s">
        <v>9223</v>
      </c>
      <c r="H483" s="1" t="s">
        <v>9224</v>
      </c>
      <c r="I483" s="1" t="s">
        <v>9225</v>
      </c>
      <c r="J483" s="1">
        <v>9356632434</v>
      </c>
      <c r="K483" s="1" t="s">
        <v>148</v>
      </c>
      <c r="L483" s="1" t="s">
        <v>9226</v>
      </c>
      <c r="M483" s="1" t="s">
        <v>81</v>
      </c>
      <c r="N483" s="1" t="s">
        <v>1418</v>
      </c>
      <c r="O483" s="1"/>
      <c r="P483" s="1" t="s">
        <v>1298</v>
      </c>
      <c r="Q483" s="1" t="s">
        <v>9227</v>
      </c>
      <c r="R483" s="1" t="s">
        <v>1566</v>
      </c>
      <c r="S483" s="1">
        <v>8605104257</v>
      </c>
      <c r="T483" s="1" t="s">
        <v>87</v>
      </c>
      <c r="U483" s="1" t="s">
        <v>6643</v>
      </c>
      <c r="V483" s="1">
        <v>8888704257</v>
      </c>
      <c r="W483" s="1" t="s">
        <v>4634</v>
      </c>
      <c r="X483" s="1" t="s">
        <v>9228</v>
      </c>
      <c r="Y483" s="1" t="s">
        <v>1887</v>
      </c>
      <c r="Z483" s="1" t="s">
        <v>92</v>
      </c>
      <c r="AA483" s="1" t="s">
        <v>9228</v>
      </c>
      <c r="AB483" s="1" t="s">
        <v>1887</v>
      </c>
      <c r="AC483" s="1" t="s">
        <v>92</v>
      </c>
      <c r="AD483" s="1">
        <v>9.18</v>
      </c>
      <c r="AE483" s="1" t="s">
        <v>93</v>
      </c>
      <c r="AF483" s="1" t="s">
        <v>9229</v>
      </c>
      <c r="AG483" s="1" t="s">
        <v>9230</v>
      </c>
      <c r="AH483" s="1" t="s">
        <v>101</v>
      </c>
      <c r="AI483" s="1" t="s">
        <v>409</v>
      </c>
      <c r="AJ483" s="1">
        <v>94.6</v>
      </c>
      <c r="AK483" s="1"/>
      <c r="AL483" s="1" t="s">
        <v>9231</v>
      </c>
      <c r="AM483" s="1" t="s">
        <v>9230</v>
      </c>
      <c r="AN483" s="1" t="s">
        <v>699</v>
      </c>
      <c r="AO483" s="1" t="s">
        <v>504</v>
      </c>
      <c r="AP483" s="1">
        <v>94.83</v>
      </c>
      <c r="AQ483" s="1"/>
      <c r="AR483" s="1"/>
      <c r="AS483" s="1"/>
      <c r="AT483" s="1"/>
      <c r="AU483" s="1"/>
      <c r="AV483" s="1"/>
      <c r="AW483" s="1"/>
      <c r="AX483" s="1" t="s">
        <v>1892</v>
      </c>
      <c r="AY483" s="1" t="s">
        <v>9232</v>
      </c>
      <c r="AZ483" s="1" t="s">
        <v>363</v>
      </c>
      <c r="BA483" s="1" t="s">
        <v>1714</v>
      </c>
      <c r="BB483" s="1">
        <v>65.3</v>
      </c>
      <c r="BC483" s="1">
        <v>7.28</v>
      </c>
      <c r="BD483" s="1"/>
      <c r="BE483" s="1"/>
      <c r="BF483" s="1"/>
      <c r="BG483" s="1"/>
      <c r="BH483" s="1"/>
      <c r="BI483" s="1"/>
      <c r="BJ483" s="1" t="s">
        <v>9233</v>
      </c>
      <c r="BK483" s="1"/>
      <c r="BL483" s="1"/>
      <c r="BM483" s="1" t="s">
        <v>9234</v>
      </c>
      <c r="BN483" s="1">
        <v>15</v>
      </c>
      <c r="BO483" s="1" t="s">
        <v>5628</v>
      </c>
      <c r="BP483" s="1" t="str">
        <f>HYPERLINK("https://nconnect.nicmar.ac.in/storage/profile/ProfilePhoto_P25700439_567421.jpg","Download")</f>
        <v>0</v>
      </c>
      <c r="BQ483" s="3"/>
      <c r="BR483" s="3"/>
    </row>
    <row r="484" spans="1:70">
      <c r="A484" s="1" t="s">
        <v>70</v>
      </c>
      <c r="B484" s="1" t="s">
        <v>1269</v>
      </c>
      <c r="C484" s="1" t="s">
        <v>9235</v>
      </c>
      <c r="D484" s="1" t="s">
        <v>9236</v>
      </c>
      <c r="E484" s="1" t="s">
        <v>6318</v>
      </c>
      <c r="F484" s="1" t="s">
        <v>9237</v>
      </c>
      <c r="G484" s="1" t="s">
        <v>9238</v>
      </c>
      <c r="H484" s="1" t="s">
        <v>9239</v>
      </c>
      <c r="I484" s="1" t="s">
        <v>9240</v>
      </c>
      <c r="J484" s="1">
        <v>8788588413</v>
      </c>
      <c r="K484" s="1" t="s">
        <v>148</v>
      </c>
      <c r="L484" s="1" t="s">
        <v>9241</v>
      </c>
      <c r="M484" s="1" t="s">
        <v>81</v>
      </c>
      <c r="N484" s="1" t="s">
        <v>860</v>
      </c>
      <c r="O484" s="1"/>
      <c r="P484" s="1" t="s">
        <v>1323</v>
      </c>
      <c r="Q484" s="1" t="s">
        <v>9242</v>
      </c>
      <c r="R484" s="1" t="s">
        <v>9243</v>
      </c>
      <c r="S484" s="1">
        <v>9096930712</v>
      </c>
      <c r="T484" s="1" t="s">
        <v>763</v>
      </c>
      <c r="U484" s="1" t="s">
        <v>9244</v>
      </c>
      <c r="V484" s="1">
        <v>9987173686</v>
      </c>
      <c r="W484" s="1" t="s">
        <v>763</v>
      </c>
      <c r="X484" s="1" t="s">
        <v>9245</v>
      </c>
      <c r="Y484" s="1" t="s">
        <v>5080</v>
      </c>
      <c r="Z484" s="1" t="s">
        <v>92</v>
      </c>
      <c r="AA484" s="1" t="s">
        <v>9246</v>
      </c>
      <c r="AB484" s="1" t="s">
        <v>5080</v>
      </c>
      <c r="AC484" s="1" t="s">
        <v>92</v>
      </c>
      <c r="AD484" s="1">
        <v>8.23</v>
      </c>
      <c r="AE484" s="1" t="s">
        <v>93</v>
      </c>
      <c r="AF484" s="1" t="s">
        <v>9247</v>
      </c>
      <c r="AG484" s="1" t="s">
        <v>9248</v>
      </c>
      <c r="AH484" s="1" t="s">
        <v>456</v>
      </c>
      <c r="AI484" s="1" t="s">
        <v>195</v>
      </c>
      <c r="AJ484" s="1">
        <v>76.4</v>
      </c>
      <c r="AK484" s="1">
        <v>8.4</v>
      </c>
      <c r="AL484" s="1"/>
      <c r="AM484" s="1"/>
      <c r="AN484" s="1"/>
      <c r="AO484" s="1"/>
      <c r="AP484" s="1"/>
      <c r="AQ484" s="1"/>
      <c r="AR484" s="1" t="s">
        <v>98</v>
      </c>
      <c r="AS484" s="1" t="s">
        <v>9249</v>
      </c>
      <c r="AT484" s="1" t="s">
        <v>310</v>
      </c>
      <c r="AU484" s="1" t="s">
        <v>481</v>
      </c>
      <c r="AV484" s="1">
        <v>80.89</v>
      </c>
      <c r="AW484" s="1">
        <v>8.51</v>
      </c>
      <c r="AX484" s="1" t="s">
        <v>1024</v>
      </c>
      <c r="AY484" s="1" t="s">
        <v>9249</v>
      </c>
      <c r="AZ484" s="1" t="s">
        <v>105</v>
      </c>
      <c r="BA484" s="1" t="s">
        <v>1361</v>
      </c>
      <c r="BB484" s="1">
        <v>73.48</v>
      </c>
      <c r="BC484" s="1">
        <v>8.33</v>
      </c>
      <c r="BD484" s="1"/>
      <c r="BE484" s="1"/>
      <c r="BF484" s="1"/>
      <c r="BG484" s="1"/>
      <c r="BH484" s="1"/>
      <c r="BI484" s="1"/>
      <c r="BJ484" s="1" t="s">
        <v>9250</v>
      </c>
      <c r="BK484" s="1"/>
      <c r="BL484" s="1"/>
      <c r="BM484" s="1" t="s">
        <v>9251</v>
      </c>
      <c r="BN484" s="1">
        <v>8</v>
      </c>
      <c r="BO484" s="1" t="s">
        <v>9252</v>
      </c>
      <c r="BP484" s="1" t="str">
        <f>HYPERLINK("https://nconnect.nicmar.ac.in/storage/profile/ProfilePhoto_P25700440_435897.jpg","Download")</f>
        <v>0</v>
      </c>
      <c r="BQ484" s="3"/>
      <c r="BR484" s="3"/>
    </row>
    <row r="485" spans="1:70">
      <c r="A485" s="1" t="s">
        <v>70</v>
      </c>
      <c r="B485" s="1" t="s">
        <v>1269</v>
      </c>
      <c r="C485" s="1" t="s">
        <v>9253</v>
      </c>
      <c r="D485" s="1" t="s">
        <v>1680</v>
      </c>
      <c r="E485" s="1"/>
      <c r="F485" s="1" t="s">
        <v>9254</v>
      </c>
      <c r="G485" s="1" t="s">
        <v>9255</v>
      </c>
      <c r="H485" s="1" t="s">
        <v>9256</v>
      </c>
      <c r="I485" s="1" t="s">
        <v>9257</v>
      </c>
      <c r="J485" s="1">
        <v>6303397745</v>
      </c>
      <c r="K485" s="1" t="s">
        <v>79</v>
      </c>
      <c r="L485" s="1" t="s">
        <v>9258</v>
      </c>
      <c r="M485" s="1" t="s">
        <v>81</v>
      </c>
      <c r="N485" s="1" t="s">
        <v>9259</v>
      </c>
      <c r="O485" s="1"/>
      <c r="P485" s="1" t="s">
        <v>1278</v>
      </c>
      <c r="Q485" s="1" t="s">
        <v>9260</v>
      </c>
      <c r="R485" s="1" t="s">
        <v>9261</v>
      </c>
      <c r="S485" s="1">
        <v>8309682167</v>
      </c>
      <c r="T485" s="1" t="s">
        <v>4581</v>
      </c>
      <c r="U485" s="1" t="s">
        <v>9262</v>
      </c>
      <c r="V485" s="1">
        <v>7013296229</v>
      </c>
      <c r="W485" s="1" t="s">
        <v>651</v>
      </c>
      <c r="X485" s="1" t="s">
        <v>9263</v>
      </c>
      <c r="Y485" s="1" t="s">
        <v>4636</v>
      </c>
      <c r="Z485" s="1" t="s">
        <v>276</v>
      </c>
      <c r="AA485" s="1" t="s">
        <v>9264</v>
      </c>
      <c r="AB485" s="1" t="s">
        <v>4636</v>
      </c>
      <c r="AC485" s="1" t="s">
        <v>276</v>
      </c>
      <c r="AD485" s="1">
        <v>8.77</v>
      </c>
      <c r="AE485" s="1" t="s">
        <v>93</v>
      </c>
      <c r="AF485" s="1" t="s">
        <v>501</v>
      </c>
      <c r="AG485" s="1" t="s">
        <v>9265</v>
      </c>
      <c r="AH485" s="1" t="s">
        <v>165</v>
      </c>
      <c r="AI485" s="1" t="s">
        <v>101</v>
      </c>
      <c r="AJ485" s="1">
        <v>79.4</v>
      </c>
      <c r="AK485" s="1"/>
      <c r="AL485" s="1" t="s">
        <v>5386</v>
      </c>
      <c r="AM485" s="1" t="s">
        <v>9266</v>
      </c>
      <c r="AN485" s="1" t="s">
        <v>433</v>
      </c>
      <c r="AO485" s="1" t="s">
        <v>699</v>
      </c>
      <c r="AP485" s="1">
        <v>66.6</v>
      </c>
      <c r="AQ485" s="1"/>
      <c r="AR485" s="1"/>
      <c r="AS485" s="1"/>
      <c r="AT485" s="1"/>
      <c r="AU485" s="1"/>
      <c r="AV485" s="1"/>
      <c r="AW485" s="1"/>
      <c r="AX485" s="1" t="s">
        <v>5388</v>
      </c>
      <c r="AY485" s="1" t="s">
        <v>9267</v>
      </c>
      <c r="AZ485" s="1" t="s">
        <v>173</v>
      </c>
      <c r="BA485" s="1" t="s">
        <v>202</v>
      </c>
      <c r="BB485" s="1">
        <v>63.5</v>
      </c>
      <c r="BC485" s="1">
        <v>7.1</v>
      </c>
      <c r="BD485" s="1"/>
      <c r="BE485" s="1"/>
      <c r="BF485" s="1"/>
      <c r="BG485" s="1"/>
      <c r="BH485" s="1"/>
      <c r="BI485" s="1"/>
      <c r="BJ485" s="1" t="s">
        <v>9268</v>
      </c>
      <c r="BK485" s="1" t="s">
        <v>9269</v>
      </c>
      <c r="BL485" s="1" t="s">
        <v>639</v>
      </c>
      <c r="BM485" s="1" t="s">
        <v>9270</v>
      </c>
      <c r="BN485" s="1">
        <v>9</v>
      </c>
      <c r="BO485" s="1"/>
      <c r="BP485" s="1" t="str">
        <f>HYPERLINK("https://nconnect.nicmar.ac.in/storage/profile/ProfilePhoto_P25700441_579146.jpg","Download")</f>
        <v>0</v>
      </c>
      <c r="BQ485" s="3"/>
      <c r="BR485" s="3"/>
    </row>
    <row r="486" spans="1:70">
      <c r="A486" s="1" t="s">
        <v>70</v>
      </c>
      <c r="B486" s="1" t="s">
        <v>1269</v>
      </c>
      <c r="C486" s="1" t="s">
        <v>9271</v>
      </c>
      <c r="D486" s="1" t="s">
        <v>452</v>
      </c>
      <c r="E486" s="1" t="s">
        <v>8336</v>
      </c>
      <c r="F486" s="1" t="s">
        <v>9272</v>
      </c>
      <c r="G486" s="1" t="s">
        <v>9273</v>
      </c>
      <c r="H486" s="1" t="s">
        <v>9274</v>
      </c>
      <c r="I486" s="1" t="s">
        <v>9275</v>
      </c>
      <c r="J486" s="1">
        <v>9324044109</v>
      </c>
      <c r="K486" s="1" t="s">
        <v>148</v>
      </c>
      <c r="L486" s="1" t="s">
        <v>6953</v>
      </c>
      <c r="M486" s="1" t="s">
        <v>81</v>
      </c>
      <c r="N486" s="1" t="s">
        <v>1418</v>
      </c>
      <c r="O486" s="1"/>
      <c r="P486" s="1" t="s">
        <v>1298</v>
      </c>
      <c r="Q486" s="1" t="s">
        <v>9276</v>
      </c>
      <c r="R486" s="1" t="s">
        <v>9277</v>
      </c>
      <c r="S486" s="1">
        <v>9405856999</v>
      </c>
      <c r="T486" s="1" t="s">
        <v>154</v>
      </c>
      <c r="U486" s="1" t="s">
        <v>9278</v>
      </c>
      <c r="V486" s="1">
        <v>9921163311</v>
      </c>
      <c r="W486" s="1" t="s">
        <v>156</v>
      </c>
      <c r="X486" s="1" t="s">
        <v>9279</v>
      </c>
      <c r="Y486" s="1" t="s">
        <v>1887</v>
      </c>
      <c r="Z486" s="1" t="s">
        <v>92</v>
      </c>
      <c r="AA486" s="1" t="s">
        <v>9279</v>
      </c>
      <c r="AB486" s="1" t="s">
        <v>1887</v>
      </c>
      <c r="AC486" s="1" t="s">
        <v>92</v>
      </c>
      <c r="AD486" s="1">
        <v>8.69</v>
      </c>
      <c r="AE486" s="1" t="s">
        <v>93</v>
      </c>
      <c r="AF486" s="1" t="s">
        <v>6840</v>
      </c>
      <c r="AG486" s="1" t="s">
        <v>9280</v>
      </c>
      <c r="AH486" s="1" t="s">
        <v>101</v>
      </c>
      <c r="AI486" s="1" t="s">
        <v>433</v>
      </c>
      <c r="AJ486" s="1">
        <v>75.6</v>
      </c>
      <c r="AK486" s="1">
        <v>7.95</v>
      </c>
      <c r="AL486" s="1" t="s">
        <v>9281</v>
      </c>
      <c r="AM486" s="1" t="s">
        <v>476</v>
      </c>
      <c r="AN486" s="1" t="s">
        <v>173</v>
      </c>
      <c r="AO486" s="1" t="s">
        <v>436</v>
      </c>
      <c r="AP486" s="1">
        <v>92.83</v>
      </c>
      <c r="AQ486" s="1">
        <v>9.77</v>
      </c>
      <c r="AR486" s="1"/>
      <c r="AS486" s="1"/>
      <c r="AT486" s="1"/>
      <c r="AU486" s="1"/>
      <c r="AV486" s="1"/>
      <c r="AW486" s="1"/>
      <c r="AX486" s="1" t="s">
        <v>9282</v>
      </c>
      <c r="AY486" s="1" t="s">
        <v>9283</v>
      </c>
      <c r="AZ486" s="1" t="s">
        <v>436</v>
      </c>
      <c r="BA486" s="1" t="s">
        <v>1584</v>
      </c>
      <c r="BB486" s="1">
        <v>86.9</v>
      </c>
      <c r="BC486" s="1">
        <v>8.69</v>
      </c>
      <c r="BD486" s="1"/>
      <c r="BE486" s="1"/>
      <c r="BF486" s="1"/>
      <c r="BG486" s="1"/>
      <c r="BH486" s="1"/>
      <c r="BI486" s="1"/>
      <c r="BJ486" s="1" t="s">
        <v>9284</v>
      </c>
      <c r="BK486" s="1"/>
      <c r="BL486" s="1"/>
      <c r="BM486" s="1" t="s">
        <v>9285</v>
      </c>
      <c r="BN486" s="1">
        <v>27</v>
      </c>
      <c r="BO486" s="1" t="s">
        <v>9286</v>
      </c>
      <c r="BP486" s="1" t="str">
        <f>HYPERLINK("https://nconnect.nicmar.ac.in/storage/profile/ProfilePhoto_P25700442_698427.jpg","Download")</f>
        <v>0</v>
      </c>
      <c r="BQ486" s="3"/>
      <c r="BR486" s="3"/>
    </row>
    <row r="487" spans="1:70">
      <c r="A487" s="1" t="s">
        <v>70</v>
      </c>
      <c r="B487" s="1" t="s">
        <v>1269</v>
      </c>
      <c r="C487" s="1" t="s">
        <v>9287</v>
      </c>
      <c r="D487" s="1" t="s">
        <v>793</v>
      </c>
      <c r="E487" s="1" t="s">
        <v>9288</v>
      </c>
      <c r="F487" s="1" t="s">
        <v>2024</v>
      </c>
      <c r="G487" s="1" t="s">
        <v>9289</v>
      </c>
      <c r="H487" s="1" t="s">
        <v>9290</v>
      </c>
      <c r="I487" s="1" t="s">
        <v>9291</v>
      </c>
      <c r="J487" s="1">
        <v>7507570459</v>
      </c>
      <c r="K487" s="1" t="s">
        <v>79</v>
      </c>
      <c r="L487" s="1" t="s">
        <v>9292</v>
      </c>
      <c r="M487" s="1" t="s">
        <v>81</v>
      </c>
      <c r="N487" s="1" t="s">
        <v>860</v>
      </c>
      <c r="O487" s="1"/>
      <c r="P487" s="1" t="s">
        <v>1766</v>
      </c>
      <c r="Q487" s="1" t="s">
        <v>9293</v>
      </c>
      <c r="R487" s="1" t="s">
        <v>9294</v>
      </c>
      <c r="S487" s="1">
        <v>8830014225</v>
      </c>
      <c r="T487" s="1" t="s">
        <v>154</v>
      </c>
      <c r="U487" s="1" t="s">
        <v>4727</v>
      </c>
      <c r="V487" s="1">
        <v>9767991960</v>
      </c>
      <c r="W487" s="1" t="s">
        <v>156</v>
      </c>
      <c r="X487" s="1" t="s">
        <v>9295</v>
      </c>
      <c r="Y487" s="1" t="s">
        <v>304</v>
      </c>
      <c r="Z487" s="1" t="s">
        <v>92</v>
      </c>
      <c r="AA487" s="1" t="s">
        <v>9295</v>
      </c>
      <c r="AB487" s="1" t="s">
        <v>304</v>
      </c>
      <c r="AC487" s="1" t="s">
        <v>92</v>
      </c>
      <c r="AD487" s="1">
        <v>8.77</v>
      </c>
      <c r="AE487" s="1" t="s">
        <v>93</v>
      </c>
      <c r="AF487" s="1" t="s">
        <v>9296</v>
      </c>
      <c r="AG487" s="1" t="s">
        <v>307</v>
      </c>
      <c r="AH487" s="1" t="s">
        <v>162</v>
      </c>
      <c r="AI487" s="1" t="s">
        <v>165</v>
      </c>
      <c r="AJ487" s="1">
        <v>79.8</v>
      </c>
      <c r="AK487" s="1">
        <v>8.4</v>
      </c>
      <c r="AL487" s="1" t="s">
        <v>9296</v>
      </c>
      <c r="AM487" s="1" t="s">
        <v>307</v>
      </c>
      <c r="AN487" s="1" t="s">
        <v>166</v>
      </c>
      <c r="AO487" s="1" t="s">
        <v>308</v>
      </c>
      <c r="AP487" s="1">
        <v>56</v>
      </c>
      <c r="AQ487" s="1"/>
      <c r="AR487" s="1" t="s">
        <v>98</v>
      </c>
      <c r="AS487" s="1" t="s">
        <v>9297</v>
      </c>
      <c r="AT487" s="1" t="s">
        <v>201</v>
      </c>
      <c r="AU487" s="1" t="s">
        <v>1051</v>
      </c>
      <c r="AV487" s="1">
        <v>90.89</v>
      </c>
      <c r="AW487" s="1"/>
      <c r="AX487" s="1" t="s">
        <v>361</v>
      </c>
      <c r="AY487" s="1" t="s">
        <v>9298</v>
      </c>
      <c r="AZ487" s="1" t="s">
        <v>897</v>
      </c>
      <c r="BA487" s="1" t="s">
        <v>202</v>
      </c>
      <c r="BB487" s="1">
        <v>68.7</v>
      </c>
      <c r="BC487" s="1">
        <v>7.72</v>
      </c>
      <c r="BD487" s="1"/>
      <c r="BE487" s="1"/>
      <c r="BF487" s="1"/>
      <c r="BG487" s="1"/>
      <c r="BH487" s="1"/>
      <c r="BI487" s="1"/>
      <c r="BJ487" s="1" t="s">
        <v>9299</v>
      </c>
      <c r="BK487" s="1"/>
      <c r="BL487" s="1"/>
      <c r="BM487" s="1" t="s">
        <v>9300</v>
      </c>
      <c r="BN487" s="1">
        <v>60</v>
      </c>
      <c r="BO487" s="1" t="s">
        <v>9301</v>
      </c>
      <c r="BP487" s="1" t="str">
        <f>HYPERLINK("https://nconnect.nicmar.ac.in/storage/profile/ProfilePhoto_P25700443_397648.jpg","Download")</f>
        <v>0</v>
      </c>
      <c r="BQ487" s="3"/>
      <c r="BR487" s="3"/>
    </row>
    <row r="488" spans="1:70">
      <c r="A488" s="1" t="s">
        <v>70</v>
      </c>
      <c r="B488" s="1" t="s">
        <v>1269</v>
      </c>
      <c r="C488" s="1" t="s">
        <v>9302</v>
      </c>
      <c r="D488" s="1" t="s">
        <v>9303</v>
      </c>
      <c r="E488" s="1"/>
      <c r="F488" s="1" t="s">
        <v>2129</v>
      </c>
      <c r="G488" s="1" t="s">
        <v>9304</v>
      </c>
      <c r="H488" s="1" t="s">
        <v>9305</v>
      </c>
      <c r="I488" s="1" t="s">
        <v>9306</v>
      </c>
      <c r="J488" s="1">
        <v>7358012493</v>
      </c>
      <c r="K488" s="1" t="s">
        <v>79</v>
      </c>
      <c r="L488" s="1" t="s">
        <v>9307</v>
      </c>
      <c r="M488" s="1" t="s">
        <v>81</v>
      </c>
      <c r="N488" s="1" t="s">
        <v>2861</v>
      </c>
      <c r="O488" s="1"/>
      <c r="P488" s="1" t="s">
        <v>1462</v>
      </c>
      <c r="Q488" s="1" t="s">
        <v>9308</v>
      </c>
      <c r="R488" s="1" t="s">
        <v>9309</v>
      </c>
      <c r="S488" s="1">
        <v>7337392771</v>
      </c>
      <c r="T488" s="1" t="s">
        <v>87</v>
      </c>
      <c r="U488" s="1" t="s">
        <v>9310</v>
      </c>
      <c r="V488" s="1">
        <v>7358297076</v>
      </c>
      <c r="W488" s="1" t="s">
        <v>9311</v>
      </c>
      <c r="X488" s="1" t="s">
        <v>9312</v>
      </c>
      <c r="Y488" s="1" t="s">
        <v>5028</v>
      </c>
      <c r="Z488" s="1" t="s">
        <v>1377</v>
      </c>
      <c r="AA488" s="1" t="s">
        <v>9312</v>
      </c>
      <c r="AB488" s="1" t="s">
        <v>5028</v>
      </c>
      <c r="AC488" s="1" t="s">
        <v>1377</v>
      </c>
      <c r="AD488" s="1">
        <v>7.54</v>
      </c>
      <c r="AE488" s="1" t="s">
        <v>93</v>
      </c>
      <c r="AF488" s="1" t="s">
        <v>9313</v>
      </c>
      <c r="AG488" s="1" t="s">
        <v>9314</v>
      </c>
      <c r="AH488" s="1" t="s">
        <v>101</v>
      </c>
      <c r="AI488" s="1" t="s">
        <v>409</v>
      </c>
      <c r="AJ488" s="1">
        <v>64.2</v>
      </c>
      <c r="AK488" s="1"/>
      <c r="AL488" s="1"/>
      <c r="AM488" s="1"/>
      <c r="AN488" s="1"/>
      <c r="AO488" s="1"/>
      <c r="AP488" s="1"/>
      <c r="AQ488" s="1"/>
      <c r="AR488" s="1" t="s">
        <v>434</v>
      </c>
      <c r="AS488" s="1" t="s">
        <v>9315</v>
      </c>
      <c r="AT488" s="1" t="s">
        <v>433</v>
      </c>
      <c r="AU488" s="1" t="s">
        <v>1003</v>
      </c>
      <c r="AV488" s="1">
        <v>85</v>
      </c>
      <c r="AW488" s="1"/>
      <c r="AX488" s="1" t="s">
        <v>1381</v>
      </c>
      <c r="AY488" s="1" t="s">
        <v>9316</v>
      </c>
      <c r="AZ488" s="1" t="s">
        <v>284</v>
      </c>
      <c r="BA488" s="1" t="s">
        <v>1361</v>
      </c>
      <c r="BB488" s="1">
        <v>68.3</v>
      </c>
      <c r="BC488" s="1">
        <v>6.83</v>
      </c>
      <c r="BD488" s="1"/>
      <c r="BE488" s="1"/>
      <c r="BF488" s="1"/>
      <c r="BG488" s="1"/>
      <c r="BH488" s="1"/>
      <c r="BI488" s="1"/>
      <c r="BJ488" s="1" t="s">
        <v>364</v>
      </c>
      <c r="BK488" s="1"/>
      <c r="BL488" s="1"/>
      <c r="BM488" s="1" t="s">
        <v>9317</v>
      </c>
      <c r="BN488" s="1">
        <v>17</v>
      </c>
      <c r="BO488" s="1"/>
      <c r="BP488" s="1" t="str">
        <f>HYPERLINK("https://nconnect.nicmar.ac.in/storage/profile/ProfilePhoto_P25700444_392578.jpg","Download")</f>
        <v>0</v>
      </c>
      <c r="BQ488" s="3"/>
      <c r="BR488" s="3"/>
    </row>
    <row r="489" spans="1:70">
      <c r="A489" s="1" t="s">
        <v>70</v>
      </c>
      <c r="B489" s="1" t="s">
        <v>1269</v>
      </c>
      <c r="C489" s="1" t="s">
        <v>9318</v>
      </c>
      <c r="D489" s="1" t="s">
        <v>9319</v>
      </c>
      <c r="E489" s="1" t="s">
        <v>1760</v>
      </c>
      <c r="F489" s="1" t="s">
        <v>236</v>
      </c>
      <c r="G489" s="1" t="s">
        <v>9320</v>
      </c>
      <c r="H489" s="1" t="s">
        <v>9321</v>
      </c>
      <c r="I489" s="1" t="s">
        <v>9322</v>
      </c>
      <c r="J489" s="1">
        <v>8999899441</v>
      </c>
      <c r="K489" s="1" t="s">
        <v>79</v>
      </c>
      <c r="L489" s="1" t="s">
        <v>9323</v>
      </c>
      <c r="M489" s="1" t="s">
        <v>81</v>
      </c>
      <c r="N489" s="1" t="s">
        <v>9324</v>
      </c>
      <c r="O489" s="1"/>
      <c r="P489" s="1" t="s">
        <v>1298</v>
      </c>
      <c r="Q489" s="1" t="s">
        <v>9325</v>
      </c>
      <c r="R489" s="1" t="s">
        <v>1760</v>
      </c>
      <c r="S489" s="1">
        <v>9922437367</v>
      </c>
      <c r="T489" s="1" t="s">
        <v>3217</v>
      </c>
      <c r="U489" s="1" t="s">
        <v>3480</v>
      </c>
      <c r="V489" s="1">
        <v>9960974766</v>
      </c>
      <c r="W489" s="1" t="s">
        <v>156</v>
      </c>
      <c r="X489" s="1" t="s">
        <v>9326</v>
      </c>
      <c r="Y489" s="1" t="s">
        <v>191</v>
      </c>
      <c r="Z489" s="1" t="s">
        <v>92</v>
      </c>
      <c r="AA489" s="1" t="s">
        <v>9326</v>
      </c>
      <c r="AB489" s="1" t="s">
        <v>191</v>
      </c>
      <c r="AC489" s="1" t="s">
        <v>92</v>
      </c>
      <c r="AD489" s="1">
        <v>7.4</v>
      </c>
      <c r="AE489" s="1" t="s">
        <v>93</v>
      </c>
      <c r="AF489" s="1" t="s">
        <v>9327</v>
      </c>
      <c r="AG489" s="1" t="s">
        <v>160</v>
      </c>
      <c r="AH489" s="1" t="s">
        <v>998</v>
      </c>
      <c r="AI489" s="1" t="s">
        <v>96</v>
      </c>
      <c r="AJ489" s="1">
        <v>86.2</v>
      </c>
      <c r="AK489" s="1">
        <v>0</v>
      </c>
      <c r="AL489" s="1" t="s">
        <v>9328</v>
      </c>
      <c r="AM489" s="1" t="s">
        <v>9329</v>
      </c>
      <c r="AN489" s="1" t="s">
        <v>161</v>
      </c>
      <c r="AO489" s="1" t="s">
        <v>527</v>
      </c>
      <c r="AP489" s="1">
        <v>60.46</v>
      </c>
      <c r="AQ489" s="1">
        <v>0</v>
      </c>
      <c r="AR489" s="1"/>
      <c r="AS489" s="1"/>
      <c r="AT489" s="1"/>
      <c r="AU489" s="1"/>
      <c r="AV489" s="1"/>
      <c r="AW489" s="1"/>
      <c r="AX489" s="1" t="s">
        <v>361</v>
      </c>
      <c r="AY489" s="1" t="s">
        <v>9330</v>
      </c>
      <c r="AZ489" s="1" t="s">
        <v>733</v>
      </c>
      <c r="BA489" s="1" t="s">
        <v>506</v>
      </c>
      <c r="BB489" s="1">
        <v>64.5</v>
      </c>
      <c r="BC489" s="1"/>
      <c r="BD489" s="1"/>
      <c r="BE489" s="1"/>
      <c r="BF489" s="1"/>
      <c r="BG489" s="1"/>
      <c r="BH489" s="1"/>
      <c r="BI489" s="1"/>
      <c r="BJ489" s="1" t="s">
        <v>9331</v>
      </c>
      <c r="BK489" s="1" t="s">
        <v>9332</v>
      </c>
      <c r="BL489" s="1" t="s">
        <v>8345</v>
      </c>
      <c r="BM489" s="1" t="s">
        <v>9333</v>
      </c>
      <c r="BN489" s="1">
        <v>8</v>
      </c>
      <c r="BO489" s="1"/>
      <c r="BP489" s="1" t="str">
        <f>HYPERLINK("https://nconnect.nicmar.ac.in/storage/profile/ProfilePhoto_P25700445_174289.jpg","Download")</f>
        <v>0</v>
      </c>
      <c r="BQ489" s="3"/>
      <c r="BR489" s="3"/>
    </row>
    <row r="490" spans="1:70">
      <c r="A490" s="1" t="s">
        <v>70</v>
      </c>
      <c r="B490" s="1" t="s">
        <v>1269</v>
      </c>
      <c r="C490" s="1" t="s">
        <v>9334</v>
      </c>
      <c r="D490" s="1" t="s">
        <v>9236</v>
      </c>
      <c r="E490" s="1" t="s">
        <v>5088</v>
      </c>
      <c r="F490" s="1" t="s">
        <v>9335</v>
      </c>
      <c r="G490" s="1" t="s">
        <v>9336</v>
      </c>
      <c r="H490" s="1" t="s">
        <v>9337</v>
      </c>
      <c r="I490" s="1" t="s">
        <v>9338</v>
      </c>
      <c r="J490" s="1">
        <v>8806005851</v>
      </c>
      <c r="K490" s="1" t="s">
        <v>148</v>
      </c>
      <c r="L490" s="1" t="s">
        <v>9339</v>
      </c>
      <c r="M490" s="1" t="s">
        <v>81</v>
      </c>
      <c r="N490" s="1" t="s">
        <v>1418</v>
      </c>
      <c r="O490" s="1"/>
      <c r="P490" s="1" t="s">
        <v>1298</v>
      </c>
      <c r="Q490" s="1" t="s">
        <v>9340</v>
      </c>
      <c r="R490" s="1" t="s">
        <v>9341</v>
      </c>
      <c r="S490" s="1">
        <v>9049373272</v>
      </c>
      <c r="T490" s="1" t="s">
        <v>154</v>
      </c>
      <c r="U490" s="1" t="s">
        <v>9342</v>
      </c>
      <c r="V490" s="1">
        <v>8793292232</v>
      </c>
      <c r="W490" s="1" t="s">
        <v>156</v>
      </c>
      <c r="X490" s="1" t="s">
        <v>9343</v>
      </c>
      <c r="Y490" s="1" t="s">
        <v>1018</v>
      </c>
      <c r="Z490" s="1" t="s">
        <v>92</v>
      </c>
      <c r="AA490" s="1" t="s">
        <v>9343</v>
      </c>
      <c r="AB490" s="1" t="s">
        <v>1018</v>
      </c>
      <c r="AC490" s="1" t="s">
        <v>92</v>
      </c>
      <c r="AD490" s="1">
        <v>7.94</v>
      </c>
      <c r="AE490" s="1" t="s">
        <v>93</v>
      </c>
      <c r="AF490" s="1" t="s">
        <v>9344</v>
      </c>
      <c r="AG490" s="1" t="s">
        <v>160</v>
      </c>
      <c r="AH490" s="1" t="s">
        <v>162</v>
      </c>
      <c r="AI490" s="1" t="s">
        <v>195</v>
      </c>
      <c r="AJ490" s="1">
        <v>80.2</v>
      </c>
      <c r="AK490" s="1"/>
      <c r="AL490" s="1" t="s">
        <v>9345</v>
      </c>
      <c r="AM490" s="1" t="s">
        <v>160</v>
      </c>
      <c r="AN490" s="1" t="s">
        <v>101</v>
      </c>
      <c r="AO490" s="1" t="s">
        <v>198</v>
      </c>
      <c r="AP490" s="1">
        <v>62.15</v>
      </c>
      <c r="AQ490" s="1"/>
      <c r="AR490" s="1"/>
      <c r="AS490" s="1"/>
      <c r="AT490" s="1"/>
      <c r="AU490" s="1"/>
      <c r="AV490" s="1"/>
      <c r="AW490" s="1"/>
      <c r="AX490" s="1" t="s">
        <v>1024</v>
      </c>
      <c r="AY490" s="1" t="s">
        <v>9346</v>
      </c>
      <c r="AZ490" s="1" t="s">
        <v>201</v>
      </c>
      <c r="BA490" s="1" t="s">
        <v>9347</v>
      </c>
      <c r="BB490" s="1">
        <v>64</v>
      </c>
      <c r="BC490" s="1">
        <v>7.15</v>
      </c>
      <c r="BD490" s="1"/>
      <c r="BE490" s="1"/>
      <c r="BF490" s="1"/>
      <c r="BG490" s="1"/>
      <c r="BH490" s="1"/>
      <c r="BI490" s="1"/>
      <c r="BJ490" s="1" t="s">
        <v>9348</v>
      </c>
      <c r="BK490" s="1"/>
      <c r="BL490" s="1"/>
      <c r="BM490" s="1" t="s">
        <v>9349</v>
      </c>
      <c r="BN490" s="1">
        <v>8</v>
      </c>
      <c r="BO490" s="1"/>
      <c r="BP490" s="1" t="str">
        <f>HYPERLINK("https://nconnect.nicmar.ac.in/storage/profile/ProfilePhoto_P25700446_625137.jpg","Download")</f>
        <v>0</v>
      </c>
      <c r="BQ490" s="3"/>
      <c r="BR490" s="3"/>
    </row>
    <row r="491" spans="1:70">
      <c r="A491" s="1" t="s">
        <v>70</v>
      </c>
      <c r="B491" s="1" t="s">
        <v>1269</v>
      </c>
      <c r="C491" s="1" t="s">
        <v>9350</v>
      </c>
      <c r="D491" s="1" t="s">
        <v>9351</v>
      </c>
      <c r="E491" s="1" t="s">
        <v>1342</v>
      </c>
      <c r="F491" s="1" t="s">
        <v>835</v>
      </c>
      <c r="G491" s="1" t="s">
        <v>9352</v>
      </c>
      <c r="H491" s="1" t="s">
        <v>9353</v>
      </c>
      <c r="I491" s="1" t="s">
        <v>9354</v>
      </c>
      <c r="J491" s="1">
        <v>8445489675</v>
      </c>
      <c r="K491" s="1" t="s">
        <v>79</v>
      </c>
      <c r="L491" s="1" t="s">
        <v>9355</v>
      </c>
      <c r="M491" s="1" t="s">
        <v>81</v>
      </c>
      <c r="N491" s="1" t="s">
        <v>9356</v>
      </c>
      <c r="O491" s="1"/>
      <c r="P491" s="1" t="s">
        <v>1323</v>
      </c>
      <c r="Q491" s="1" t="s">
        <v>9357</v>
      </c>
      <c r="R491" s="1" t="s">
        <v>9358</v>
      </c>
      <c r="S491" s="1">
        <v>8126123456</v>
      </c>
      <c r="T491" s="1" t="s">
        <v>120</v>
      </c>
      <c r="U491" s="1" t="s">
        <v>9359</v>
      </c>
      <c r="V491" s="1">
        <v>6396047747</v>
      </c>
      <c r="W491" s="1" t="s">
        <v>273</v>
      </c>
      <c r="X491" s="1" t="s">
        <v>9360</v>
      </c>
      <c r="Y491" s="1" t="s">
        <v>9361</v>
      </c>
      <c r="Z491" s="1" t="s">
        <v>1355</v>
      </c>
      <c r="AA491" s="1" t="s">
        <v>9360</v>
      </c>
      <c r="AB491" s="1" t="s">
        <v>9361</v>
      </c>
      <c r="AC491" s="1" t="s">
        <v>1355</v>
      </c>
      <c r="AD491" s="1">
        <v>8.23</v>
      </c>
      <c r="AE491" s="1" t="s">
        <v>93</v>
      </c>
      <c r="AF491" s="1" t="s">
        <v>9362</v>
      </c>
      <c r="AG491" s="1" t="s">
        <v>9362</v>
      </c>
      <c r="AH491" s="1" t="s">
        <v>503</v>
      </c>
      <c r="AI491" s="1" t="s">
        <v>527</v>
      </c>
      <c r="AJ491" s="1">
        <v>79.8</v>
      </c>
      <c r="AK491" s="1">
        <v>8.4</v>
      </c>
      <c r="AL491" s="1" t="s">
        <v>9362</v>
      </c>
      <c r="AM491" s="1" t="s">
        <v>307</v>
      </c>
      <c r="AN491" s="1" t="s">
        <v>678</v>
      </c>
      <c r="AO491" s="1" t="s">
        <v>166</v>
      </c>
      <c r="AP491" s="1">
        <v>61</v>
      </c>
      <c r="AQ491" s="1"/>
      <c r="AR491" s="1"/>
      <c r="AS491" s="1"/>
      <c r="AT491" s="1"/>
      <c r="AU491" s="1"/>
      <c r="AV491" s="1"/>
      <c r="AW491" s="1"/>
      <c r="AX491" s="1" t="s">
        <v>9363</v>
      </c>
      <c r="AY491" s="1" t="s">
        <v>9364</v>
      </c>
      <c r="AZ491" s="1" t="s">
        <v>169</v>
      </c>
      <c r="BA491" s="1" t="s">
        <v>481</v>
      </c>
      <c r="BB491" s="1">
        <v>68.7</v>
      </c>
      <c r="BC491" s="1">
        <v>6.87</v>
      </c>
      <c r="BD491" s="1"/>
      <c r="BE491" s="1"/>
      <c r="BF491" s="1"/>
      <c r="BG491" s="1"/>
      <c r="BH491" s="1"/>
      <c r="BI491" s="1"/>
      <c r="BJ491" s="1" t="s">
        <v>4112</v>
      </c>
      <c r="BK491" s="1" t="s">
        <v>9365</v>
      </c>
      <c r="BL491" s="1" t="s">
        <v>4737</v>
      </c>
      <c r="BM491" s="1" t="s">
        <v>9366</v>
      </c>
      <c r="BN491" s="1">
        <v>8</v>
      </c>
      <c r="BO491" s="1" t="s">
        <v>9367</v>
      </c>
      <c r="BP491" s="1" t="str">
        <f>HYPERLINK("https://nconnect.nicmar.ac.in/storage/profile/ProfilePhoto_P25700447_624183.jpg","Download")</f>
        <v>0</v>
      </c>
      <c r="BQ491" s="3"/>
      <c r="BR491" s="3"/>
    </row>
    <row r="492" spans="1:70">
      <c r="A492" s="1" t="s">
        <v>70</v>
      </c>
      <c r="B492" s="1" t="s">
        <v>1269</v>
      </c>
      <c r="C492" s="1" t="s">
        <v>9368</v>
      </c>
      <c r="D492" s="1" t="s">
        <v>9369</v>
      </c>
      <c r="E492" s="1"/>
      <c r="F492" s="1" t="s">
        <v>9370</v>
      </c>
      <c r="G492" s="1" t="s">
        <v>9371</v>
      </c>
      <c r="H492" s="1" t="s">
        <v>9372</v>
      </c>
      <c r="I492" s="1" t="s">
        <v>9373</v>
      </c>
      <c r="J492" s="1">
        <v>7418269162</v>
      </c>
      <c r="K492" s="1" t="s">
        <v>79</v>
      </c>
      <c r="L492" s="1" t="s">
        <v>9374</v>
      </c>
      <c r="M492" s="1" t="s">
        <v>81</v>
      </c>
      <c r="N492" s="1" t="s">
        <v>9375</v>
      </c>
      <c r="O492" s="1"/>
      <c r="P492" s="1" t="s">
        <v>1323</v>
      </c>
      <c r="Q492" s="1" t="s">
        <v>9376</v>
      </c>
      <c r="R492" s="1" t="s">
        <v>9377</v>
      </c>
      <c r="S492" s="1">
        <v>9840810292</v>
      </c>
      <c r="T492" s="1" t="s">
        <v>9378</v>
      </c>
      <c r="U492" s="1" t="s">
        <v>9379</v>
      </c>
      <c r="V492" s="1">
        <v>7904909123</v>
      </c>
      <c r="W492" s="1" t="s">
        <v>9380</v>
      </c>
      <c r="X492" s="1" t="s">
        <v>9381</v>
      </c>
      <c r="Y492" s="1" t="s">
        <v>191</v>
      </c>
      <c r="Z492" s="1" t="s">
        <v>92</v>
      </c>
      <c r="AA492" s="1" t="s">
        <v>9382</v>
      </c>
      <c r="AB492" s="1" t="s">
        <v>2320</v>
      </c>
      <c r="AC492" s="1" t="s">
        <v>1377</v>
      </c>
      <c r="AD492" s="1">
        <v>9.33</v>
      </c>
      <c r="AE492" s="1" t="s">
        <v>93</v>
      </c>
      <c r="AF492" s="1" t="s">
        <v>9383</v>
      </c>
      <c r="AG492" s="1" t="s">
        <v>939</v>
      </c>
      <c r="AH492" s="1" t="s">
        <v>161</v>
      </c>
      <c r="AI492" s="1" t="s">
        <v>527</v>
      </c>
      <c r="AJ492" s="1">
        <v>77.9</v>
      </c>
      <c r="AK492" s="1">
        <v>8.2</v>
      </c>
      <c r="AL492" s="1" t="s">
        <v>9384</v>
      </c>
      <c r="AM492" s="1" t="s">
        <v>9314</v>
      </c>
      <c r="AN492" s="1" t="s">
        <v>165</v>
      </c>
      <c r="AO492" s="1" t="s">
        <v>166</v>
      </c>
      <c r="AP492" s="1">
        <v>88.5</v>
      </c>
      <c r="AQ492" s="1">
        <v>0</v>
      </c>
      <c r="AR492" s="1"/>
      <c r="AS492" s="1"/>
      <c r="AT492" s="1"/>
      <c r="AU492" s="1"/>
      <c r="AV492" s="1"/>
      <c r="AW492" s="1"/>
      <c r="AX492" s="1" t="s">
        <v>1381</v>
      </c>
      <c r="AY492" s="1" t="s">
        <v>9385</v>
      </c>
      <c r="AZ492" s="1" t="s">
        <v>170</v>
      </c>
      <c r="BA492" s="1" t="s">
        <v>944</v>
      </c>
      <c r="BB492" s="1">
        <v>90</v>
      </c>
      <c r="BC492" s="1">
        <v>9</v>
      </c>
      <c r="BD492" s="1"/>
      <c r="BE492" s="1"/>
      <c r="BF492" s="1"/>
      <c r="BG492" s="1"/>
      <c r="BH492" s="1"/>
      <c r="BI492" s="1"/>
      <c r="BJ492" s="1" t="s">
        <v>4508</v>
      </c>
      <c r="BK492" s="1" t="s">
        <v>9386</v>
      </c>
      <c r="BL492" s="1" t="s">
        <v>1920</v>
      </c>
      <c r="BM492" s="1" t="s">
        <v>9387</v>
      </c>
      <c r="BN492" s="1">
        <v>12</v>
      </c>
      <c r="BO492" s="1" t="s">
        <v>9388</v>
      </c>
      <c r="BP492" s="1" t="str">
        <f>HYPERLINK("https://nconnect.nicmar.ac.in/storage/profile/ProfilePhoto_P25700448_675934.jpg","Download")</f>
        <v>0</v>
      </c>
      <c r="BQ492" s="3"/>
      <c r="BR492" s="3"/>
    </row>
    <row r="493" spans="1:70">
      <c r="A493" s="1" t="s">
        <v>70</v>
      </c>
      <c r="B493" s="1" t="s">
        <v>1269</v>
      </c>
      <c r="C493" s="1" t="s">
        <v>9389</v>
      </c>
      <c r="D493" s="1" t="s">
        <v>9390</v>
      </c>
      <c r="E493" s="1" t="s">
        <v>2766</v>
      </c>
      <c r="F493" s="1" t="s">
        <v>9391</v>
      </c>
      <c r="G493" s="1" t="s">
        <v>9392</v>
      </c>
      <c r="H493" s="1" t="s">
        <v>9393</v>
      </c>
      <c r="I493" s="1" t="s">
        <v>9394</v>
      </c>
      <c r="J493" s="1">
        <v>9307267462</v>
      </c>
      <c r="K493" s="1" t="s">
        <v>79</v>
      </c>
      <c r="L493" s="1" t="s">
        <v>9395</v>
      </c>
      <c r="M493" s="1" t="s">
        <v>81</v>
      </c>
      <c r="N493" s="1" t="s">
        <v>9396</v>
      </c>
      <c r="O493" s="1"/>
      <c r="P493" s="1" t="s">
        <v>1323</v>
      </c>
      <c r="Q493" s="1" t="s">
        <v>9397</v>
      </c>
      <c r="R493" s="1" t="s">
        <v>9398</v>
      </c>
      <c r="S493" s="1">
        <v>9422941112</v>
      </c>
      <c r="T493" s="1" t="s">
        <v>122</v>
      </c>
      <c r="U493" s="1" t="s">
        <v>9399</v>
      </c>
      <c r="V493" s="1">
        <v>9370959374</v>
      </c>
      <c r="W493" s="1" t="s">
        <v>122</v>
      </c>
      <c r="X493" s="1" t="s">
        <v>9400</v>
      </c>
      <c r="Y493" s="1" t="s">
        <v>1991</v>
      </c>
      <c r="Z493" s="1" t="s">
        <v>92</v>
      </c>
      <c r="AA493" s="1" t="s">
        <v>9400</v>
      </c>
      <c r="AB493" s="1" t="s">
        <v>1991</v>
      </c>
      <c r="AC493" s="1" t="s">
        <v>92</v>
      </c>
      <c r="AD493" s="1" t="s">
        <v>93</v>
      </c>
      <c r="AE493" s="1" t="s">
        <v>93</v>
      </c>
      <c r="AF493" s="1" t="s">
        <v>9401</v>
      </c>
      <c r="AG493" s="1" t="s">
        <v>9402</v>
      </c>
      <c r="AH493" s="1" t="s">
        <v>101</v>
      </c>
      <c r="AI493" s="1" t="s">
        <v>308</v>
      </c>
      <c r="AJ493" s="1">
        <v>96.2</v>
      </c>
      <c r="AK493" s="1"/>
      <c r="AL493" s="1" t="s">
        <v>9403</v>
      </c>
      <c r="AM493" s="1" t="s">
        <v>9404</v>
      </c>
      <c r="AN493" s="1" t="s">
        <v>699</v>
      </c>
      <c r="AO493" s="1" t="s">
        <v>1712</v>
      </c>
      <c r="AP493" s="1">
        <v>92</v>
      </c>
      <c r="AQ493" s="1"/>
      <c r="AR493" s="1"/>
      <c r="AS493" s="1"/>
      <c r="AT493" s="1"/>
      <c r="AU493" s="1"/>
      <c r="AV493" s="1"/>
      <c r="AW493" s="1"/>
      <c r="AX493" s="1" t="s">
        <v>9405</v>
      </c>
      <c r="AY493" s="1" t="s">
        <v>9406</v>
      </c>
      <c r="AZ493" s="1" t="s">
        <v>436</v>
      </c>
      <c r="BA493" s="1" t="s">
        <v>1361</v>
      </c>
      <c r="BB493" s="1">
        <v>78</v>
      </c>
      <c r="BC493" s="1">
        <v>8.6</v>
      </c>
      <c r="BD493" s="1"/>
      <c r="BE493" s="1"/>
      <c r="BF493" s="1"/>
      <c r="BG493" s="1"/>
      <c r="BH493" s="1"/>
      <c r="BI493" s="1"/>
      <c r="BJ493" s="1" t="s">
        <v>364</v>
      </c>
      <c r="BK493" s="1"/>
      <c r="BL493" s="1"/>
      <c r="BM493" s="1" t="s">
        <v>9407</v>
      </c>
      <c r="BN493" s="1">
        <v>20</v>
      </c>
      <c r="BO493" s="1"/>
      <c r="BP493" s="1" t="str">
        <f>HYPERLINK("https://nconnect.nicmar.ac.in/storage/profile/ProfilePhoto_P25700449_946731.jpg","Download")</f>
        <v>0</v>
      </c>
      <c r="BQ493" s="3"/>
      <c r="BR493" s="3"/>
    </row>
    <row r="494" spans="1:70">
      <c r="A494" s="1" t="s">
        <v>70</v>
      </c>
      <c r="B494" s="1" t="s">
        <v>1269</v>
      </c>
      <c r="C494" s="1" t="s">
        <v>9408</v>
      </c>
      <c r="D494" s="1" t="s">
        <v>9409</v>
      </c>
      <c r="E494" s="1" t="s">
        <v>3910</v>
      </c>
      <c r="F494" s="1" t="s">
        <v>9410</v>
      </c>
      <c r="G494" s="1" t="s">
        <v>9411</v>
      </c>
      <c r="H494" s="1" t="s">
        <v>9412</v>
      </c>
      <c r="I494" s="1" t="s">
        <v>9413</v>
      </c>
      <c r="J494" s="1">
        <v>9624951503</v>
      </c>
      <c r="K494" s="1" t="s">
        <v>79</v>
      </c>
      <c r="L494" s="1" t="s">
        <v>9414</v>
      </c>
      <c r="M494" s="1" t="s">
        <v>81</v>
      </c>
      <c r="N494" s="1" t="s">
        <v>9415</v>
      </c>
      <c r="O494" s="1"/>
      <c r="P494" s="1" t="s">
        <v>1278</v>
      </c>
      <c r="Q494" s="1" t="s">
        <v>9416</v>
      </c>
      <c r="R494" s="1" t="s">
        <v>9417</v>
      </c>
      <c r="S494" s="1">
        <v>7990856554</v>
      </c>
      <c r="T494" s="1" t="s">
        <v>120</v>
      </c>
      <c r="U494" s="1" t="s">
        <v>9418</v>
      </c>
      <c r="V494" s="1">
        <v>9265635667</v>
      </c>
      <c r="W494" s="1" t="s">
        <v>156</v>
      </c>
      <c r="X494" s="1" t="s">
        <v>9419</v>
      </c>
      <c r="Y494" s="1" t="s">
        <v>9420</v>
      </c>
      <c r="Z494" s="1" t="s">
        <v>1468</v>
      </c>
      <c r="AA494" s="1" t="s">
        <v>9419</v>
      </c>
      <c r="AB494" s="1" t="s">
        <v>9420</v>
      </c>
      <c r="AC494" s="1" t="s">
        <v>1468</v>
      </c>
      <c r="AD494" s="1">
        <v>8.19</v>
      </c>
      <c r="AE494" s="1" t="s">
        <v>93</v>
      </c>
      <c r="AF494" s="1" t="s">
        <v>9421</v>
      </c>
      <c r="AG494" s="1" t="s">
        <v>9422</v>
      </c>
      <c r="AH494" s="1" t="s">
        <v>96</v>
      </c>
      <c r="AI494" s="1" t="s">
        <v>161</v>
      </c>
      <c r="AJ494" s="1">
        <v>74</v>
      </c>
      <c r="AK494" s="1">
        <v>0</v>
      </c>
      <c r="AL494" s="1" t="s">
        <v>9423</v>
      </c>
      <c r="AM494" s="1" t="s">
        <v>9422</v>
      </c>
      <c r="AN494" s="1" t="s">
        <v>162</v>
      </c>
      <c r="AO494" s="1" t="s">
        <v>479</v>
      </c>
      <c r="AP494" s="1">
        <v>63.85</v>
      </c>
      <c r="AQ494" s="1">
        <v>0</v>
      </c>
      <c r="AR494" s="1"/>
      <c r="AS494" s="1"/>
      <c r="AT494" s="1"/>
      <c r="AU494" s="1"/>
      <c r="AV494" s="1"/>
      <c r="AW494" s="1"/>
      <c r="AX494" s="1" t="s">
        <v>5997</v>
      </c>
      <c r="AY494" s="1" t="s">
        <v>9424</v>
      </c>
      <c r="AZ494" s="1" t="s">
        <v>225</v>
      </c>
      <c r="BA494" s="1" t="s">
        <v>1131</v>
      </c>
      <c r="BB494" s="1">
        <v>74.4</v>
      </c>
      <c r="BC494" s="1">
        <v>7.94</v>
      </c>
      <c r="BD494" s="1"/>
      <c r="BE494" s="1"/>
      <c r="BF494" s="1"/>
      <c r="BG494" s="1"/>
      <c r="BH494" s="1"/>
      <c r="BI494" s="1"/>
      <c r="BJ494" s="1" t="s">
        <v>9425</v>
      </c>
      <c r="BK494" s="1" t="s">
        <v>9426</v>
      </c>
      <c r="BL494" s="1" t="s">
        <v>1920</v>
      </c>
      <c r="BM494" s="1" t="s">
        <v>9427</v>
      </c>
      <c r="BN494" s="1">
        <v>9</v>
      </c>
      <c r="BO494" s="1" t="s">
        <v>9428</v>
      </c>
      <c r="BP494" s="1" t="str">
        <f>HYPERLINK("https://nconnect.nicmar.ac.in/storage/profile/ProfilePhoto_P25700450_896257.jpg","Download")</f>
        <v>0</v>
      </c>
      <c r="BQ494" s="3"/>
      <c r="BR494" s="3"/>
    </row>
    <row r="495" spans="1:70">
      <c r="A495" s="1" t="s">
        <v>70</v>
      </c>
      <c r="B495" s="1" t="s">
        <v>1269</v>
      </c>
      <c r="C495" s="1" t="s">
        <v>9429</v>
      </c>
      <c r="D495" s="1" t="s">
        <v>8957</v>
      </c>
      <c r="E495" s="1" t="s">
        <v>596</v>
      </c>
      <c r="F495" s="1" t="s">
        <v>9430</v>
      </c>
      <c r="G495" s="1" t="s">
        <v>9431</v>
      </c>
      <c r="H495" s="1" t="s">
        <v>9432</v>
      </c>
      <c r="I495" s="1" t="s">
        <v>9433</v>
      </c>
      <c r="J495" s="1">
        <v>9669982217</v>
      </c>
      <c r="K495" s="1" t="s">
        <v>79</v>
      </c>
      <c r="L495" s="1" t="s">
        <v>9434</v>
      </c>
      <c r="M495" s="1" t="s">
        <v>81</v>
      </c>
      <c r="N495" s="1" t="s">
        <v>1418</v>
      </c>
      <c r="O495" s="1"/>
      <c r="P495" s="1" t="s">
        <v>1323</v>
      </c>
      <c r="Q495" s="1" t="s">
        <v>9435</v>
      </c>
      <c r="R495" s="1" t="s">
        <v>9436</v>
      </c>
      <c r="S495" s="1">
        <v>7693895796</v>
      </c>
      <c r="T495" s="1" t="s">
        <v>496</v>
      </c>
      <c r="U495" s="1" t="s">
        <v>9437</v>
      </c>
      <c r="V495" s="1">
        <v>7693895796</v>
      </c>
      <c r="W495" s="1" t="s">
        <v>89</v>
      </c>
      <c r="X495" s="1" t="s">
        <v>9438</v>
      </c>
      <c r="Y495" s="1" t="s">
        <v>9439</v>
      </c>
      <c r="Z495" s="1" t="s">
        <v>936</v>
      </c>
      <c r="AA495" s="1" t="s">
        <v>9438</v>
      </c>
      <c r="AB495" s="1" t="s">
        <v>9439</v>
      </c>
      <c r="AC495" s="1" t="s">
        <v>936</v>
      </c>
      <c r="AD495" s="1">
        <v>7.5</v>
      </c>
      <c r="AE495" s="1" t="s">
        <v>93</v>
      </c>
      <c r="AF495" s="1" t="s">
        <v>9440</v>
      </c>
      <c r="AG495" s="1" t="s">
        <v>9441</v>
      </c>
      <c r="AH495" s="1" t="s">
        <v>503</v>
      </c>
      <c r="AI495" s="1" t="s">
        <v>527</v>
      </c>
      <c r="AJ495" s="1">
        <v>79.8</v>
      </c>
      <c r="AK495" s="1">
        <v>8.4</v>
      </c>
      <c r="AL495" s="1" t="s">
        <v>9440</v>
      </c>
      <c r="AM495" s="1" t="s">
        <v>9441</v>
      </c>
      <c r="AN495" s="1" t="s">
        <v>678</v>
      </c>
      <c r="AO495" s="1" t="s">
        <v>166</v>
      </c>
      <c r="AP495" s="1">
        <v>65</v>
      </c>
      <c r="AQ495" s="1"/>
      <c r="AR495" s="1"/>
      <c r="AS495" s="1"/>
      <c r="AT495" s="1"/>
      <c r="AU495" s="1"/>
      <c r="AV495" s="1"/>
      <c r="AW495" s="1"/>
      <c r="AX495" s="1" t="s">
        <v>2998</v>
      </c>
      <c r="AY495" s="1" t="s">
        <v>9442</v>
      </c>
      <c r="AZ495" s="1" t="s">
        <v>636</v>
      </c>
      <c r="BA495" s="1" t="s">
        <v>6033</v>
      </c>
      <c r="BB495" s="1">
        <v>69</v>
      </c>
      <c r="BC495" s="1">
        <v>6.9</v>
      </c>
      <c r="BD495" s="1"/>
      <c r="BE495" s="1"/>
      <c r="BF495" s="1"/>
      <c r="BG495" s="1"/>
      <c r="BH495" s="1"/>
      <c r="BI495" s="1"/>
      <c r="BJ495" s="1" t="s">
        <v>9443</v>
      </c>
      <c r="BK495" s="1"/>
      <c r="BL495" s="1"/>
      <c r="BM495" s="1" t="s">
        <v>9444</v>
      </c>
      <c r="BN495" s="1">
        <v>52</v>
      </c>
      <c r="BO495" s="1" t="s">
        <v>9445</v>
      </c>
      <c r="BP495" s="1" t="str">
        <f>HYPERLINK("https://nconnect.nicmar.ac.in/storage/profile/ProfilePhoto_P25700451_316894.jpg","Download")</f>
        <v>0</v>
      </c>
      <c r="BQ495" s="3"/>
      <c r="BR495" s="3"/>
    </row>
    <row r="496" spans="1:70">
      <c r="A496" s="1" t="s">
        <v>70</v>
      </c>
      <c r="B496" s="1" t="s">
        <v>1269</v>
      </c>
      <c r="C496" s="1" t="s">
        <v>9446</v>
      </c>
      <c r="D496" s="1" t="s">
        <v>3056</v>
      </c>
      <c r="E496" s="1"/>
      <c r="F496" s="1" t="s">
        <v>9447</v>
      </c>
      <c r="G496" s="1" t="s">
        <v>9448</v>
      </c>
      <c r="H496" s="1" t="s">
        <v>9449</v>
      </c>
      <c r="I496" s="1" t="s">
        <v>9450</v>
      </c>
      <c r="J496" s="1">
        <v>9526915241</v>
      </c>
      <c r="K496" s="1" t="s">
        <v>79</v>
      </c>
      <c r="L496" s="1" t="s">
        <v>4195</v>
      </c>
      <c r="M496" s="1" t="s">
        <v>81</v>
      </c>
      <c r="N496" s="1" t="s">
        <v>9451</v>
      </c>
      <c r="O496" s="1"/>
      <c r="P496" s="1" t="s">
        <v>1298</v>
      </c>
      <c r="Q496" s="1" t="s">
        <v>9452</v>
      </c>
      <c r="R496" s="1" t="s">
        <v>9453</v>
      </c>
      <c r="S496" s="1">
        <v>9446104143</v>
      </c>
      <c r="T496" s="1" t="s">
        <v>9454</v>
      </c>
      <c r="U496" s="1" t="s">
        <v>9455</v>
      </c>
      <c r="V496" s="1">
        <v>9446317836</v>
      </c>
      <c r="W496" s="1" t="s">
        <v>9456</v>
      </c>
      <c r="X496" s="1" t="s">
        <v>9457</v>
      </c>
      <c r="Y496" s="1" t="s">
        <v>191</v>
      </c>
      <c r="Z496" s="1" t="s">
        <v>92</v>
      </c>
      <c r="AA496" s="1" t="s">
        <v>9458</v>
      </c>
      <c r="AB496" s="1" t="s">
        <v>1491</v>
      </c>
      <c r="AC496" s="1" t="s">
        <v>125</v>
      </c>
      <c r="AD496" s="1">
        <v>7.28</v>
      </c>
      <c r="AE496" s="1" t="s">
        <v>93</v>
      </c>
      <c r="AF496" s="1" t="s">
        <v>9459</v>
      </c>
      <c r="AG496" s="1" t="s">
        <v>9460</v>
      </c>
      <c r="AH496" s="1" t="s">
        <v>96</v>
      </c>
      <c r="AI496" s="1" t="s">
        <v>97</v>
      </c>
      <c r="AJ496" s="1">
        <v>70.3</v>
      </c>
      <c r="AK496" s="1">
        <v>7.4</v>
      </c>
      <c r="AL496" s="1" t="s">
        <v>1492</v>
      </c>
      <c r="AM496" s="1" t="s">
        <v>9460</v>
      </c>
      <c r="AN496" s="1" t="s">
        <v>162</v>
      </c>
      <c r="AO496" s="1" t="s">
        <v>195</v>
      </c>
      <c r="AP496" s="1">
        <v>68</v>
      </c>
      <c r="AQ496" s="1">
        <v>6.8</v>
      </c>
      <c r="AR496" s="1"/>
      <c r="AS496" s="1"/>
      <c r="AT496" s="1"/>
      <c r="AU496" s="1"/>
      <c r="AV496" s="1"/>
      <c r="AW496" s="1"/>
      <c r="AX496" s="1" t="s">
        <v>3432</v>
      </c>
      <c r="AY496" s="1" t="s">
        <v>6895</v>
      </c>
      <c r="AZ496" s="1" t="s">
        <v>101</v>
      </c>
      <c r="BA496" s="1" t="s">
        <v>1003</v>
      </c>
      <c r="BB496" s="1">
        <v>71</v>
      </c>
      <c r="BC496" s="1">
        <v>7.1</v>
      </c>
      <c r="BD496" s="1"/>
      <c r="BE496" s="1"/>
      <c r="BF496" s="1"/>
      <c r="BG496" s="1"/>
      <c r="BH496" s="1"/>
      <c r="BI496" s="1"/>
      <c r="BJ496" s="1" t="s">
        <v>9461</v>
      </c>
      <c r="BK496" s="1" t="s">
        <v>9462</v>
      </c>
      <c r="BL496" s="1" t="s">
        <v>1561</v>
      </c>
      <c r="BM496" s="1" t="s">
        <v>9463</v>
      </c>
      <c r="BN496" s="1">
        <v>8</v>
      </c>
      <c r="BO496" s="1"/>
      <c r="BP496" s="1" t="str">
        <f>HYPERLINK("https://nconnect.nicmar.ac.in/storage/profile/ProfilePhoto_P25700452_132786.jpg","Download")</f>
        <v>0</v>
      </c>
      <c r="BQ496" s="3"/>
      <c r="BR496" s="3"/>
    </row>
    <row r="497" spans="1:70">
      <c r="A497" s="1" t="s">
        <v>70</v>
      </c>
      <c r="B497" s="1" t="s">
        <v>1269</v>
      </c>
      <c r="C497" s="1" t="s">
        <v>9464</v>
      </c>
      <c r="D497" s="1" t="s">
        <v>3399</v>
      </c>
      <c r="E497" s="1" t="s">
        <v>9465</v>
      </c>
      <c r="F497" s="1" t="s">
        <v>9466</v>
      </c>
      <c r="G497" s="1" t="s">
        <v>9467</v>
      </c>
      <c r="H497" s="1" t="s">
        <v>9468</v>
      </c>
      <c r="I497" s="1" t="s">
        <v>9469</v>
      </c>
      <c r="J497" s="1">
        <v>9370776955</v>
      </c>
      <c r="K497" s="1" t="s">
        <v>79</v>
      </c>
      <c r="L497" s="1" t="s">
        <v>9470</v>
      </c>
      <c r="M497" s="1" t="s">
        <v>81</v>
      </c>
      <c r="N497" s="1" t="s">
        <v>2295</v>
      </c>
      <c r="O497" s="1"/>
      <c r="P497" s="1" t="s">
        <v>1278</v>
      </c>
      <c r="Q497" s="1" t="s">
        <v>9471</v>
      </c>
      <c r="R497" s="1" t="s">
        <v>9472</v>
      </c>
      <c r="S497" s="1">
        <v>9422137293</v>
      </c>
      <c r="T497" s="1" t="s">
        <v>154</v>
      </c>
      <c r="U497" s="1" t="s">
        <v>9473</v>
      </c>
      <c r="V497" s="1">
        <v>8390902629</v>
      </c>
      <c r="W497" s="1" t="s">
        <v>89</v>
      </c>
      <c r="X497" s="1" t="s">
        <v>9474</v>
      </c>
      <c r="Y497" s="1" t="s">
        <v>1424</v>
      </c>
      <c r="Z497" s="1" t="s">
        <v>92</v>
      </c>
      <c r="AA497" s="1" t="s">
        <v>9474</v>
      </c>
      <c r="AB497" s="1" t="s">
        <v>1424</v>
      </c>
      <c r="AC497" s="1" t="s">
        <v>92</v>
      </c>
      <c r="AD497" s="1">
        <v>8.58</v>
      </c>
      <c r="AE497" s="1" t="s">
        <v>93</v>
      </c>
      <c r="AF497" s="1" t="s">
        <v>9475</v>
      </c>
      <c r="AG497" s="1" t="s">
        <v>9476</v>
      </c>
      <c r="AH497" s="1" t="s">
        <v>503</v>
      </c>
      <c r="AI497" s="1" t="s">
        <v>456</v>
      </c>
      <c r="AJ497" s="1">
        <v>81.7</v>
      </c>
      <c r="AK497" s="1">
        <v>8.6</v>
      </c>
      <c r="AL497" s="1" t="s">
        <v>9477</v>
      </c>
      <c r="AM497" s="1" t="s">
        <v>9478</v>
      </c>
      <c r="AN497" s="1" t="s">
        <v>165</v>
      </c>
      <c r="AO497" s="1" t="s">
        <v>281</v>
      </c>
      <c r="AP497" s="1">
        <v>61.54</v>
      </c>
      <c r="AQ497" s="1"/>
      <c r="AR497" s="1"/>
      <c r="AS497" s="1"/>
      <c r="AT497" s="1"/>
      <c r="AU497" s="1"/>
      <c r="AV497" s="1"/>
      <c r="AW497" s="1"/>
      <c r="AX497" s="1" t="s">
        <v>410</v>
      </c>
      <c r="AY497" s="1" t="s">
        <v>548</v>
      </c>
      <c r="AZ497" s="1" t="s">
        <v>636</v>
      </c>
      <c r="BA497" s="1" t="s">
        <v>105</v>
      </c>
      <c r="BB497" s="1">
        <v>80.3</v>
      </c>
      <c r="BC497" s="1">
        <v>8.78</v>
      </c>
      <c r="BD497" s="1"/>
      <c r="BE497" s="1"/>
      <c r="BF497" s="1"/>
      <c r="BG497" s="1"/>
      <c r="BH497" s="1"/>
      <c r="BI497" s="1"/>
      <c r="BJ497" s="1" t="s">
        <v>9479</v>
      </c>
      <c r="BK497" s="1" t="s">
        <v>9480</v>
      </c>
      <c r="BL497" s="1" t="s">
        <v>2384</v>
      </c>
      <c r="BM497" s="1" t="s">
        <v>9481</v>
      </c>
      <c r="BN497" s="1">
        <v>12</v>
      </c>
      <c r="BO497" s="1" t="s">
        <v>9482</v>
      </c>
      <c r="BP497" s="1" t="str">
        <f>HYPERLINK("https://nconnect.nicmar.ac.in/storage/profile/ProfilePhoto_P25700453_982314.jpg","Download")</f>
        <v>0</v>
      </c>
      <c r="BQ497" s="3"/>
      <c r="BR497" s="3"/>
    </row>
    <row r="498" spans="1:70">
      <c r="A498" s="1" t="s">
        <v>70</v>
      </c>
      <c r="B498" s="1" t="s">
        <v>1269</v>
      </c>
      <c r="C498" s="1" t="s">
        <v>9483</v>
      </c>
      <c r="D498" s="1" t="s">
        <v>9484</v>
      </c>
      <c r="E498" s="1"/>
      <c r="F498" s="1" t="s">
        <v>9485</v>
      </c>
      <c r="G498" s="1" t="s">
        <v>9486</v>
      </c>
      <c r="H498" s="1" t="s">
        <v>9487</v>
      </c>
      <c r="I498" s="1" t="s">
        <v>9488</v>
      </c>
      <c r="J498" s="1">
        <v>8610181085</v>
      </c>
      <c r="K498" s="1" t="s">
        <v>79</v>
      </c>
      <c r="L498" s="1" t="s">
        <v>9489</v>
      </c>
      <c r="M498" s="1" t="s">
        <v>81</v>
      </c>
      <c r="N498" s="1" t="s">
        <v>9490</v>
      </c>
      <c r="O498" s="1"/>
      <c r="P498" s="1" t="s">
        <v>1278</v>
      </c>
      <c r="Q498" s="1" t="s">
        <v>9491</v>
      </c>
      <c r="R498" s="1" t="s">
        <v>9492</v>
      </c>
      <c r="S498" s="1">
        <v>8940067277</v>
      </c>
      <c r="T498" s="1" t="s">
        <v>9493</v>
      </c>
      <c r="U498" s="1" t="s">
        <v>9494</v>
      </c>
      <c r="V498" s="1">
        <v>9655697277</v>
      </c>
      <c r="W498" s="1" t="s">
        <v>273</v>
      </c>
      <c r="X498" s="1" t="s">
        <v>9495</v>
      </c>
      <c r="Y498" s="1" t="s">
        <v>9496</v>
      </c>
      <c r="Z498" s="1" t="s">
        <v>1377</v>
      </c>
      <c r="AA498" s="1" t="s">
        <v>9495</v>
      </c>
      <c r="AB498" s="1" t="s">
        <v>9496</v>
      </c>
      <c r="AC498" s="1" t="s">
        <v>1377</v>
      </c>
      <c r="AD498" s="1">
        <v>8.39</v>
      </c>
      <c r="AE498" s="1" t="s">
        <v>93</v>
      </c>
      <c r="AF498" s="1" t="s">
        <v>9497</v>
      </c>
      <c r="AG498" s="1" t="s">
        <v>9498</v>
      </c>
      <c r="AH498" s="1" t="s">
        <v>101</v>
      </c>
      <c r="AI498" s="1" t="s">
        <v>308</v>
      </c>
      <c r="AJ498" s="1">
        <v>93.4</v>
      </c>
      <c r="AK498" s="1"/>
      <c r="AL498" s="1" t="s">
        <v>9497</v>
      </c>
      <c r="AM498" s="1" t="s">
        <v>9498</v>
      </c>
      <c r="AN498" s="1" t="s">
        <v>699</v>
      </c>
      <c r="AO498" s="1" t="s">
        <v>506</v>
      </c>
      <c r="AP498" s="1">
        <v>96.2</v>
      </c>
      <c r="AQ498" s="1"/>
      <c r="AR498" s="1"/>
      <c r="AS498" s="1"/>
      <c r="AT498" s="1"/>
      <c r="AU498" s="1"/>
      <c r="AV498" s="1"/>
      <c r="AW498" s="1"/>
      <c r="AX498" s="1" t="s">
        <v>1381</v>
      </c>
      <c r="AY498" s="1" t="s">
        <v>9499</v>
      </c>
      <c r="AZ498" s="1" t="s">
        <v>436</v>
      </c>
      <c r="BA498" s="1" t="s">
        <v>1361</v>
      </c>
      <c r="BB498" s="1">
        <v>74.9</v>
      </c>
      <c r="BC498" s="1">
        <v>7.49</v>
      </c>
      <c r="BD498" s="1"/>
      <c r="BE498" s="1"/>
      <c r="BF498" s="1"/>
      <c r="BG498" s="1"/>
      <c r="BH498" s="1"/>
      <c r="BI498" s="1"/>
      <c r="BJ498" s="1" t="s">
        <v>9500</v>
      </c>
      <c r="BK498" s="1"/>
      <c r="BL498" s="1"/>
      <c r="BM498" s="1" t="s">
        <v>9501</v>
      </c>
      <c r="BN498" s="1">
        <v>13</v>
      </c>
      <c r="BO498" s="1"/>
      <c r="BP498" s="1" t="str">
        <f>HYPERLINK("https://nconnect.nicmar.ac.in/storage/profile/ProfilePhoto_P25700454_245369.jpg","Download")</f>
        <v>0</v>
      </c>
      <c r="BQ498" s="3"/>
      <c r="BR498" s="3"/>
    </row>
    <row r="499" spans="1:70">
      <c r="A499" s="1" t="s">
        <v>70</v>
      </c>
      <c r="B499" s="1" t="s">
        <v>1269</v>
      </c>
      <c r="C499" s="1" t="s">
        <v>9502</v>
      </c>
      <c r="D499" s="1" t="s">
        <v>343</v>
      </c>
      <c r="E499" s="1" t="s">
        <v>7618</v>
      </c>
      <c r="F499" s="1" t="s">
        <v>5168</v>
      </c>
      <c r="G499" s="1" t="s">
        <v>9503</v>
      </c>
      <c r="H499" s="1" t="s">
        <v>9504</v>
      </c>
      <c r="I499" s="1" t="s">
        <v>9505</v>
      </c>
      <c r="J499" s="1">
        <v>9423785516</v>
      </c>
      <c r="K499" s="1" t="s">
        <v>79</v>
      </c>
      <c r="L499" s="1" t="s">
        <v>9506</v>
      </c>
      <c r="M499" s="1" t="s">
        <v>81</v>
      </c>
      <c r="N499" s="1" t="s">
        <v>860</v>
      </c>
      <c r="O499" s="1"/>
      <c r="P499" s="1" t="s">
        <v>1278</v>
      </c>
      <c r="Q499" s="1" t="s">
        <v>9507</v>
      </c>
      <c r="R499" s="1" t="s">
        <v>7618</v>
      </c>
      <c r="S499" s="1">
        <v>9423530082</v>
      </c>
      <c r="T499" s="1" t="s">
        <v>120</v>
      </c>
      <c r="U499" s="1" t="s">
        <v>3065</v>
      </c>
      <c r="V499" s="1">
        <v>9423530082</v>
      </c>
      <c r="W499" s="1" t="s">
        <v>156</v>
      </c>
      <c r="X499" s="1" t="s">
        <v>9508</v>
      </c>
      <c r="Y499" s="1" t="s">
        <v>191</v>
      </c>
      <c r="Z499" s="1" t="s">
        <v>92</v>
      </c>
      <c r="AA499" s="1" t="s">
        <v>9509</v>
      </c>
      <c r="AB499" s="1" t="s">
        <v>523</v>
      </c>
      <c r="AC499" s="1" t="s">
        <v>92</v>
      </c>
      <c r="AD499" s="1">
        <v>8.61</v>
      </c>
      <c r="AE499" s="1" t="s">
        <v>93</v>
      </c>
      <c r="AF499" s="1" t="s">
        <v>9510</v>
      </c>
      <c r="AG499" s="1" t="s">
        <v>160</v>
      </c>
      <c r="AH499" s="1" t="s">
        <v>128</v>
      </c>
      <c r="AI499" s="1" t="s">
        <v>998</v>
      </c>
      <c r="AJ499" s="1">
        <v>85.09</v>
      </c>
      <c r="AK499" s="1"/>
      <c r="AL499" s="1" t="s">
        <v>9511</v>
      </c>
      <c r="AM499" s="1" t="s">
        <v>160</v>
      </c>
      <c r="AN499" s="1" t="s">
        <v>2403</v>
      </c>
      <c r="AO499" s="1" t="s">
        <v>131</v>
      </c>
      <c r="AP499" s="1">
        <v>62.15</v>
      </c>
      <c r="AQ499" s="1"/>
      <c r="AR499" s="1"/>
      <c r="AS499" s="1"/>
      <c r="AT499" s="1"/>
      <c r="AU499" s="1"/>
      <c r="AV499" s="1"/>
      <c r="AW499" s="1"/>
      <c r="AX499" s="1" t="s">
        <v>361</v>
      </c>
      <c r="AY499" s="1" t="s">
        <v>9512</v>
      </c>
      <c r="AZ499" s="1" t="s">
        <v>337</v>
      </c>
      <c r="BA499" s="1" t="s">
        <v>170</v>
      </c>
      <c r="BB499" s="1">
        <v>64.76</v>
      </c>
      <c r="BC499" s="1">
        <v>7.36</v>
      </c>
      <c r="BD499" s="1"/>
      <c r="BE499" s="1"/>
      <c r="BF499" s="1"/>
      <c r="BG499" s="1"/>
      <c r="BH499" s="1"/>
      <c r="BI499" s="1"/>
      <c r="BJ499" s="1" t="s">
        <v>9513</v>
      </c>
      <c r="BK499" s="1" t="s">
        <v>9514</v>
      </c>
      <c r="BL499" s="1" t="s">
        <v>5705</v>
      </c>
      <c r="BM499" s="1" t="s">
        <v>9515</v>
      </c>
      <c r="BN499" s="1">
        <v>8</v>
      </c>
      <c r="BO499" s="1" t="s">
        <v>9516</v>
      </c>
      <c r="BP499" s="1" t="str">
        <f>HYPERLINK("https://nconnect.nicmar.ac.in/storage/profile/ProfilePhoto_P25700455_781534.jpg","Download")</f>
        <v>0</v>
      </c>
      <c r="BQ499" s="3"/>
      <c r="BR499" s="3"/>
    </row>
    <row r="500" spans="1:70">
      <c r="A500" s="1" t="s">
        <v>70</v>
      </c>
      <c r="B500" s="1" t="s">
        <v>1269</v>
      </c>
      <c r="C500" s="1" t="s">
        <v>9517</v>
      </c>
      <c r="D500" s="1" t="s">
        <v>9518</v>
      </c>
      <c r="E500" s="1" t="s">
        <v>1876</v>
      </c>
      <c r="F500" s="1" t="s">
        <v>9519</v>
      </c>
      <c r="G500" s="1" t="s">
        <v>9520</v>
      </c>
      <c r="H500" s="1" t="s">
        <v>9521</v>
      </c>
      <c r="I500" s="1" t="s">
        <v>9522</v>
      </c>
      <c r="J500" s="1">
        <v>9284555590</v>
      </c>
      <c r="K500" s="1" t="s">
        <v>79</v>
      </c>
      <c r="L500" s="1" t="s">
        <v>9523</v>
      </c>
      <c r="M500" s="1" t="s">
        <v>81</v>
      </c>
      <c r="N500" s="1" t="s">
        <v>9524</v>
      </c>
      <c r="O500" s="1"/>
      <c r="P500" s="1" t="s">
        <v>1278</v>
      </c>
      <c r="Q500" s="1" t="s">
        <v>9525</v>
      </c>
      <c r="R500" s="1" t="s">
        <v>9526</v>
      </c>
      <c r="S500" s="1">
        <v>7020000124</v>
      </c>
      <c r="T500" s="1" t="s">
        <v>496</v>
      </c>
      <c r="U500" s="1" t="s">
        <v>9527</v>
      </c>
      <c r="V500" s="1">
        <v>9422374434</v>
      </c>
      <c r="W500" s="1" t="s">
        <v>2767</v>
      </c>
      <c r="X500" s="1" t="s">
        <v>9528</v>
      </c>
      <c r="Y500" s="1" t="s">
        <v>6399</v>
      </c>
      <c r="Z500" s="1" t="s">
        <v>92</v>
      </c>
      <c r="AA500" s="1" t="s">
        <v>9529</v>
      </c>
      <c r="AB500" s="1" t="s">
        <v>6399</v>
      </c>
      <c r="AC500" s="1" t="s">
        <v>92</v>
      </c>
      <c r="AD500" s="1">
        <v>8.28</v>
      </c>
      <c r="AE500" s="1" t="s">
        <v>93</v>
      </c>
      <c r="AF500" s="1" t="s">
        <v>9530</v>
      </c>
      <c r="AG500" s="1" t="s">
        <v>9531</v>
      </c>
      <c r="AH500" s="1" t="s">
        <v>998</v>
      </c>
      <c r="AI500" s="1" t="s">
        <v>999</v>
      </c>
      <c r="AJ500" s="1">
        <v>65.2</v>
      </c>
      <c r="AK500" s="1"/>
      <c r="AL500" s="1" t="s">
        <v>9532</v>
      </c>
      <c r="AM500" s="1" t="s">
        <v>9531</v>
      </c>
      <c r="AN500" s="1" t="s">
        <v>97</v>
      </c>
      <c r="AO500" s="1" t="s">
        <v>1001</v>
      </c>
      <c r="AP500" s="1">
        <v>55.85</v>
      </c>
      <c r="AQ500" s="1"/>
      <c r="AR500" s="1" t="s">
        <v>98</v>
      </c>
      <c r="AS500" s="1" t="s">
        <v>9533</v>
      </c>
      <c r="AT500" s="1" t="s">
        <v>165</v>
      </c>
      <c r="AU500" s="1" t="s">
        <v>433</v>
      </c>
      <c r="AV500" s="1">
        <v>69.82</v>
      </c>
      <c r="AW500" s="1"/>
      <c r="AX500" s="1" t="s">
        <v>102</v>
      </c>
      <c r="AY500" s="1" t="s">
        <v>9534</v>
      </c>
      <c r="AZ500" s="1" t="s">
        <v>433</v>
      </c>
      <c r="BA500" s="1" t="s">
        <v>105</v>
      </c>
      <c r="BB500" s="1">
        <v>82.6</v>
      </c>
      <c r="BC500" s="1">
        <v>8.76</v>
      </c>
      <c r="BD500" s="1"/>
      <c r="BE500" s="1"/>
      <c r="BF500" s="1"/>
      <c r="BG500" s="1"/>
      <c r="BH500" s="1"/>
      <c r="BI500" s="1"/>
      <c r="BJ500" s="1" t="s">
        <v>1383</v>
      </c>
      <c r="BK500" s="1" t="s">
        <v>9535</v>
      </c>
      <c r="BL500" s="1" t="s">
        <v>9536</v>
      </c>
      <c r="BM500" s="1" t="s">
        <v>9537</v>
      </c>
      <c r="BN500" s="1">
        <v>26</v>
      </c>
      <c r="BO500" s="1" t="s">
        <v>9538</v>
      </c>
      <c r="BP500" s="1" t="str">
        <f>HYPERLINK("https://nconnect.nicmar.ac.in/storage/profile/ProfilePhoto_P25700456_195823.jpg","Download")</f>
        <v>0</v>
      </c>
      <c r="BQ500" s="3"/>
      <c r="BR500" s="3"/>
    </row>
    <row r="501" spans="1:70">
      <c r="A501" s="1" t="s">
        <v>70</v>
      </c>
      <c r="B501" s="1" t="s">
        <v>1269</v>
      </c>
      <c r="C501" s="1" t="s">
        <v>9539</v>
      </c>
      <c r="D501" s="1" t="s">
        <v>9540</v>
      </c>
      <c r="E501" s="1"/>
      <c r="F501" s="1" t="s">
        <v>9541</v>
      </c>
      <c r="G501" s="1" t="s">
        <v>9542</v>
      </c>
      <c r="H501" s="1" t="s">
        <v>9543</v>
      </c>
      <c r="I501" s="1" t="s">
        <v>9544</v>
      </c>
      <c r="J501" s="1">
        <v>6374242665</v>
      </c>
      <c r="K501" s="1" t="s">
        <v>148</v>
      </c>
      <c r="L501" s="1" t="s">
        <v>9545</v>
      </c>
      <c r="M501" s="1" t="s">
        <v>81</v>
      </c>
      <c r="N501" s="1" t="s">
        <v>9546</v>
      </c>
      <c r="O501" s="1"/>
      <c r="P501" s="1" t="s">
        <v>1278</v>
      </c>
      <c r="Q501" s="1" t="s">
        <v>9547</v>
      </c>
      <c r="R501" s="1" t="s">
        <v>9548</v>
      </c>
      <c r="S501" s="1">
        <v>9865834887</v>
      </c>
      <c r="T501" s="1" t="s">
        <v>9549</v>
      </c>
      <c r="U501" s="1" t="s">
        <v>9550</v>
      </c>
      <c r="V501" s="1">
        <v>9865873484</v>
      </c>
      <c r="W501" s="1" t="s">
        <v>122</v>
      </c>
      <c r="X501" s="1" t="s">
        <v>9551</v>
      </c>
      <c r="Y501" s="1" t="s">
        <v>9552</v>
      </c>
      <c r="Z501" s="1" t="s">
        <v>1377</v>
      </c>
      <c r="AA501" s="1" t="s">
        <v>9551</v>
      </c>
      <c r="AB501" s="1" t="s">
        <v>9552</v>
      </c>
      <c r="AC501" s="1" t="s">
        <v>1377</v>
      </c>
      <c r="AD501" s="1">
        <v>8.46</v>
      </c>
      <c r="AE501" s="1" t="s">
        <v>93</v>
      </c>
      <c r="AF501" s="1" t="s">
        <v>9553</v>
      </c>
      <c r="AG501" s="1" t="s">
        <v>9554</v>
      </c>
      <c r="AH501" s="1" t="s">
        <v>101</v>
      </c>
      <c r="AI501" s="1" t="s">
        <v>1065</v>
      </c>
      <c r="AJ501" s="1">
        <v>86.8</v>
      </c>
      <c r="AK501" s="1"/>
      <c r="AL501" s="1" t="s">
        <v>9553</v>
      </c>
      <c r="AM501" s="1" t="s">
        <v>9554</v>
      </c>
      <c r="AN501" s="1" t="s">
        <v>699</v>
      </c>
      <c r="AO501" s="1" t="s">
        <v>506</v>
      </c>
      <c r="AP501" s="1">
        <v>87.75</v>
      </c>
      <c r="AQ501" s="1"/>
      <c r="AR501" s="1"/>
      <c r="AS501" s="1"/>
      <c r="AT501" s="1"/>
      <c r="AU501" s="1"/>
      <c r="AV501" s="1"/>
      <c r="AW501" s="1"/>
      <c r="AX501" s="1" t="s">
        <v>7988</v>
      </c>
      <c r="AY501" s="1" t="s">
        <v>7988</v>
      </c>
      <c r="AZ501" s="1" t="s">
        <v>1051</v>
      </c>
      <c r="BA501" s="1" t="s">
        <v>1361</v>
      </c>
      <c r="BB501" s="1">
        <v>75.4</v>
      </c>
      <c r="BC501" s="1">
        <v>7.54</v>
      </c>
      <c r="BD501" s="1"/>
      <c r="BE501" s="1"/>
      <c r="BF501" s="1"/>
      <c r="BG501" s="1"/>
      <c r="BH501" s="1"/>
      <c r="BI501" s="1"/>
      <c r="BJ501" s="1" t="s">
        <v>9555</v>
      </c>
      <c r="BK501" s="1"/>
      <c r="BL501" s="1"/>
      <c r="BM501" s="1" t="s">
        <v>9556</v>
      </c>
      <c r="BN501" s="1">
        <v>15</v>
      </c>
      <c r="BO501" s="1"/>
      <c r="BP501" s="1" t="str">
        <f>HYPERLINK("https://nconnect.nicmar.ac.in/storage/profile/ProfilePhoto_P25700457_793145.jpg","Download")</f>
        <v>0</v>
      </c>
      <c r="BQ501" s="3"/>
      <c r="BR501" s="3"/>
    </row>
    <row r="502" spans="1:70">
      <c r="A502" s="1" t="s">
        <v>70</v>
      </c>
      <c r="B502" s="1" t="s">
        <v>1269</v>
      </c>
      <c r="C502" s="1" t="s">
        <v>9557</v>
      </c>
      <c r="D502" s="1" t="s">
        <v>596</v>
      </c>
      <c r="E502" s="1"/>
      <c r="F502" s="1" t="s">
        <v>9558</v>
      </c>
      <c r="G502" s="1" t="s">
        <v>9559</v>
      </c>
      <c r="H502" s="1" t="s">
        <v>9560</v>
      </c>
      <c r="I502" s="1" t="s">
        <v>9561</v>
      </c>
      <c r="J502" s="1">
        <v>9682500421</v>
      </c>
      <c r="K502" s="1" t="s">
        <v>79</v>
      </c>
      <c r="L502" s="1" t="s">
        <v>9562</v>
      </c>
      <c r="M502" s="1" t="s">
        <v>81</v>
      </c>
      <c r="N502" s="1" t="s">
        <v>8149</v>
      </c>
      <c r="O502" s="1"/>
      <c r="P502" s="1" t="s">
        <v>1298</v>
      </c>
      <c r="Q502" s="1" t="s">
        <v>9563</v>
      </c>
      <c r="R502" s="1" t="s">
        <v>841</v>
      </c>
      <c r="S502" s="1">
        <v>9469141363</v>
      </c>
      <c r="T502" s="1" t="s">
        <v>9564</v>
      </c>
      <c r="U502" s="1" t="s">
        <v>9565</v>
      </c>
      <c r="V502" s="1">
        <v>9086596964</v>
      </c>
      <c r="W502" s="1" t="s">
        <v>156</v>
      </c>
      <c r="X502" s="1" t="s">
        <v>9566</v>
      </c>
      <c r="Y502" s="1" t="s">
        <v>9567</v>
      </c>
      <c r="Z502" s="1" t="s">
        <v>9568</v>
      </c>
      <c r="AA502" s="1" t="s">
        <v>9566</v>
      </c>
      <c r="AB502" s="1" t="s">
        <v>9567</v>
      </c>
      <c r="AC502" s="1" t="s">
        <v>9568</v>
      </c>
      <c r="AD502" s="1">
        <v>8.43</v>
      </c>
      <c r="AE502" s="1" t="s">
        <v>93</v>
      </c>
      <c r="AF502" s="1" t="s">
        <v>9569</v>
      </c>
      <c r="AG502" s="1" t="s">
        <v>1665</v>
      </c>
      <c r="AH502" s="1" t="s">
        <v>678</v>
      </c>
      <c r="AI502" s="1" t="s">
        <v>166</v>
      </c>
      <c r="AJ502" s="1">
        <v>82</v>
      </c>
      <c r="AK502" s="1"/>
      <c r="AL502" s="1" t="s">
        <v>9569</v>
      </c>
      <c r="AM502" s="1" t="s">
        <v>1665</v>
      </c>
      <c r="AN502" s="1" t="s">
        <v>1065</v>
      </c>
      <c r="AO502" s="1" t="s">
        <v>173</v>
      </c>
      <c r="AP502" s="1">
        <v>79.2</v>
      </c>
      <c r="AQ502" s="1"/>
      <c r="AR502" s="1"/>
      <c r="AS502" s="1"/>
      <c r="AT502" s="1"/>
      <c r="AU502" s="1"/>
      <c r="AV502" s="1"/>
      <c r="AW502" s="1"/>
      <c r="AX502" s="1" t="s">
        <v>9570</v>
      </c>
      <c r="AY502" s="1" t="s">
        <v>9571</v>
      </c>
      <c r="AZ502" s="1" t="s">
        <v>681</v>
      </c>
      <c r="BA502" s="1" t="s">
        <v>944</v>
      </c>
      <c r="BB502" s="1">
        <v>70.76</v>
      </c>
      <c r="BC502" s="1">
        <v>7.45</v>
      </c>
      <c r="BD502" s="1"/>
      <c r="BE502" s="1"/>
      <c r="BF502" s="1"/>
      <c r="BG502" s="1"/>
      <c r="BH502" s="1"/>
      <c r="BI502" s="1"/>
      <c r="BJ502" s="1" t="s">
        <v>9572</v>
      </c>
      <c r="BK502" s="1"/>
      <c r="BL502" s="1"/>
      <c r="BM502" s="1" t="s">
        <v>9573</v>
      </c>
      <c r="BN502" s="1">
        <v>34</v>
      </c>
      <c r="BO502" s="1" t="s">
        <v>9574</v>
      </c>
      <c r="BP502" s="1" t="str">
        <f>HYPERLINK("https://nconnect.nicmar.ac.in/storage/profile/ProfilePhoto_P25700458_218963.jpg","Download")</f>
        <v>0</v>
      </c>
      <c r="BQ502" s="3"/>
      <c r="BR502" s="3"/>
    </row>
    <row r="503" spans="1:70">
      <c r="A503" s="1" t="s">
        <v>70</v>
      </c>
      <c r="B503" s="1" t="s">
        <v>1269</v>
      </c>
      <c r="C503" s="1" t="s">
        <v>9575</v>
      </c>
      <c r="D503" s="1" t="s">
        <v>9576</v>
      </c>
      <c r="E503" s="1" t="s">
        <v>2485</v>
      </c>
      <c r="F503" s="1" t="s">
        <v>2024</v>
      </c>
      <c r="G503" s="1" t="s">
        <v>9577</v>
      </c>
      <c r="H503" s="1" t="s">
        <v>9578</v>
      </c>
      <c r="I503" s="1" t="s">
        <v>9579</v>
      </c>
      <c r="J503" s="1">
        <v>7776833773</v>
      </c>
      <c r="K503" s="1" t="s">
        <v>79</v>
      </c>
      <c r="L503" s="1" t="s">
        <v>9580</v>
      </c>
      <c r="M503" s="1" t="s">
        <v>81</v>
      </c>
      <c r="N503" s="1" t="s">
        <v>1418</v>
      </c>
      <c r="O503" s="1"/>
      <c r="P503" s="1" t="s">
        <v>1298</v>
      </c>
      <c r="Q503" s="1" t="s">
        <v>9581</v>
      </c>
      <c r="R503" s="1" t="s">
        <v>2485</v>
      </c>
      <c r="S503" s="1">
        <v>7620077100</v>
      </c>
      <c r="T503" s="1" t="s">
        <v>496</v>
      </c>
      <c r="U503" s="1" t="s">
        <v>9582</v>
      </c>
      <c r="V503" s="1">
        <v>7776833773</v>
      </c>
      <c r="W503" s="1" t="s">
        <v>3351</v>
      </c>
      <c r="X503" s="1" t="s">
        <v>9583</v>
      </c>
      <c r="Y503" s="1" t="s">
        <v>304</v>
      </c>
      <c r="Z503" s="1" t="s">
        <v>92</v>
      </c>
      <c r="AA503" s="1" t="s">
        <v>9583</v>
      </c>
      <c r="AB503" s="1" t="s">
        <v>304</v>
      </c>
      <c r="AC503" s="1" t="s">
        <v>92</v>
      </c>
      <c r="AD503" s="1">
        <v>9.02</v>
      </c>
      <c r="AE503" s="1" t="s">
        <v>93</v>
      </c>
      <c r="AF503" s="1" t="s">
        <v>9584</v>
      </c>
      <c r="AG503" s="1" t="s">
        <v>9585</v>
      </c>
      <c r="AH503" s="1" t="s">
        <v>162</v>
      </c>
      <c r="AI503" s="1" t="s">
        <v>678</v>
      </c>
      <c r="AJ503" s="1">
        <v>93.2</v>
      </c>
      <c r="AK503" s="1"/>
      <c r="AL503" s="1" t="s">
        <v>9586</v>
      </c>
      <c r="AM503" s="1" t="s">
        <v>9587</v>
      </c>
      <c r="AN503" s="1" t="s">
        <v>101</v>
      </c>
      <c r="AO503" s="1" t="s">
        <v>1065</v>
      </c>
      <c r="AP503" s="1">
        <v>76.77</v>
      </c>
      <c r="AQ503" s="1"/>
      <c r="AR503" s="1"/>
      <c r="AS503" s="1"/>
      <c r="AT503" s="1"/>
      <c r="AU503" s="1"/>
      <c r="AV503" s="1"/>
      <c r="AW503" s="1"/>
      <c r="AX503" s="1" t="s">
        <v>361</v>
      </c>
      <c r="AY503" s="1" t="s">
        <v>9588</v>
      </c>
      <c r="AZ503" s="1" t="s">
        <v>310</v>
      </c>
      <c r="BA503" s="1" t="s">
        <v>229</v>
      </c>
      <c r="BB503" s="1">
        <v>87</v>
      </c>
      <c r="BC503" s="1">
        <v>9.45</v>
      </c>
      <c r="BD503" s="1"/>
      <c r="BE503" s="1"/>
      <c r="BF503" s="1"/>
      <c r="BG503" s="1"/>
      <c r="BH503" s="1"/>
      <c r="BI503" s="1"/>
      <c r="BJ503" s="1" t="s">
        <v>9589</v>
      </c>
      <c r="BK503" s="1" t="s">
        <v>9590</v>
      </c>
      <c r="BL503" s="1" t="s">
        <v>1561</v>
      </c>
      <c r="BM503" s="1" t="s">
        <v>9591</v>
      </c>
      <c r="BN503" s="1">
        <v>34</v>
      </c>
      <c r="BO503" s="1" t="s">
        <v>9592</v>
      </c>
      <c r="BP503" s="1" t="str">
        <f>HYPERLINK("https://nconnect.nicmar.ac.in/storage/profile/ProfilePhoto_P25700459_341756.jpg","Download")</f>
        <v>0</v>
      </c>
      <c r="BQ503" s="3"/>
      <c r="BR503" s="3"/>
    </row>
    <row r="504" spans="1:70">
      <c r="A504" s="1" t="s">
        <v>70</v>
      </c>
      <c r="B504" s="1" t="s">
        <v>1269</v>
      </c>
      <c r="C504" s="1" t="s">
        <v>9593</v>
      </c>
      <c r="D504" s="1" t="s">
        <v>9594</v>
      </c>
      <c r="E504" s="1"/>
      <c r="F504" s="1" t="s">
        <v>9595</v>
      </c>
      <c r="G504" s="1" t="s">
        <v>9596</v>
      </c>
      <c r="H504" s="1" t="s">
        <v>9597</v>
      </c>
      <c r="I504" s="1" t="s">
        <v>9598</v>
      </c>
      <c r="J504" s="1">
        <v>8610896413</v>
      </c>
      <c r="K504" s="1" t="s">
        <v>79</v>
      </c>
      <c r="L504" s="1" t="s">
        <v>9599</v>
      </c>
      <c r="M504" s="1" t="s">
        <v>81</v>
      </c>
      <c r="N504" s="1" t="s">
        <v>6514</v>
      </c>
      <c r="O504" s="1"/>
      <c r="P504" s="1" t="s">
        <v>1323</v>
      </c>
      <c r="Q504" s="1" t="s">
        <v>9600</v>
      </c>
      <c r="R504" s="1" t="s">
        <v>9595</v>
      </c>
      <c r="S504" s="1">
        <v>9363044241</v>
      </c>
      <c r="T504" s="1" t="s">
        <v>496</v>
      </c>
      <c r="U504" s="1" t="s">
        <v>9601</v>
      </c>
      <c r="V504" s="1">
        <v>9442644241</v>
      </c>
      <c r="W504" s="1" t="s">
        <v>273</v>
      </c>
      <c r="X504" s="1" t="s">
        <v>9602</v>
      </c>
      <c r="Y504" s="1" t="s">
        <v>9603</v>
      </c>
      <c r="Z504" s="1" t="s">
        <v>1377</v>
      </c>
      <c r="AA504" s="1" t="s">
        <v>9602</v>
      </c>
      <c r="AB504" s="1" t="s">
        <v>9603</v>
      </c>
      <c r="AC504" s="1" t="s">
        <v>1377</v>
      </c>
      <c r="AD504" s="1">
        <v>7.98</v>
      </c>
      <c r="AE504" s="1" t="s">
        <v>93</v>
      </c>
      <c r="AF504" s="1" t="s">
        <v>9604</v>
      </c>
      <c r="AG504" s="1" t="s">
        <v>9605</v>
      </c>
      <c r="AH504" s="1" t="s">
        <v>678</v>
      </c>
      <c r="AI504" s="1" t="s">
        <v>308</v>
      </c>
      <c r="AJ504" s="1">
        <v>70.8</v>
      </c>
      <c r="AK504" s="1"/>
      <c r="AL504" s="1" t="s">
        <v>9604</v>
      </c>
      <c r="AM504" s="1" t="s">
        <v>9605</v>
      </c>
      <c r="AN504" s="1" t="s">
        <v>678</v>
      </c>
      <c r="AO504" s="1" t="s">
        <v>506</v>
      </c>
      <c r="AP504" s="1">
        <v>78.8</v>
      </c>
      <c r="AQ504" s="1"/>
      <c r="AR504" s="1"/>
      <c r="AS504" s="1"/>
      <c r="AT504" s="1"/>
      <c r="AU504" s="1"/>
      <c r="AV504" s="1"/>
      <c r="AW504" s="1"/>
      <c r="AX504" s="1" t="s">
        <v>1359</v>
      </c>
      <c r="AY504" s="1" t="s">
        <v>9606</v>
      </c>
      <c r="AZ504" s="1" t="s">
        <v>1051</v>
      </c>
      <c r="BA504" s="1" t="s">
        <v>1361</v>
      </c>
      <c r="BB504" s="1">
        <v>79.2</v>
      </c>
      <c r="BC504" s="1">
        <v>7.92</v>
      </c>
      <c r="BD504" s="1"/>
      <c r="BE504" s="1"/>
      <c r="BF504" s="1"/>
      <c r="BG504" s="1"/>
      <c r="BH504" s="1"/>
      <c r="BI504" s="1"/>
      <c r="BJ504" s="1" t="s">
        <v>364</v>
      </c>
      <c r="BK504" s="1"/>
      <c r="BL504" s="1"/>
      <c r="BM504" s="1" t="s">
        <v>9607</v>
      </c>
      <c r="BN504" s="1">
        <v>13</v>
      </c>
      <c r="BO504" s="1" t="s">
        <v>9608</v>
      </c>
      <c r="BP504" s="1" t="str">
        <f>HYPERLINK("https://nconnect.nicmar.ac.in/storage/profile/ProfilePhoto_P25700460_479385.jpg","Download")</f>
        <v>0</v>
      </c>
      <c r="BQ504" s="3"/>
      <c r="BR504" s="3"/>
    </row>
    <row r="505" spans="1:70">
      <c r="A505" s="1" t="s">
        <v>70</v>
      </c>
      <c r="B505" s="1" t="s">
        <v>1269</v>
      </c>
      <c r="C505" s="1" t="s">
        <v>9609</v>
      </c>
      <c r="D505" s="1" t="s">
        <v>533</v>
      </c>
      <c r="E505" s="1" t="s">
        <v>9610</v>
      </c>
      <c r="F505" s="1" t="s">
        <v>4026</v>
      </c>
      <c r="G505" s="1" t="s">
        <v>9611</v>
      </c>
      <c r="H505" s="1" t="s">
        <v>9612</v>
      </c>
      <c r="I505" s="1" t="s">
        <v>9613</v>
      </c>
      <c r="J505" s="1">
        <v>8999541427</v>
      </c>
      <c r="K505" s="1" t="s">
        <v>79</v>
      </c>
      <c r="L505" s="1" t="s">
        <v>9614</v>
      </c>
      <c r="M505" s="1" t="s">
        <v>81</v>
      </c>
      <c r="N505" s="1" t="s">
        <v>5731</v>
      </c>
      <c r="O505" s="1"/>
      <c r="P505" s="1" t="s">
        <v>1278</v>
      </c>
      <c r="Q505" s="1" t="s">
        <v>9615</v>
      </c>
      <c r="R505" s="1" t="s">
        <v>9610</v>
      </c>
      <c r="S505" s="1">
        <v>9921418107</v>
      </c>
      <c r="T505" s="1" t="s">
        <v>154</v>
      </c>
      <c r="U505" s="1" t="s">
        <v>9200</v>
      </c>
      <c r="V505" s="1">
        <v>9834640632</v>
      </c>
      <c r="W505" s="1" t="s">
        <v>9616</v>
      </c>
      <c r="X505" s="1" t="s">
        <v>9617</v>
      </c>
      <c r="Y505" s="1" t="s">
        <v>191</v>
      </c>
      <c r="Z505" s="1" t="s">
        <v>92</v>
      </c>
      <c r="AA505" s="1" t="s">
        <v>9617</v>
      </c>
      <c r="AB505" s="1" t="s">
        <v>191</v>
      </c>
      <c r="AC505" s="1" t="s">
        <v>92</v>
      </c>
      <c r="AD505" s="1">
        <v>8.03</v>
      </c>
      <c r="AE505" s="1" t="s">
        <v>93</v>
      </c>
      <c r="AF505" s="1" t="s">
        <v>9618</v>
      </c>
      <c r="AG505" s="1" t="s">
        <v>9619</v>
      </c>
      <c r="AH505" s="1" t="s">
        <v>101</v>
      </c>
      <c r="AI505" s="1" t="s">
        <v>409</v>
      </c>
      <c r="AJ505" s="1">
        <v>75.2</v>
      </c>
      <c r="AK505" s="1"/>
      <c r="AL505" s="1"/>
      <c r="AM505" s="1"/>
      <c r="AN505" s="1"/>
      <c r="AO505" s="1"/>
      <c r="AP505" s="1"/>
      <c r="AQ505" s="1"/>
      <c r="AR505" s="1" t="s">
        <v>98</v>
      </c>
      <c r="AS505" s="1" t="s">
        <v>9620</v>
      </c>
      <c r="AT505" s="1" t="s">
        <v>201</v>
      </c>
      <c r="AU505" s="1" t="s">
        <v>105</v>
      </c>
      <c r="AV505" s="1">
        <v>77.4</v>
      </c>
      <c r="AW505" s="1"/>
      <c r="AX505" s="1" t="s">
        <v>361</v>
      </c>
      <c r="AY505" s="1" t="s">
        <v>9621</v>
      </c>
      <c r="AZ505" s="1" t="s">
        <v>2693</v>
      </c>
      <c r="BA505" s="1" t="s">
        <v>1714</v>
      </c>
      <c r="BB505" s="1">
        <v>66.3</v>
      </c>
      <c r="BC505" s="1">
        <v>7.38</v>
      </c>
      <c r="BD505" s="1"/>
      <c r="BE505" s="1"/>
      <c r="BF505" s="1"/>
      <c r="BG505" s="1"/>
      <c r="BH505" s="1"/>
      <c r="BI505" s="1"/>
      <c r="BJ505" s="1" t="s">
        <v>9622</v>
      </c>
      <c r="BK505" s="1"/>
      <c r="BL505" s="1"/>
      <c r="BM505" s="1" t="s">
        <v>9623</v>
      </c>
      <c r="BN505" s="1">
        <v>13</v>
      </c>
      <c r="BO505" s="1" t="s">
        <v>9624</v>
      </c>
      <c r="BP505" s="1" t="str">
        <f>HYPERLINK("https://nconnect.nicmar.ac.in/storage/profile/ProfilePhoto_P25700461_475293.jpg","Download")</f>
        <v>0</v>
      </c>
      <c r="BQ505" s="3"/>
      <c r="BR505" s="3"/>
    </row>
    <row r="506" spans="1:70">
      <c r="A506" s="1" t="s">
        <v>70</v>
      </c>
      <c r="B506" s="1" t="s">
        <v>1269</v>
      </c>
      <c r="C506" s="1" t="s">
        <v>9625</v>
      </c>
      <c r="D506" s="1" t="s">
        <v>9626</v>
      </c>
      <c r="E506" s="1"/>
      <c r="F506" s="1" t="s">
        <v>234</v>
      </c>
      <c r="G506" s="1" t="s">
        <v>9627</v>
      </c>
      <c r="H506" s="1" t="s">
        <v>9628</v>
      </c>
      <c r="I506" s="1" t="s">
        <v>9629</v>
      </c>
      <c r="J506" s="1">
        <v>8757777788</v>
      </c>
      <c r="K506" s="1" t="s">
        <v>79</v>
      </c>
      <c r="L506" s="1" t="s">
        <v>9630</v>
      </c>
      <c r="M506" s="1" t="s">
        <v>81</v>
      </c>
      <c r="N506" s="1" t="s">
        <v>1951</v>
      </c>
      <c r="O506" s="1"/>
      <c r="P506" s="1" t="s">
        <v>1323</v>
      </c>
      <c r="Q506" s="1" t="s">
        <v>9631</v>
      </c>
      <c r="R506" s="1" t="s">
        <v>9632</v>
      </c>
      <c r="S506" s="1">
        <v>8102728777</v>
      </c>
      <c r="T506" s="1" t="s">
        <v>496</v>
      </c>
      <c r="U506" s="1" t="s">
        <v>9633</v>
      </c>
      <c r="V506" s="1">
        <v>9905023432</v>
      </c>
      <c r="W506" s="1" t="s">
        <v>89</v>
      </c>
      <c r="X506" s="1" t="s">
        <v>9634</v>
      </c>
      <c r="Y506" s="1" t="s">
        <v>191</v>
      </c>
      <c r="Z506" s="1" t="s">
        <v>92</v>
      </c>
      <c r="AA506" s="1" t="s">
        <v>9635</v>
      </c>
      <c r="AB506" s="1" t="s">
        <v>845</v>
      </c>
      <c r="AC506" s="1" t="s">
        <v>846</v>
      </c>
      <c r="AD506" s="1">
        <v>8.33</v>
      </c>
      <c r="AE506" s="1" t="s">
        <v>93</v>
      </c>
      <c r="AF506" s="1" t="s">
        <v>9636</v>
      </c>
      <c r="AG506" s="1" t="s">
        <v>9637</v>
      </c>
      <c r="AH506" s="1" t="s">
        <v>477</v>
      </c>
      <c r="AI506" s="1" t="s">
        <v>131</v>
      </c>
      <c r="AJ506" s="1">
        <v>95</v>
      </c>
      <c r="AK506" s="1">
        <v>10</v>
      </c>
      <c r="AL506" s="1" t="s">
        <v>9638</v>
      </c>
      <c r="AM506" s="1" t="s">
        <v>9637</v>
      </c>
      <c r="AN506" s="1" t="s">
        <v>1307</v>
      </c>
      <c r="AO506" s="1" t="s">
        <v>308</v>
      </c>
      <c r="AP506" s="1">
        <v>66.2</v>
      </c>
      <c r="AQ506" s="1"/>
      <c r="AR506" s="1"/>
      <c r="AS506" s="1"/>
      <c r="AT506" s="1"/>
      <c r="AU506" s="1"/>
      <c r="AV506" s="1"/>
      <c r="AW506" s="1"/>
      <c r="AX506" s="1" t="s">
        <v>361</v>
      </c>
      <c r="AY506" s="1" t="s">
        <v>5486</v>
      </c>
      <c r="AZ506" s="1" t="s">
        <v>201</v>
      </c>
      <c r="BA506" s="1" t="s">
        <v>174</v>
      </c>
      <c r="BB506" s="1">
        <v>69.24</v>
      </c>
      <c r="BC506" s="1">
        <v>7.78</v>
      </c>
      <c r="BD506" s="1"/>
      <c r="BE506" s="1"/>
      <c r="BF506" s="1"/>
      <c r="BG506" s="1"/>
      <c r="BH506" s="1"/>
      <c r="BI506" s="1"/>
      <c r="BJ506" s="1" t="s">
        <v>9639</v>
      </c>
      <c r="BK506" s="1" t="s">
        <v>9640</v>
      </c>
      <c r="BL506" s="1" t="s">
        <v>2019</v>
      </c>
      <c r="BM506" s="1" t="s">
        <v>9641</v>
      </c>
      <c r="BN506" s="1">
        <v>36</v>
      </c>
      <c r="BO506" s="1" t="s">
        <v>9642</v>
      </c>
      <c r="BP506" s="1" t="str">
        <f>HYPERLINK("https://nconnect.nicmar.ac.in/storage/profile/ProfilePhoto_P25700462_461837.jpg","Download")</f>
        <v>0</v>
      </c>
      <c r="BQ506" s="3"/>
      <c r="BR506" s="3"/>
    </row>
    <row r="507" spans="1:70">
      <c r="A507" s="1" t="s">
        <v>70</v>
      </c>
      <c r="B507" s="1" t="s">
        <v>1269</v>
      </c>
      <c r="C507" s="1" t="s">
        <v>9643</v>
      </c>
      <c r="D507" s="1" t="s">
        <v>9644</v>
      </c>
      <c r="E507" s="1" t="s">
        <v>971</v>
      </c>
      <c r="F507" s="1" t="s">
        <v>393</v>
      </c>
      <c r="G507" s="1" t="s">
        <v>9645</v>
      </c>
      <c r="H507" s="1" t="s">
        <v>9646</v>
      </c>
      <c r="I507" s="1" t="s">
        <v>9647</v>
      </c>
      <c r="J507" s="1">
        <v>9175048718</v>
      </c>
      <c r="K507" s="1" t="s">
        <v>148</v>
      </c>
      <c r="L507" s="1" t="s">
        <v>4828</v>
      </c>
      <c r="M507" s="1" t="s">
        <v>81</v>
      </c>
      <c r="N507" s="1" t="s">
        <v>5731</v>
      </c>
      <c r="O507" s="1"/>
      <c r="P507" s="1" t="s">
        <v>1278</v>
      </c>
      <c r="Q507" s="1" t="s">
        <v>9648</v>
      </c>
      <c r="R507" s="1" t="s">
        <v>9649</v>
      </c>
      <c r="S507" s="1">
        <v>9850353247</v>
      </c>
      <c r="T507" s="1" t="s">
        <v>4687</v>
      </c>
      <c r="U507" s="1" t="s">
        <v>9650</v>
      </c>
      <c r="V507" s="1">
        <v>9850721288</v>
      </c>
      <c r="W507" s="1" t="s">
        <v>156</v>
      </c>
      <c r="X507" s="1" t="s">
        <v>9651</v>
      </c>
      <c r="Y507" s="1" t="s">
        <v>405</v>
      </c>
      <c r="Z507" s="1" t="s">
        <v>92</v>
      </c>
      <c r="AA507" s="1" t="s">
        <v>9652</v>
      </c>
      <c r="AB507" s="1" t="s">
        <v>405</v>
      </c>
      <c r="AC507" s="1" t="s">
        <v>92</v>
      </c>
      <c r="AD507" s="1">
        <v>8.52</v>
      </c>
      <c r="AE507" s="1" t="s">
        <v>93</v>
      </c>
      <c r="AF507" s="1" t="s">
        <v>9653</v>
      </c>
      <c r="AG507" s="1" t="s">
        <v>307</v>
      </c>
      <c r="AH507" s="1" t="s">
        <v>1240</v>
      </c>
      <c r="AI507" s="1" t="s">
        <v>308</v>
      </c>
      <c r="AJ507" s="1">
        <v>81.2</v>
      </c>
      <c r="AK507" s="1">
        <v>0</v>
      </c>
      <c r="AL507" s="1" t="s">
        <v>9654</v>
      </c>
      <c r="AM507" s="1" t="s">
        <v>476</v>
      </c>
      <c r="AN507" s="1" t="s">
        <v>310</v>
      </c>
      <c r="AO507" s="1" t="s">
        <v>436</v>
      </c>
      <c r="AP507" s="1">
        <v>95.33</v>
      </c>
      <c r="AQ507" s="1">
        <v>0</v>
      </c>
      <c r="AR507" s="1"/>
      <c r="AS507" s="1"/>
      <c r="AT507" s="1"/>
      <c r="AU507" s="1"/>
      <c r="AV507" s="1"/>
      <c r="AW507" s="1"/>
      <c r="AX507" s="1" t="s">
        <v>9655</v>
      </c>
      <c r="AY507" s="1" t="s">
        <v>9656</v>
      </c>
      <c r="AZ507" s="1" t="s">
        <v>897</v>
      </c>
      <c r="BA507" s="1" t="s">
        <v>1714</v>
      </c>
      <c r="BB507" s="1">
        <v>68.79</v>
      </c>
      <c r="BC507" s="1">
        <v>7.63</v>
      </c>
      <c r="BD507" s="1"/>
      <c r="BE507" s="1"/>
      <c r="BF507" s="1"/>
      <c r="BG507" s="1"/>
      <c r="BH507" s="1"/>
      <c r="BI507" s="1"/>
      <c r="BJ507" s="1" t="s">
        <v>9657</v>
      </c>
      <c r="BK507" s="1"/>
      <c r="BL507" s="1"/>
      <c r="BM507" s="1" t="s">
        <v>9658</v>
      </c>
      <c r="BN507" s="1">
        <v>23</v>
      </c>
      <c r="BO507" s="1"/>
      <c r="BP507" s="1" t="str">
        <f>HYPERLINK("https://nconnect.nicmar.ac.in/storage/profile/ProfilePhoto_P25700463_384196.jpg","Download")</f>
        <v>0</v>
      </c>
      <c r="BQ507" s="3"/>
      <c r="BR507" s="3"/>
    </row>
    <row r="508" spans="1:70">
      <c r="A508" s="1" t="s">
        <v>70</v>
      </c>
      <c r="B508" s="1" t="s">
        <v>1269</v>
      </c>
      <c r="C508" s="1" t="s">
        <v>9659</v>
      </c>
      <c r="D508" s="1" t="s">
        <v>9660</v>
      </c>
      <c r="E508" s="1"/>
      <c r="F508" s="1" t="s">
        <v>9661</v>
      </c>
      <c r="G508" s="1" t="s">
        <v>9662</v>
      </c>
      <c r="H508" s="1" t="s">
        <v>9663</v>
      </c>
      <c r="I508" s="1" t="s">
        <v>9664</v>
      </c>
      <c r="J508" s="1">
        <v>8184975124</v>
      </c>
      <c r="K508" s="1" t="s">
        <v>79</v>
      </c>
      <c r="L508" s="1" t="s">
        <v>9665</v>
      </c>
      <c r="M508" s="1" t="s">
        <v>81</v>
      </c>
      <c r="N508" s="1" t="s">
        <v>9666</v>
      </c>
      <c r="O508" s="1"/>
      <c r="P508" s="1" t="s">
        <v>1766</v>
      </c>
      <c r="Q508" s="1" t="s">
        <v>9667</v>
      </c>
      <c r="R508" s="1" t="s">
        <v>9668</v>
      </c>
      <c r="S508" s="1">
        <v>9030871186</v>
      </c>
      <c r="T508" s="1" t="s">
        <v>9669</v>
      </c>
      <c r="U508" s="1" t="s">
        <v>7659</v>
      </c>
      <c r="V508" s="1">
        <v>9346051186</v>
      </c>
      <c r="W508" s="1" t="s">
        <v>273</v>
      </c>
      <c r="X508" s="1" t="s">
        <v>9670</v>
      </c>
      <c r="Y508" s="1" t="s">
        <v>9671</v>
      </c>
      <c r="Z508" s="1" t="s">
        <v>609</v>
      </c>
      <c r="AA508" s="1" t="s">
        <v>9670</v>
      </c>
      <c r="AB508" s="1" t="s">
        <v>9671</v>
      </c>
      <c r="AC508" s="1" t="s">
        <v>609</v>
      </c>
      <c r="AD508" s="1">
        <v>7.72</v>
      </c>
      <c r="AE508" s="1" t="s">
        <v>93</v>
      </c>
      <c r="AF508" s="1" t="s">
        <v>9672</v>
      </c>
      <c r="AG508" s="1" t="s">
        <v>1285</v>
      </c>
      <c r="AH508" s="1" t="s">
        <v>165</v>
      </c>
      <c r="AI508" s="1" t="s">
        <v>281</v>
      </c>
      <c r="AJ508" s="1">
        <v>80.76</v>
      </c>
      <c r="AK508" s="1">
        <v>8.5</v>
      </c>
      <c r="AL508" s="1"/>
      <c r="AM508" s="1"/>
      <c r="AN508" s="1"/>
      <c r="AO508" s="1"/>
      <c r="AP508" s="1"/>
      <c r="AQ508" s="1"/>
      <c r="AR508" s="1" t="s">
        <v>434</v>
      </c>
      <c r="AS508" s="1" t="s">
        <v>9673</v>
      </c>
      <c r="AT508" s="1" t="s">
        <v>101</v>
      </c>
      <c r="AU508" s="1" t="s">
        <v>506</v>
      </c>
      <c r="AV508" s="1">
        <v>58.5</v>
      </c>
      <c r="AW508" s="1">
        <v>6.35</v>
      </c>
      <c r="AX508" s="1" t="s">
        <v>9674</v>
      </c>
      <c r="AY508" s="1" t="s">
        <v>9675</v>
      </c>
      <c r="AZ508" s="1" t="s">
        <v>1051</v>
      </c>
      <c r="BA508" s="1" t="s">
        <v>702</v>
      </c>
      <c r="BB508" s="1">
        <v>73.4</v>
      </c>
      <c r="BC508" s="1">
        <v>7.84</v>
      </c>
      <c r="BD508" s="1"/>
      <c r="BE508" s="1"/>
      <c r="BF508" s="1"/>
      <c r="BG508" s="1"/>
      <c r="BH508" s="1"/>
      <c r="BI508" s="1"/>
      <c r="BJ508" s="1" t="s">
        <v>4508</v>
      </c>
      <c r="BK508" s="1" t="s">
        <v>9676</v>
      </c>
      <c r="BL508" s="1" t="s">
        <v>1920</v>
      </c>
      <c r="BM508" s="1" t="s">
        <v>9677</v>
      </c>
      <c r="BN508" s="1">
        <v>32</v>
      </c>
      <c r="BO508" s="1"/>
      <c r="BP508" s="1" t="str">
        <f>HYPERLINK("https://nconnect.nicmar.ac.in/storage/profile/ProfilePhoto_P25700464_638752.jpg","Download")</f>
        <v>0</v>
      </c>
      <c r="BQ508" s="3"/>
      <c r="BR508" s="3"/>
    </row>
    <row r="509" spans="1:70">
      <c r="A509" s="1" t="s">
        <v>70</v>
      </c>
      <c r="B509" s="1" t="s">
        <v>1269</v>
      </c>
      <c r="C509" s="1" t="s">
        <v>9678</v>
      </c>
      <c r="D509" s="1" t="s">
        <v>3474</v>
      </c>
      <c r="E509" s="1"/>
      <c r="F509" s="1" t="s">
        <v>2658</v>
      </c>
      <c r="G509" s="1" t="s">
        <v>9679</v>
      </c>
      <c r="H509" s="1" t="s">
        <v>9680</v>
      </c>
      <c r="I509" s="1" t="s">
        <v>9681</v>
      </c>
      <c r="J509" s="1">
        <v>6382968542</v>
      </c>
      <c r="K509" s="1" t="s">
        <v>79</v>
      </c>
      <c r="L509" s="1" t="s">
        <v>9682</v>
      </c>
      <c r="M509" s="1" t="s">
        <v>81</v>
      </c>
      <c r="N509" s="1" t="s">
        <v>9683</v>
      </c>
      <c r="O509" s="1"/>
      <c r="P509" s="1" t="s">
        <v>1278</v>
      </c>
      <c r="Q509" s="1" t="s">
        <v>9684</v>
      </c>
      <c r="R509" s="1" t="s">
        <v>9685</v>
      </c>
      <c r="S509" s="1">
        <v>9443864602</v>
      </c>
      <c r="T509" s="1" t="s">
        <v>9686</v>
      </c>
      <c r="U509" s="1" t="s">
        <v>9687</v>
      </c>
      <c r="V509" s="1">
        <v>9443864602</v>
      </c>
      <c r="W509" s="1" t="s">
        <v>9688</v>
      </c>
      <c r="X509" s="1" t="s">
        <v>9689</v>
      </c>
      <c r="Y509" s="1" t="s">
        <v>9690</v>
      </c>
      <c r="Z509" s="1" t="s">
        <v>1377</v>
      </c>
      <c r="AA509" s="1" t="s">
        <v>9689</v>
      </c>
      <c r="AB509" s="1" t="s">
        <v>9690</v>
      </c>
      <c r="AC509" s="1" t="s">
        <v>1377</v>
      </c>
      <c r="AD509" s="1">
        <v>8.56</v>
      </c>
      <c r="AE509" s="1" t="s">
        <v>93</v>
      </c>
      <c r="AF509" s="1" t="s">
        <v>9691</v>
      </c>
      <c r="AG509" s="1" t="s">
        <v>9692</v>
      </c>
      <c r="AH509" s="1" t="s">
        <v>165</v>
      </c>
      <c r="AI509" s="1" t="s">
        <v>166</v>
      </c>
      <c r="AJ509" s="1">
        <v>64.4</v>
      </c>
      <c r="AK509" s="1"/>
      <c r="AL509" s="1" t="s">
        <v>9693</v>
      </c>
      <c r="AM509" s="1" t="s">
        <v>9694</v>
      </c>
      <c r="AN509" s="1" t="s">
        <v>310</v>
      </c>
      <c r="AO509" s="1" t="s">
        <v>173</v>
      </c>
      <c r="AP509" s="1">
        <v>80.2</v>
      </c>
      <c r="AQ509" s="1"/>
      <c r="AR509" s="1"/>
      <c r="AS509" s="1"/>
      <c r="AT509" s="1"/>
      <c r="AU509" s="1"/>
      <c r="AV509" s="1"/>
      <c r="AW509" s="1"/>
      <c r="AX509" s="1" t="s">
        <v>9695</v>
      </c>
      <c r="AY509" s="1" t="s">
        <v>9696</v>
      </c>
      <c r="AZ509" s="1" t="s">
        <v>699</v>
      </c>
      <c r="BA509" s="1" t="s">
        <v>1714</v>
      </c>
      <c r="BB509" s="1">
        <v>87.6</v>
      </c>
      <c r="BC509" s="1">
        <v>8.76</v>
      </c>
      <c r="BD509" s="1"/>
      <c r="BE509" s="1"/>
      <c r="BF509" s="1"/>
      <c r="BG509" s="1"/>
      <c r="BH509" s="1"/>
      <c r="BI509" s="1"/>
      <c r="BJ509" s="1" t="s">
        <v>9697</v>
      </c>
      <c r="BK509" s="1"/>
      <c r="BL509" s="1"/>
      <c r="BM509" s="1" t="s">
        <v>9698</v>
      </c>
      <c r="BN509" s="1">
        <v>35</v>
      </c>
      <c r="BO509" s="1"/>
      <c r="BP509" s="1" t="str">
        <f>HYPERLINK("https://nconnect.nicmar.ac.in/storage/profile/ProfilePhoto_P25700465_781254.jpg","Download")</f>
        <v>0</v>
      </c>
      <c r="BQ509" s="3"/>
      <c r="BR509" s="3"/>
    </row>
    <row r="510" spans="1:70">
      <c r="A510" s="1" t="s">
        <v>70</v>
      </c>
      <c r="B510" s="1" t="s">
        <v>1269</v>
      </c>
      <c r="C510" s="1" t="s">
        <v>9699</v>
      </c>
      <c r="D510" s="1" t="s">
        <v>417</v>
      </c>
      <c r="E510" s="1" t="s">
        <v>9700</v>
      </c>
      <c r="F510" s="1" t="s">
        <v>2024</v>
      </c>
      <c r="G510" s="1" t="s">
        <v>9701</v>
      </c>
      <c r="H510" s="1" t="s">
        <v>9702</v>
      </c>
      <c r="I510" s="1" t="s">
        <v>9703</v>
      </c>
      <c r="J510" s="1">
        <v>9022703156</v>
      </c>
      <c r="K510" s="1" t="s">
        <v>148</v>
      </c>
      <c r="L510" s="1" t="s">
        <v>3512</v>
      </c>
      <c r="M510" s="1" t="s">
        <v>150</v>
      </c>
      <c r="N510" s="1" t="s">
        <v>1418</v>
      </c>
      <c r="O510" s="1"/>
      <c r="P510" s="1" t="s">
        <v>1323</v>
      </c>
      <c r="Q510" s="1" t="s">
        <v>9704</v>
      </c>
      <c r="R510" s="1" t="s">
        <v>5472</v>
      </c>
      <c r="S510" s="1">
        <v>9657735550</v>
      </c>
      <c r="T510" s="1" t="s">
        <v>9705</v>
      </c>
      <c r="U510" s="1" t="s">
        <v>5747</v>
      </c>
      <c r="V510" s="1">
        <v>8805854784</v>
      </c>
      <c r="W510" s="1" t="s">
        <v>273</v>
      </c>
      <c r="X510" s="1" t="s">
        <v>9706</v>
      </c>
      <c r="Y510" s="1" t="s">
        <v>766</v>
      </c>
      <c r="Z510" s="1" t="s">
        <v>92</v>
      </c>
      <c r="AA510" s="1" t="s">
        <v>9707</v>
      </c>
      <c r="AB510" s="1" t="s">
        <v>5080</v>
      </c>
      <c r="AC510" s="1" t="s">
        <v>92</v>
      </c>
      <c r="AD510" s="1">
        <v>7.2</v>
      </c>
      <c r="AE510" s="1" t="s">
        <v>93</v>
      </c>
      <c r="AF510" s="1" t="s">
        <v>9708</v>
      </c>
      <c r="AG510" s="1" t="s">
        <v>160</v>
      </c>
      <c r="AH510" s="1" t="s">
        <v>165</v>
      </c>
      <c r="AI510" s="1" t="s">
        <v>281</v>
      </c>
      <c r="AJ510" s="1">
        <v>81.6</v>
      </c>
      <c r="AK510" s="1">
        <v>0</v>
      </c>
      <c r="AL510" s="1" t="s">
        <v>9709</v>
      </c>
      <c r="AM510" s="1" t="s">
        <v>160</v>
      </c>
      <c r="AN510" s="1" t="s">
        <v>433</v>
      </c>
      <c r="AO510" s="1" t="s">
        <v>360</v>
      </c>
      <c r="AP510" s="1">
        <v>69.69</v>
      </c>
      <c r="AQ510" s="1">
        <v>0</v>
      </c>
      <c r="AR510" s="1"/>
      <c r="AS510" s="1"/>
      <c r="AT510" s="1"/>
      <c r="AU510" s="1"/>
      <c r="AV510" s="1"/>
      <c r="AW510" s="1"/>
      <c r="AX510" s="1" t="s">
        <v>1024</v>
      </c>
      <c r="AY510" s="1" t="s">
        <v>9710</v>
      </c>
      <c r="AZ510" s="1" t="s">
        <v>699</v>
      </c>
      <c r="BA510" s="1" t="s">
        <v>1714</v>
      </c>
      <c r="BB510" s="1">
        <v>69.23</v>
      </c>
      <c r="BC510" s="1">
        <v>7.46</v>
      </c>
      <c r="BD510" s="1"/>
      <c r="BE510" s="1"/>
      <c r="BF510" s="1"/>
      <c r="BG510" s="1"/>
      <c r="BH510" s="1"/>
      <c r="BI510" s="1"/>
      <c r="BJ510" s="1" t="s">
        <v>9711</v>
      </c>
      <c r="BK510" s="1"/>
      <c r="BL510" s="1"/>
      <c r="BM510" s="1" t="s">
        <v>9712</v>
      </c>
      <c r="BN510" s="1">
        <v>8</v>
      </c>
      <c r="BO510" s="1"/>
      <c r="BP510" s="1" t="str">
        <f>HYPERLINK("https://nconnect.nicmar.ac.in/storage/profile/ProfilePhoto_P25700466_237615.jpg","Download")</f>
        <v>0</v>
      </c>
      <c r="BQ510" s="3"/>
      <c r="BR510" s="3"/>
    </row>
    <row r="511" spans="1:70">
      <c r="A511" s="1" t="s">
        <v>70</v>
      </c>
      <c r="B511" s="1" t="s">
        <v>1269</v>
      </c>
      <c r="C511" s="1" t="s">
        <v>9713</v>
      </c>
      <c r="D511" s="1" t="s">
        <v>9714</v>
      </c>
      <c r="E511" s="1"/>
      <c r="F511" s="1" t="s">
        <v>9715</v>
      </c>
      <c r="G511" s="1" t="s">
        <v>9716</v>
      </c>
      <c r="H511" s="1" t="s">
        <v>9717</v>
      </c>
      <c r="I511" s="1" t="s">
        <v>9718</v>
      </c>
      <c r="J511" s="1">
        <v>8318035615</v>
      </c>
      <c r="K511" s="1" t="s">
        <v>79</v>
      </c>
      <c r="L511" s="1" t="s">
        <v>9719</v>
      </c>
      <c r="M511" s="1" t="s">
        <v>81</v>
      </c>
      <c r="N511" s="1" t="s">
        <v>5056</v>
      </c>
      <c r="O511" s="1"/>
      <c r="P511" s="1" t="s">
        <v>1323</v>
      </c>
      <c r="Q511" s="1" t="s">
        <v>9720</v>
      </c>
      <c r="R511" s="1" t="s">
        <v>9721</v>
      </c>
      <c r="S511" s="1">
        <v>6388241703</v>
      </c>
      <c r="T511" s="1" t="s">
        <v>9722</v>
      </c>
      <c r="U511" s="1" t="s">
        <v>9723</v>
      </c>
      <c r="V511" s="1">
        <v>9140420240</v>
      </c>
      <c r="W511" s="1" t="s">
        <v>9722</v>
      </c>
      <c r="X511" s="1" t="s">
        <v>9724</v>
      </c>
      <c r="Y511" s="1" t="s">
        <v>9725</v>
      </c>
      <c r="Z511" s="1" t="s">
        <v>1355</v>
      </c>
      <c r="AA511" s="1" t="s">
        <v>9724</v>
      </c>
      <c r="AB511" s="1" t="s">
        <v>9725</v>
      </c>
      <c r="AC511" s="1" t="s">
        <v>1355</v>
      </c>
      <c r="AD511" s="1">
        <v>8.23</v>
      </c>
      <c r="AE511" s="1" t="s">
        <v>93</v>
      </c>
      <c r="AF511" s="1" t="s">
        <v>9726</v>
      </c>
      <c r="AG511" s="1" t="s">
        <v>9727</v>
      </c>
      <c r="AH511" s="1" t="s">
        <v>1307</v>
      </c>
      <c r="AI511" s="1" t="s">
        <v>308</v>
      </c>
      <c r="AJ511" s="1">
        <v>90.4</v>
      </c>
      <c r="AK511" s="1">
        <v>9.51</v>
      </c>
      <c r="AL511" s="1" t="s">
        <v>9726</v>
      </c>
      <c r="AM511" s="1" t="s">
        <v>9727</v>
      </c>
      <c r="AN511" s="1" t="s">
        <v>1834</v>
      </c>
      <c r="AO511" s="1" t="s">
        <v>506</v>
      </c>
      <c r="AP511" s="1">
        <v>88.83</v>
      </c>
      <c r="AQ511" s="1">
        <v>9.35</v>
      </c>
      <c r="AR511" s="1"/>
      <c r="AS511" s="1"/>
      <c r="AT511" s="1"/>
      <c r="AU511" s="1"/>
      <c r="AV511" s="1"/>
      <c r="AW511" s="1"/>
      <c r="AX511" s="1" t="s">
        <v>1359</v>
      </c>
      <c r="AY511" s="1" t="s">
        <v>6895</v>
      </c>
      <c r="AZ511" s="1" t="s">
        <v>1051</v>
      </c>
      <c r="BA511" s="1" t="s">
        <v>1361</v>
      </c>
      <c r="BB511" s="1">
        <v>78.9</v>
      </c>
      <c r="BC511" s="1">
        <v>7.89</v>
      </c>
      <c r="BD511" s="1"/>
      <c r="BE511" s="1"/>
      <c r="BF511" s="1"/>
      <c r="BG511" s="1"/>
      <c r="BH511" s="1"/>
      <c r="BI511" s="1"/>
      <c r="BJ511" s="1" t="s">
        <v>9728</v>
      </c>
      <c r="BK511" s="1"/>
      <c r="BL511" s="1"/>
      <c r="BM511" s="1" t="s">
        <v>9729</v>
      </c>
      <c r="BN511" s="1">
        <v>12</v>
      </c>
      <c r="BO511" s="1"/>
      <c r="BP511" s="1" t="str">
        <f>HYPERLINK("https://nconnect.nicmar.ac.in/storage/profile/ProfilePhoto_P25700467_125643.jpg","Download")</f>
        <v>0</v>
      </c>
      <c r="BQ511" s="3"/>
      <c r="BR511" s="3"/>
    </row>
    <row r="512" spans="1:70">
      <c r="A512" s="1" t="s">
        <v>70</v>
      </c>
      <c r="B512" s="1" t="s">
        <v>1269</v>
      </c>
      <c r="C512" s="1" t="s">
        <v>9730</v>
      </c>
      <c r="D512" s="1" t="s">
        <v>9731</v>
      </c>
      <c r="E512" s="1" t="s">
        <v>5565</v>
      </c>
      <c r="F512" s="1" t="s">
        <v>9732</v>
      </c>
      <c r="G512" s="1" t="s">
        <v>9733</v>
      </c>
      <c r="H512" s="1" t="s">
        <v>9734</v>
      </c>
      <c r="I512" s="1" t="s">
        <v>9735</v>
      </c>
      <c r="J512" s="1">
        <v>6361837707</v>
      </c>
      <c r="K512" s="1" t="s">
        <v>79</v>
      </c>
      <c r="L512" s="1" t="s">
        <v>9736</v>
      </c>
      <c r="M512" s="1" t="s">
        <v>81</v>
      </c>
      <c r="N512" s="1" t="s">
        <v>9737</v>
      </c>
      <c r="O512" s="1"/>
      <c r="P512" s="1" t="s">
        <v>1278</v>
      </c>
      <c r="Q512" s="1" t="s">
        <v>9738</v>
      </c>
      <c r="R512" s="1" t="s">
        <v>9739</v>
      </c>
      <c r="S512" s="1">
        <v>8660703603</v>
      </c>
      <c r="T512" s="1" t="s">
        <v>154</v>
      </c>
      <c r="U512" s="1" t="s">
        <v>9740</v>
      </c>
      <c r="V512" s="1">
        <v>9686646486</v>
      </c>
      <c r="W512" s="1" t="s">
        <v>273</v>
      </c>
      <c r="X512" s="1" t="s">
        <v>9741</v>
      </c>
      <c r="Y512" s="1" t="s">
        <v>9742</v>
      </c>
      <c r="Z512" s="1" t="s">
        <v>1084</v>
      </c>
      <c r="AA512" s="1" t="s">
        <v>9741</v>
      </c>
      <c r="AB512" s="1" t="s">
        <v>9742</v>
      </c>
      <c r="AC512" s="1" t="s">
        <v>1084</v>
      </c>
      <c r="AD512" s="1">
        <v>8.09</v>
      </c>
      <c r="AE512" s="1" t="s">
        <v>93</v>
      </c>
      <c r="AF512" s="1" t="s">
        <v>9743</v>
      </c>
      <c r="AG512" s="1" t="s">
        <v>9744</v>
      </c>
      <c r="AH512" s="1" t="s">
        <v>162</v>
      </c>
      <c r="AI512" s="1" t="s">
        <v>479</v>
      </c>
      <c r="AJ512" s="1">
        <v>65.16</v>
      </c>
      <c r="AK512" s="1"/>
      <c r="AL512" s="1" t="s">
        <v>9745</v>
      </c>
      <c r="AM512" s="1" t="s">
        <v>4526</v>
      </c>
      <c r="AN512" s="1" t="s">
        <v>166</v>
      </c>
      <c r="AO512" s="1" t="s">
        <v>409</v>
      </c>
      <c r="AP512" s="1">
        <v>74.66</v>
      </c>
      <c r="AQ512" s="1"/>
      <c r="AR512" s="1"/>
      <c r="AS512" s="1"/>
      <c r="AT512" s="1"/>
      <c r="AU512" s="1"/>
      <c r="AV512" s="1"/>
      <c r="AW512" s="1"/>
      <c r="AX512" s="1" t="s">
        <v>8293</v>
      </c>
      <c r="AY512" s="1" t="s">
        <v>4857</v>
      </c>
      <c r="AZ512" s="1" t="s">
        <v>201</v>
      </c>
      <c r="BA512" s="1" t="s">
        <v>229</v>
      </c>
      <c r="BB512" s="1">
        <v>77.3</v>
      </c>
      <c r="BC512" s="1">
        <v>7.73</v>
      </c>
      <c r="BD512" s="1"/>
      <c r="BE512" s="1"/>
      <c r="BF512" s="1"/>
      <c r="BG512" s="1"/>
      <c r="BH512" s="1"/>
      <c r="BI512" s="1"/>
      <c r="BJ512" s="1" t="s">
        <v>9746</v>
      </c>
      <c r="BK512" s="1"/>
      <c r="BL512" s="1"/>
      <c r="BM512" s="1" t="s">
        <v>9747</v>
      </c>
      <c r="BN512" s="1">
        <v>14</v>
      </c>
      <c r="BO512" s="1" t="s">
        <v>9748</v>
      </c>
      <c r="BP512" s="1" t="str">
        <f>HYPERLINK("https://nconnect.nicmar.ac.in/storage/profile/ProfilePhoto_P25700468_981762.jpg","Download")</f>
        <v>0</v>
      </c>
      <c r="BQ512" s="3"/>
      <c r="BR512" s="3"/>
    </row>
    <row r="513" spans="1:70">
      <c r="A513" s="1" t="s">
        <v>70</v>
      </c>
      <c r="B513" s="1" t="s">
        <v>1269</v>
      </c>
      <c r="C513" s="1" t="s">
        <v>9749</v>
      </c>
      <c r="D513" s="1" t="s">
        <v>7652</v>
      </c>
      <c r="E513" s="1" t="s">
        <v>181</v>
      </c>
      <c r="F513" s="1" t="s">
        <v>9750</v>
      </c>
      <c r="G513" s="1" t="s">
        <v>9751</v>
      </c>
      <c r="H513" s="1" t="s">
        <v>9752</v>
      </c>
      <c r="I513" s="1" t="s">
        <v>9753</v>
      </c>
      <c r="J513" s="1">
        <v>7588134455</v>
      </c>
      <c r="K513" s="1" t="s">
        <v>79</v>
      </c>
      <c r="L513" s="1" t="s">
        <v>9754</v>
      </c>
      <c r="M513" s="1" t="s">
        <v>81</v>
      </c>
      <c r="N513" s="1" t="s">
        <v>9755</v>
      </c>
      <c r="O513" s="1"/>
      <c r="P513" s="1" t="s">
        <v>1323</v>
      </c>
      <c r="Q513" s="1" t="s">
        <v>9756</v>
      </c>
      <c r="R513" s="1" t="s">
        <v>181</v>
      </c>
      <c r="S513" s="1">
        <v>9823016462</v>
      </c>
      <c r="T513" s="1" t="s">
        <v>842</v>
      </c>
      <c r="U513" s="1" t="s">
        <v>4302</v>
      </c>
      <c r="V513" s="1">
        <v>9403080278</v>
      </c>
      <c r="W513" s="1" t="s">
        <v>156</v>
      </c>
      <c r="X513" s="1" t="s">
        <v>9757</v>
      </c>
      <c r="Y513" s="1" t="s">
        <v>191</v>
      </c>
      <c r="Z513" s="1" t="s">
        <v>92</v>
      </c>
      <c r="AA513" s="1" t="s">
        <v>9757</v>
      </c>
      <c r="AB513" s="1" t="s">
        <v>191</v>
      </c>
      <c r="AC513" s="1" t="s">
        <v>92</v>
      </c>
      <c r="AD513" s="1">
        <v>8.52</v>
      </c>
      <c r="AE513" s="1" t="s">
        <v>93</v>
      </c>
      <c r="AF513" s="1" t="s">
        <v>9758</v>
      </c>
      <c r="AG513" s="1" t="s">
        <v>5102</v>
      </c>
      <c r="AH513" s="1" t="s">
        <v>101</v>
      </c>
      <c r="AI513" s="1" t="s">
        <v>308</v>
      </c>
      <c r="AJ513" s="1">
        <v>83.4</v>
      </c>
      <c r="AK513" s="1"/>
      <c r="AL513" s="1" t="s">
        <v>9758</v>
      </c>
      <c r="AM513" s="1" t="s">
        <v>5102</v>
      </c>
      <c r="AN513" s="1" t="s">
        <v>433</v>
      </c>
      <c r="AO513" s="1" t="s">
        <v>1712</v>
      </c>
      <c r="AP513" s="1">
        <v>87.17</v>
      </c>
      <c r="AQ513" s="1"/>
      <c r="AR513" s="1"/>
      <c r="AS513" s="1"/>
      <c r="AT513" s="1"/>
      <c r="AU513" s="1"/>
      <c r="AV513" s="1"/>
      <c r="AW513" s="1"/>
      <c r="AX513" s="1" t="s">
        <v>1583</v>
      </c>
      <c r="AY513" s="1" t="s">
        <v>1583</v>
      </c>
      <c r="AZ513" s="1" t="s">
        <v>1051</v>
      </c>
      <c r="BA513" s="1" t="s">
        <v>1361</v>
      </c>
      <c r="BB513" s="1">
        <v>84.9</v>
      </c>
      <c r="BC513" s="1">
        <v>8.49</v>
      </c>
      <c r="BD513" s="1"/>
      <c r="BE513" s="1"/>
      <c r="BF513" s="1"/>
      <c r="BG513" s="1"/>
      <c r="BH513" s="1"/>
      <c r="BI513" s="1"/>
      <c r="BJ513" s="1" t="s">
        <v>9759</v>
      </c>
      <c r="BK513" s="1"/>
      <c r="BL513" s="1"/>
      <c r="BM513" s="1" t="s">
        <v>9760</v>
      </c>
      <c r="BN513" s="1">
        <v>21</v>
      </c>
      <c r="BO513" s="1" t="s">
        <v>9761</v>
      </c>
      <c r="BP513" s="1" t="str">
        <f>HYPERLINK("https://nconnect.nicmar.ac.in/storage/profile/ProfilePhoto_P25700470_843725.jpg","Download")</f>
        <v>0</v>
      </c>
      <c r="BQ513" s="3"/>
      <c r="BR513" s="3"/>
    </row>
    <row r="514" spans="1:70">
      <c r="A514" s="1" t="s">
        <v>70</v>
      </c>
      <c r="B514" s="1" t="s">
        <v>1269</v>
      </c>
      <c r="C514" s="1" t="s">
        <v>9762</v>
      </c>
      <c r="D514" s="1" t="s">
        <v>443</v>
      </c>
      <c r="E514" s="1"/>
      <c r="F514" s="1" t="s">
        <v>5393</v>
      </c>
      <c r="G514" s="1" t="s">
        <v>9763</v>
      </c>
      <c r="H514" s="1" t="s">
        <v>9764</v>
      </c>
      <c r="I514" s="1" t="s">
        <v>9765</v>
      </c>
      <c r="J514" s="1">
        <v>9425961340</v>
      </c>
      <c r="K514" s="1" t="s">
        <v>79</v>
      </c>
      <c r="L514" s="1" t="s">
        <v>9766</v>
      </c>
      <c r="M514" s="1" t="s">
        <v>81</v>
      </c>
      <c r="N514" s="1" t="s">
        <v>5056</v>
      </c>
      <c r="O514" s="1"/>
      <c r="P514" s="1" t="s">
        <v>1298</v>
      </c>
      <c r="Q514" s="1" t="s">
        <v>9767</v>
      </c>
      <c r="R514" s="1" t="s">
        <v>9768</v>
      </c>
      <c r="S514" s="1">
        <v>9131958600</v>
      </c>
      <c r="T514" s="1" t="s">
        <v>6362</v>
      </c>
      <c r="U514" s="1" t="s">
        <v>9769</v>
      </c>
      <c r="V514" s="1">
        <v>9691271545</v>
      </c>
      <c r="W514" s="1" t="s">
        <v>6362</v>
      </c>
      <c r="X514" s="1" t="s">
        <v>9770</v>
      </c>
      <c r="Y514" s="1" t="s">
        <v>9771</v>
      </c>
      <c r="Z514" s="1" t="s">
        <v>936</v>
      </c>
      <c r="AA514" s="1" t="s">
        <v>9770</v>
      </c>
      <c r="AB514" s="1" t="s">
        <v>9771</v>
      </c>
      <c r="AC514" s="1" t="s">
        <v>936</v>
      </c>
      <c r="AD514" s="1">
        <v>7.18</v>
      </c>
      <c r="AE514" s="1" t="s">
        <v>93</v>
      </c>
      <c r="AF514" s="1" t="s">
        <v>9772</v>
      </c>
      <c r="AG514" s="1" t="s">
        <v>9773</v>
      </c>
      <c r="AH514" s="1" t="s">
        <v>161</v>
      </c>
      <c r="AI514" s="1" t="s">
        <v>162</v>
      </c>
      <c r="AJ514" s="1">
        <v>77.9</v>
      </c>
      <c r="AK514" s="1">
        <v>8.2</v>
      </c>
      <c r="AL514" s="1" t="s">
        <v>9774</v>
      </c>
      <c r="AM514" s="1" t="s">
        <v>9775</v>
      </c>
      <c r="AN514" s="1" t="s">
        <v>165</v>
      </c>
      <c r="AO514" s="1" t="s">
        <v>101</v>
      </c>
      <c r="AP514" s="1">
        <v>61.2</v>
      </c>
      <c r="AQ514" s="1"/>
      <c r="AR514" s="1"/>
      <c r="AS514" s="1"/>
      <c r="AT514" s="1"/>
      <c r="AU514" s="1"/>
      <c r="AV514" s="1"/>
      <c r="AW514" s="1"/>
      <c r="AX514" s="1" t="s">
        <v>9776</v>
      </c>
      <c r="AY514" s="1" t="s">
        <v>9777</v>
      </c>
      <c r="AZ514" s="1" t="s">
        <v>636</v>
      </c>
      <c r="BA514" s="1" t="s">
        <v>284</v>
      </c>
      <c r="BB514" s="1">
        <v>69.7</v>
      </c>
      <c r="BC514" s="1">
        <v>6.97</v>
      </c>
      <c r="BD514" s="1"/>
      <c r="BE514" s="1"/>
      <c r="BF514" s="1"/>
      <c r="BG514" s="1"/>
      <c r="BH514" s="1"/>
      <c r="BI514" s="1"/>
      <c r="BJ514" s="1" t="s">
        <v>364</v>
      </c>
      <c r="BK514" s="1" t="s">
        <v>9778</v>
      </c>
      <c r="BL514" s="1" t="s">
        <v>9779</v>
      </c>
      <c r="BM514" s="1" t="s">
        <v>9780</v>
      </c>
      <c r="BN514" s="1">
        <v>9</v>
      </c>
      <c r="BO514" s="1" t="s">
        <v>9781</v>
      </c>
      <c r="BP514" s="1" t="str">
        <f>HYPERLINK("https://nconnect.nicmar.ac.in/storage/profile/ProfilePhoto_P25700471_756394.jpg","Download")</f>
        <v>0</v>
      </c>
      <c r="BQ514" s="3"/>
      <c r="BR514" s="3"/>
    </row>
    <row r="515" spans="1:70">
      <c r="A515" s="1" t="s">
        <v>70</v>
      </c>
      <c r="B515" s="1" t="s">
        <v>1269</v>
      </c>
      <c r="C515" s="1" t="s">
        <v>9782</v>
      </c>
      <c r="D515" s="1" t="s">
        <v>3304</v>
      </c>
      <c r="E515" s="1" t="s">
        <v>5472</v>
      </c>
      <c r="F515" s="1" t="s">
        <v>2897</v>
      </c>
      <c r="G515" s="1" t="s">
        <v>9783</v>
      </c>
      <c r="H515" s="1" t="s">
        <v>9784</v>
      </c>
      <c r="I515" s="1" t="s">
        <v>9785</v>
      </c>
      <c r="J515" s="1">
        <v>7841023889</v>
      </c>
      <c r="K515" s="1" t="s">
        <v>79</v>
      </c>
      <c r="L515" s="1" t="s">
        <v>9786</v>
      </c>
      <c r="M515" s="1" t="s">
        <v>81</v>
      </c>
      <c r="N515" s="1" t="s">
        <v>2008</v>
      </c>
      <c r="O515" s="1"/>
      <c r="P515" s="1" t="s">
        <v>2507</v>
      </c>
      <c r="Q515" s="1" t="s">
        <v>9787</v>
      </c>
      <c r="R515" s="1" t="s">
        <v>9788</v>
      </c>
      <c r="S515" s="1">
        <v>9423058325</v>
      </c>
      <c r="T515" s="1" t="s">
        <v>154</v>
      </c>
      <c r="U515" s="1" t="s">
        <v>9789</v>
      </c>
      <c r="V515" s="1">
        <v>7798204891</v>
      </c>
      <c r="W515" s="1" t="s">
        <v>9790</v>
      </c>
      <c r="X515" s="1" t="s">
        <v>9791</v>
      </c>
      <c r="Y515" s="1" t="s">
        <v>191</v>
      </c>
      <c r="Z515" s="1" t="s">
        <v>92</v>
      </c>
      <c r="AA515" s="1" t="s">
        <v>9792</v>
      </c>
      <c r="AB515" s="1" t="s">
        <v>191</v>
      </c>
      <c r="AC515" s="1" t="s">
        <v>92</v>
      </c>
      <c r="AD515" s="1">
        <v>8.61</v>
      </c>
      <c r="AE515" s="1" t="s">
        <v>93</v>
      </c>
      <c r="AF515" s="1" t="s">
        <v>9793</v>
      </c>
      <c r="AG515" s="1" t="s">
        <v>160</v>
      </c>
      <c r="AH515" s="1" t="s">
        <v>162</v>
      </c>
      <c r="AI515" s="1" t="s">
        <v>195</v>
      </c>
      <c r="AJ515" s="1">
        <v>83.2</v>
      </c>
      <c r="AK515" s="1">
        <v>0</v>
      </c>
      <c r="AL515" s="1" t="s">
        <v>9794</v>
      </c>
      <c r="AM515" s="1" t="s">
        <v>160</v>
      </c>
      <c r="AN515" s="1" t="s">
        <v>101</v>
      </c>
      <c r="AO515" s="1" t="s">
        <v>198</v>
      </c>
      <c r="AP515" s="1">
        <v>66.77</v>
      </c>
      <c r="AQ515" s="1">
        <v>0</v>
      </c>
      <c r="AR515" s="1"/>
      <c r="AS515" s="1"/>
      <c r="AT515" s="1"/>
      <c r="AU515" s="1"/>
      <c r="AV515" s="1"/>
      <c r="AW515" s="1"/>
      <c r="AX515" s="1" t="s">
        <v>361</v>
      </c>
      <c r="AY515" s="1" t="s">
        <v>9795</v>
      </c>
      <c r="AZ515" s="1" t="s">
        <v>201</v>
      </c>
      <c r="BA515" s="1" t="s">
        <v>682</v>
      </c>
      <c r="BB515" s="1">
        <v>72.9</v>
      </c>
      <c r="BC515" s="1">
        <v>8.04</v>
      </c>
      <c r="BD515" s="1"/>
      <c r="BE515" s="1"/>
      <c r="BF515" s="1"/>
      <c r="BG515" s="1"/>
      <c r="BH515" s="1"/>
      <c r="BI515" s="1"/>
      <c r="BJ515" s="1" t="s">
        <v>9796</v>
      </c>
      <c r="BK515" s="1" t="s">
        <v>9797</v>
      </c>
      <c r="BL515" s="1" t="s">
        <v>1028</v>
      </c>
      <c r="BM515" s="1" t="s">
        <v>9798</v>
      </c>
      <c r="BN515" s="1">
        <v>14</v>
      </c>
      <c r="BO515" s="1" t="s">
        <v>9799</v>
      </c>
      <c r="BP515" s="1" t="str">
        <f>HYPERLINK("https://nconnect.nicmar.ac.in/storage/profile/ProfilePhoto_P25700472_563742.jpg","Download")</f>
        <v>0</v>
      </c>
      <c r="BQ515" s="3"/>
      <c r="BR515" s="3"/>
    </row>
    <row r="516" spans="1:70">
      <c r="A516" s="1" t="s">
        <v>70</v>
      </c>
      <c r="B516" s="1" t="s">
        <v>1269</v>
      </c>
      <c r="C516" s="1" t="s">
        <v>9800</v>
      </c>
      <c r="D516" s="1" t="s">
        <v>9801</v>
      </c>
      <c r="E516" s="1" t="s">
        <v>554</v>
      </c>
      <c r="F516" s="1" t="s">
        <v>9802</v>
      </c>
      <c r="G516" s="1" t="s">
        <v>9803</v>
      </c>
      <c r="H516" s="1" t="s">
        <v>9804</v>
      </c>
      <c r="I516" s="1" t="s">
        <v>9805</v>
      </c>
      <c r="J516" s="1">
        <v>8291691754</v>
      </c>
      <c r="K516" s="1" t="s">
        <v>79</v>
      </c>
      <c r="L516" s="1" t="s">
        <v>9806</v>
      </c>
      <c r="M516" s="1" t="s">
        <v>81</v>
      </c>
      <c r="N516" s="1" t="s">
        <v>2295</v>
      </c>
      <c r="O516" s="1"/>
      <c r="P516" s="1" t="s">
        <v>1278</v>
      </c>
      <c r="Q516" s="1" t="s">
        <v>9807</v>
      </c>
      <c r="R516" s="1" t="s">
        <v>9808</v>
      </c>
      <c r="S516" s="1">
        <v>9930811145</v>
      </c>
      <c r="T516" s="1" t="s">
        <v>120</v>
      </c>
      <c r="U516" s="1" t="s">
        <v>9809</v>
      </c>
      <c r="V516" s="1">
        <v>9930320469</v>
      </c>
      <c r="W516" s="1" t="s">
        <v>763</v>
      </c>
      <c r="X516" s="1" t="s">
        <v>9810</v>
      </c>
      <c r="Y516" s="1" t="s">
        <v>766</v>
      </c>
      <c r="Z516" s="1" t="s">
        <v>92</v>
      </c>
      <c r="AA516" s="1" t="s">
        <v>9810</v>
      </c>
      <c r="AB516" s="1" t="s">
        <v>766</v>
      </c>
      <c r="AC516" s="1" t="s">
        <v>92</v>
      </c>
      <c r="AD516" s="1">
        <v>7.28</v>
      </c>
      <c r="AE516" s="1" t="s">
        <v>93</v>
      </c>
      <c r="AF516" s="1" t="s">
        <v>9811</v>
      </c>
      <c r="AG516" s="1" t="s">
        <v>160</v>
      </c>
      <c r="AH516" s="1" t="s">
        <v>161</v>
      </c>
      <c r="AI516" s="1" t="s">
        <v>527</v>
      </c>
      <c r="AJ516" s="1">
        <v>73.4</v>
      </c>
      <c r="AK516" s="1"/>
      <c r="AL516" s="1"/>
      <c r="AM516" s="1"/>
      <c r="AN516" s="1"/>
      <c r="AO516" s="1"/>
      <c r="AP516" s="1"/>
      <c r="AQ516" s="1"/>
      <c r="AR516" s="1" t="s">
        <v>98</v>
      </c>
      <c r="AS516" s="1" t="s">
        <v>9812</v>
      </c>
      <c r="AT516" s="1" t="s">
        <v>134</v>
      </c>
      <c r="AU516" s="1" t="s">
        <v>433</v>
      </c>
      <c r="AV516" s="1">
        <v>73.39</v>
      </c>
      <c r="AW516" s="1"/>
      <c r="AX516" s="1" t="s">
        <v>253</v>
      </c>
      <c r="AY516" s="1" t="s">
        <v>9813</v>
      </c>
      <c r="AZ516" s="1" t="s">
        <v>201</v>
      </c>
      <c r="BA516" s="1" t="s">
        <v>105</v>
      </c>
      <c r="BB516" s="1">
        <v>68.04</v>
      </c>
      <c r="BC516" s="1">
        <v>7.59</v>
      </c>
      <c r="BD516" s="1"/>
      <c r="BE516" s="1"/>
      <c r="BF516" s="1"/>
      <c r="BG516" s="1"/>
      <c r="BH516" s="1"/>
      <c r="BI516" s="1"/>
      <c r="BJ516" s="1" t="s">
        <v>364</v>
      </c>
      <c r="BK516" s="1" t="s">
        <v>9814</v>
      </c>
      <c r="BL516" s="1" t="s">
        <v>8345</v>
      </c>
      <c r="BM516" s="1"/>
      <c r="BN516" s="1"/>
      <c r="BO516" s="1"/>
      <c r="BP516" s="1" t="str">
        <f>HYPERLINK("https://nconnect.nicmar.ac.in/storage/profile/ProfilePhoto_P25700473_341952.jpg","Download")</f>
        <v>0</v>
      </c>
      <c r="BQ516" s="3"/>
      <c r="BR516" s="3"/>
    </row>
    <row r="517" spans="1:70">
      <c r="A517" s="1" t="s">
        <v>70</v>
      </c>
      <c r="B517" s="1" t="s">
        <v>1269</v>
      </c>
      <c r="C517" s="1" t="s">
        <v>9815</v>
      </c>
      <c r="D517" s="1" t="s">
        <v>9750</v>
      </c>
      <c r="E517" s="1" t="s">
        <v>9816</v>
      </c>
      <c r="F517" s="1" t="s">
        <v>9817</v>
      </c>
      <c r="G517" s="1" t="s">
        <v>9818</v>
      </c>
      <c r="H517" s="1" t="s">
        <v>9819</v>
      </c>
      <c r="I517" s="1" t="s">
        <v>9820</v>
      </c>
      <c r="J517" s="1">
        <v>7028905422</v>
      </c>
      <c r="K517" s="1" t="s">
        <v>79</v>
      </c>
      <c r="L517" s="1" t="s">
        <v>9821</v>
      </c>
      <c r="M517" s="1" t="s">
        <v>81</v>
      </c>
      <c r="N517" s="1" t="s">
        <v>2008</v>
      </c>
      <c r="O517" s="1"/>
      <c r="P517" s="1" t="s">
        <v>1298</v>
      </c>
      <c r="Q517" s="1" t="s">
        <v>9822</v>
      </c>
      <c r="R517" s="1" t="s">
        <v>9817</v>
      </c>
      <c r="S517" s="1">
        <v>8862026202</v>
      </c>
      <c r="T517" s="1" t="s">
        <v>496</v>
      </c>
      <c r="U517" s="1" t="s">
        <v>9823</v>
      </c>
      <c r="V517" s="1">
        <v>9561335801</v>
      </c>
      <c r="W517" s="1" t="s">
        <v>9824</v>
      </c>
      <c r="X517" s="1" t="s">
        <v>9825</v>
      </c>
      <c r="Y517" s="1" t="s">
        <v>191</v>
      </c>
      <c r="Z517" s="1" t="s">
        <v>92</v>
      </c>
      <c r="AA517" s="1" t="s">
        <v>9825</v>
      </c>
      <c r="AB517" s="1" t="s">
        <v>191</v>
      </c>
      <c r="AC517" s="1" t="s">
        <v>92</v>
      </c>
      <c r="AD517" s="1">
        <v>9.04</v>
      </c>
      <c r="AE517" s="1" t="s">
        <v>93</v>
      </c>
      <c r="AF517" s="1" t="s">
        <v>9826</v>
      </c>
      <c r="AG517" s="1" t="s">
        <v>160</v>
      </c>
      <c r="AH517" s="1" t="s">
        <v>281</v>
      </c>
      <c r="AI517" s="1" t="s">
        <v>409</v>
      </c>
      <c r="AJ517" s="1">
        <v>76</v>
      </c>
      <c r="AK517" s="1"/>
      <c r="AL517" s="1" t="s">
        <v>9826</v>
      </c>
      <c r="AM517" s="1" t="s">
        <v>160</v>
      </c>
      <c r="AN517" s="1" t="s">
        <v>412</v>
      </c>
      <c r="AO517" s="1" t="s">
        <v>1712</v>
      </c>
      <c r="AP517" s="1">
        <v>73.83</v>
      </c>
      <c r="AQ517" s="1"/>
      <c r="AR517" s="1"/>
      <c r="AS517" s="1"/>
      <c r="AT517" s="1"/>
      <c r="AU517" s="1"/>
      <c r="AV517" s="1"/>
      <c r="AW517" s="1"/>
      <c r="AX517" s="1" t="s">
        <v>361</v>
      </c>
      <c r="AY517" s="1" t="s">
        <v>9827</v>
      </c>
      <c r="AZ517" s="1" t="s">
        <v>897</v>
      </c>
      <c r="BA517" s="1" t="s">
        <v>1714</v>
      </c>
      <c r="BB517" s="1">
        <v>68.08</v>
      </c>
      <c r="BC517" s="1">
        <v>7.65</v>
      </c>
      <c r="BD517" s="1"/>
      <c r="BE517" s="1"/>
      <c r="BF517" s="1"/>
      <c r="BG517" s="1"/>
      <c r="BH517" s="1"/>
      <c r="BI517" s="1"/>
      <c r="BJ517" s="1" t="s">
        <v>9828</v>
      </c>
      <c r="BK517" s="1"/>
      <c r="BL517" s="1"/>
      <c r="BM517" s="1" t="s">
        <v>9829</v>
      </c>
      <c r="BN517" s="1">
        <v>12</v>
      </c>
      <c r="BO517" s="1"/>
      <c r="BP517" s="1" t="str">
        <f>HYPERLINK("https://nconnect.nicmar.ac.in/storage/profile/ProfilePhoto_P25700474_921674.jpg","Download")</f>
        <v>0</v>
      </c>
      <c r="BQ517" s="3"/>
      <c r="BR517" s="3"/>
    </row>
    <row r="518" spans="1:70">
      <c r="A518" s="1" t="s">
        <v>70</v>
      </c>
      <c r="B518" s="1" t="s">
        <v>1269</v>
      </c>
      <c r="C518" s="1" t="s">
        <v>9830</v>
      </c>
      <c r="D518" s="1" t="s">
        <v>4025</v>
      </c>
      <c r="E518" s="1"/>
      <c r="F518" s="1" t="s">
        <v>9831</v>
      </c>
      <c r="G518" s="1" t="s">
        <v>9832</v>
      </c>
      <c r="H518" s="1" t="s">
        <v>9833</v>
      </c>
      <c r="I518" s="1" t="s">
        <v>9834</v>
      </c>
      <c r="J518" s="1">
        <v>7708192164</v>
      </c>
      <c r="K518" s="1" t="s">
        <v>79</v>
      </c>
      <c r="L518" s="1" t="s">
        <v>9835</v>
      </c>
      <c r="M518" s="1" t="s">
        <v>81</v>
      </c>
      <c r="N518" s="1" t="s">
        <v>6514</v>
      </c>
      <c r="O518" s="1"/>
      <c r="P518" s="1" t="s">
        <v>1323</v>
      </c>
      <c r="Q518" s="1" t="s">
        <v>9836</v>
      </c>
      <c r="R518" s="1" t="s">
        <v>9837</v>
      </c>
      <c r="S518" s="1">
        <v>9443341744</v>
      </c>
      <c r="T518" s="1" t="s">
        <v>496</v>
      </c>
      <c r="U518" s="1" t="s">
        <v>9838</v>
      </c>
      <c r="V518" s="1">
        <v>9487541744</v>
      </c>
      <c r="W518" s="1" t="s">
        <v>651</v>
      </c>
      <c r="X518" s="1" t="s">
        <v>9839</v>
      </c>
      <c r="Y518" s="1" t="s">
        <v>9840</v>
      </c>
      <c r="Z518" s="1" t="s">
        <v>1377</v>
      </c>
      <c r="AA518" s="1" t="s">
        <v>9839</v>
      </c>
      <c r="AB518" s="1" t="s">
        <v>9840</v>
      </c>
      <c r="AC518" s="1" t="s">
        <v>1377</v>
      </c>
      <c r="AD518" s="1">
        <v>8.41</v>
      </c>
      <c r="AE518" s="1" t="s">
        <v>93</v>
      </c>
      <c r="AF518" s="1" t="s">
        <v>7985</v>
      </c>
      <c r="AG518" s="1" t="s">
        <v>9841</v>
      </c>
      <c r="AH518" s="1" t="s">
        <v>1307</v>
      </c>
      <c r="AI518" s="1" t="s">
        <v>308</v>
      </c>
      <c r="AJ518" s="1">
        <v>86.2</v>
      </c>
      <c r="AK518" s="1"/>
      <c r="AL518" s="1" t="s">
        <v>7985</v>
      </c>
      <c r="AM518" s="1" t="s">
        <v>9841</v>
      </c>
      <c r="AN518" s="1" t="s">
        <v>1834</v>
      </c>
      <c r="AO518" s="1" t="s">
        <v>506</v>
      </c>
      <c r="AP518" s="1">
        <v>88.4</v>
      </c>
      <c r="AQ518" s="1"/>
      <c r="AR518" s="1"/>
      <c r="AS518" s="1"/>
      <c r="AT518" s="1"/>
      <c r="AU518" s="1"/>
      <c r="AV518" s="1"/>
      <c r="AW518" s="1"/>
      <c r="AX518" s="1" t="s">
        <v>1359</v>
      </c>
      <c r="AY518" s="1" t="s">
        <v>9842</v>
      </c>
      <c r="AZ518" s="1" t="s">
        <v>1051</v>
      </c>
      <c r="BA518" s="1" t="s">
        <v>1361</v>
      </c>
      <c r="BB518" s="1">
        <v>88.4</v>
      </c>
      <c r="BC518" s="1">
        <v>8.84</v>
      </c>
      <c r="BD518" s="1"/>
      <c r="BE518" s="1"/>
      <c r="BF518" s="1"/>
      <c r="BG518" s="1"/>
      <c r="BH518" s="1"/>
      <c r="BI518" s="1"/>
      <c r="BJ518" s="1" t="s">
        <v>364</v>
      </c>
      <c r="BK518" s="1"/>
      <c r="BL518" s="1"/>
      <c r="BM518" s="1" t="s">
        <v>9843</v>
      </c>
      <c r="BN518" s="1">
        <v>33</v>
      </c>
      <c r="BO518" s="1" t="s">
        <v>9844</v>
      </c>
      <c r="BP518" s="1" t="str">
        <f>HYPERLINK("https://nconnect.nicmar.ac.in/storage/profile/ProfilePhoto_P25700475_418297.jpg","Download")</f>
        <v>0</v>
      </c>
      <c r="BQ518" s="3"/>
      <c r="BR518" s="3"/>
    </row>
    <row r="519" spans="1:70">
      <c r="A519" s="1" t="s">
        <v>70</v>
      </c>
      <c r="B519" s="1" t="s">
        <v>1269</v>
      </c>
      <c r="C519" s="1" t="s">
        <v>9845</v>
      </c>
      <c r="D519" s="1" t="s">
        <v>9846</v>
      </c>
      <c r="E519" s="1"/>
      <c r="F519" s="1" t="s">
        <v>9847</v>
      </c>
      <c r="G519" s="1" t="s">
        <v>9848</v>
      </c>
      <c r="H519" s="1" t="s">
        <v>9849</v>
      </c>
      <c r="I519" s="1" t="s">
        <v>9850</v>
      </c>
      <c r="J519" s="1">
        <v>9678538506</v>
      </c>
      <c r="K519" s="1" t="s">
        <v>79</v>
      </c>
      <c r="L519" s="1" t="s">
        <v>9851</v>
      </c>
      <c r="M519" s="1" t="s">
        <v>81</v>
      </c>
      <c r="N519" s="1" t="s">
        <v>9852</v>
      </c>
      <c r="O519" s="1"/>
      <c r="P519" s="1" t="s">
        <v>1298</v>
      </c>
      <c r="Q519" s="1" t="s">
        <v>9853</v>
      </c>
      <c r="R519" s="1" t="s">
        <v>9854</v>
      </c>
      <c r="S519" s="1">
        <v>9613177123</v>
      </c>
      <c r="T519" s="1" t="s">
        <v>5459</v>
      </c>
      <c r="U519" s="1" t="s">
        <v>9855</v>
      </c>
      <c r="V519" s="1">
        <v>9101597034</v>
      </c>
      <c r="W519" s="1" t="s">
        <v>156</v>
      </c>
      <c r="X519" s="1" t="s">
        <v>9856</v>
      </c>
      <c r="Y519" s="1" t="s">
        <v>9857</v>
      </c>
      <c r="Z519" s="1" t="s">
        <v>2377</v>
      </c>
      <c r="AA519" s="1" t="s">
        <v>9856</v>
      </c>
      <c r="AB519" s="1" t="s">
        <v>9857</v>
      </c>
      <c r="AC519" s="1" t="s">
        <v>2377</v>
      </c>
      <c r="AD519" s="1">
        <v>9.31</v>
      </c>
      <c r="AE519" s="1" t="s">
        <v>93</v>
      </c>
      <c r="AF519" s="1" t="s">
        <v>9858</v>
      </c>
      <c r="AG519" s="1" t="s">
        <v>9859</v>
      </c>
      <c r="AH519" s="1" t="s">
        <v>129</v>
      </c>
      <c r="AI519" s="1" t="s">
        <v>1197</v>
      </c>
      <c r="AJ519" s="1">
        <v>87.4</v>
      </c>
      <c r="AK519" s="1">
        <v>9.2</v>
      </c>
      <c r="AL519" s="1" t="s">
        <v>9860</v>
      </c>
      <c r="AM519" s="1" t="s">
        <v>9861</v>
      </c>
      <c r="AN519" s="1" t="s">
        <v>161</v>
      </c>
      <c r="AO519" s="1" t="s">
        <v>162</v>
      </c>
      <c r="AP519" s="1">
        <v>87.4</v>
      </c>
      <c r="AQ519" s="1"/>
      <c r="AR519" s="1"/>
      <c r="AS519" s="1"/>
      <c r="AT519" s="1"/>
      <c r="AU519" s="1"/>
      <c r="AV519" s="1"/>
      <c r="AW519" s="1"/>
      <c r="AX519" s="1" t="s">
        <v>9862</v>
      </c>
      <c r="AY519" s="1" t="s">
        <v>9863</v>
      </c>
      <c r="AZ519" s="1" t="s">
        <v>134</v>
      </c>
      <c r="BA519" s="1" t="s">
        <v>412</v>
      </c>
      <c r="BB519" s="1">
        <v>71.42</v>
      </c>
      <c r="BC519" s="1"/>
      <c r="BD519" s="1"/>
      <c r="BE519" s="1"/>
      <c r="BF519" s="1"/>
      <c r="BG519" s="1"/>
      <c r="BH519" s="1"/>
      <c r="BI519" s="1"/>
      <c r="BJ519" s="1" t="s">
        <v>9864</v>
      </c>
      <c r="BK519" s="1" t="s">
        <v>9865</v>
      </c>
      <c r="BL519" s="1" t="s">
        <v>1543</v>
      </c>
      <c r="BM519" s="1" t="s">
        <v>9866</v>
      </c>
      <c r="BN519" s="1">
        <v>8</v>
      </c>
      <c r="BO519" s="1"/>
      <c r="BP519" s="1" t="str">
        <f>HYPERLINK("https://nconnect.nicmar.ac.in/storage/profile/ProfilePhoto_P25700476_725986.jpg","Download")</f>
        <v>0</v>
      </c>
      <c r="BQ519" s="3"/>
      <c r="BR519" s="3"/>
    </row>
    <row r="520" spans="1:70">
      <c r="A520" s="1" t="s">
        <v>70</v>
      </c>
      <c r="B520" s="1" t="s">
        <v>1269</v>
      </c>
      <c r="C520" s="1" t="s">
        <v>9867</v>
      </c>
      <c r="D520" s="1" t="s">
        <v>533</v>
      </c>
      <c r="E520" s="1" t="s">
        <v>1982</v>
      </c>
      <c r="F520" s="1" t="s">
        <v>9868</v>
      </c>
      <c r="G520" s="1" t="s">
        <v>9869</v>
      </c>
      <c r="H520" s="1" t="s">
        <v>9870</v>
      </c>
      <c r="I520" s="1" t="s">
        <v>9871</v>
      </c>
      <c r="J520" s="1">
        <v>7030406464</v>
      </c>
      <c r="K520" s="1" t="s">
        <v>79</v>
      </c>
      <c r="L520" s="1" t="s">
        <v>9872</v>
      </c>
      <c r="M520" s="1" t="s">
        <v>81</v>
      </c>
      <c r="N520" s="1" t="s">
        <v>1765</v>
      </c>
      <c r="O520" s="1"/>
      <c r="P520" s="1" t="s">
        <v>1323</v>
      </c>
      <c r="Q520" s="1" t="s">
        <v>9873</v>
      </c>
      <c r="R520" s="1" t="s">
        <v>1982</v>
      </c>
      <c r="S520" s="1">
        <v>9823661700</v>
      </c>
      <c r="T520" s="1" t="s">
        <v>154</v>
      </c>
      <c r="U520" s="1" t="s">
        <v>9874</v>
      </c>
      <c r="V520" s="1">
        <v>9823661700</v>
      </c>
      <c r="W520" s="1" t="s">
        <v>156</v>
      </c>
      <c r="X520" s="1" t="s">
        <v>9875</v>
      </c>
      <c r="Y520" s="1" t="s">
        <v>1174</v>
      </c>
      <c r="Z520" s="1" t="s">
        <v>92</v>
      </c>
      <c r="AA520" s="1" t="s">
        <v>9875</v>
      </c>
      <c r="AB520" s="1" t="s">
        <v>1174</v>
      </c>
      <c r="AC520" s="1" t="s">
        <v>92</v>
      </c>
      <c r="AD520" s="1">
        <v>9.22</v>
      </c>
      <c r="AE520" s="1" t="s">
        <v>93</v>
      </c>
      <c r="AF520" s="1" t="s">
        <v>9876</v>
      </c>
      <c r="AG520" s="1" t="s">
        <v>7430</v>
      </c>
      <c r="AH520" s="1" t="s">
        <v>162</v>
      </c>
      <c r="AI520" s="1" t="s">
        <v>195</v>
      </c>
      <c r="AJ520" s="1">
        <v>89.6</v>
      </c>
      <c r="AK520" s="1"/>
      <c r="AL520" s="1"/>
      <c r="AM520" s="1"/>
      <c r="AN520" s="1"/>
      <c r="AO520" s="1"/>
      <c r="AP520" s="1"/>
      <c r="AQ520" s="1"/>
      <c r="AR520" s="1" t="s">
        <v>434</v>
      </c>
      <c r="AS520" s="1" t="s">
        <v>9877</v>
      </c>
      <c r="AT520" s="1" t="s">
        <v>165</v>
      </c>
      <c r="AU520" s="1" t="s">
        <v>170</v>
      </c>
      <c r="AV520" s="1">
        <v>88.21</v>
      </c>
      <c r="AW520" s="1"/>
      <c r="AX520" s="1" t="s">
        <v>361</v>
      </c>
      <c r="AY520" s="1" t="s">
        <v>9878</v>
      </c>
      <c r="AZ520" s="1" t="s">
        <v>363</v>
      </c>
      <c r="BA520" s="1" t="s">
        <v>682</v>
      </c>
      <c r="BB520" s="1">
        <v>74.3</v>
      </c>
      <c r="BC520" s="1">
        <v>8.18</v>
      </c>
      <c r="BD520" s="1"/>
      <c r="BE520" s="1"/>
      <c r="BF520" s="1"/>
      <c r="BG520" s="1"/>
      <c r="BH520" s="1"/>
      <c r="BI520" s="1"/>
      <c r="BJ520" s="1" t="s">
        <v>9879</v>
      </c>
      <c r="BK520" s="1" t="s">
        <v>9880</v>
      </c>
      <c r="BL520" s="1" t="s">
        <v>484</v>
      </c>
      <c r="BM520" s="1" t="s">
        <v>9881</v>
      </c>
      <c r="BN520" s="1">
        <v>25</v>
      </c>
      <c r="BO520" s="1" t="s">
        <v>9882</v>
      </c>
      <c r="BP520" s="1" t="str">
        <f>HYPERLINK("https://nconnect.nicmar.ac.in/storage/profile/ProfilePhoto_P25700477_351924.jpg","Download")</f>
        <v>0</v>
      </c>
      <c r="BQ520" s="3"/>
      <c r="BR520" s="3"/>
    </row>
    <row r="521" spans="1:70">
      <c r="A521" s="1" t="s">
        <v>70</v>
      </c>
      <c r="B521" s="1" t="s">
        <v>1269</v>
      </c>
      <c r="C521" s="1" t="s">
        <v>9883</v>
      </c>
      <c r="D521" s="1" t="s">
        <v>9884</v>
      </c>
      <c r="E521" s="1"/>
      <c r="F521" s="1" t="s">
        <v>3036</v>
      </c>
      <c r="G521" s="1" t="s">
        <v>9885</v>
      </c>
      <c r="H521" s="1" t="s">
        <v>9886</v>
      </c>
      <c r="I521" s="1" t="s">
        <v>9887</v>
      </c>
      <c r="J521" s="1">
        <v>8505965550</v>
      </c>
      <c r="K521" s="1" t="s">
        <v>79</v>
      </c>
      <c r="L521" s="1" t="s">
        <v>7111</v>
      </c>
      <c r="M521" s="1" t="s">
        <v>81</v>
      </c>
      <c r="N521" s="1" t="s">
        <v>5056</v>
      </c>
      <c r="O521" s="1"/>
      <c r="P521" s="1" t="s">
        <v>1278</v>
      </c>
      <c r="Q521" s="1" t="s">
        <v>9888</v>
      </c>
      <c r="R521" s="1" t="s">
        <v>9889</v>
      </c>
      <c r="S521" s="1">
        <v>8505965550</v>
      </c>
      <c r="T521" s="1" t="s">
        <v>7444</v>
      </c>
      <c r="U521" s="1" t="s">
        <v>9890</v>
      </c>
      <c r="V521" s="1">
        <v>8505965550</v>
      </c>
      <c r="W521" s="1" t="s">
        <v>156</v>
      </c>
      <c r="X521" s="1" t="s">
        <v>9891</v>
      </c>
      <c r="Y521" s="1" t="s">
        <v>721</v>
      </c>
      <c r="Z521" s="1" t="s">
        <v>722</v>
      </c>
      <c r="AA521" s="1" t="s">
        <v>9891</v>
      </c>
      <c r="AB521" s="1" t="s">
        <v>721</v>
      </c>
      <c r="AC521" s="1" t="s">
        <v>722</v>
      </c>
      <c r="AD521" s="1">
        <v>9.0</v>
      </c>
      <c r="AE521" s="1" t="s">
        <v>93</v>
      </c>
      <c r="AF521" s="1" t="s">
        <v>9892</v>
      </c>
      <c r="AG521" s="1" t="s">
        <v>894</v>
      </c>
      <c r="AH521" s="1" t="s">
        <v>1307</v>
      </c>
      <c r="AI521" s="1" t="s">
        <v>308</v>
      </c>
      <c r="AJ521" s="1">
        <v>88</v>
      </c>
      <c r="AK521" s="1"/>
      <c r="AL521" s="1" t="s">
        <v>9892</v>
      </c>
      <c r="AM521" s="1" t="s">
        <v>894</v>
      </c>
      <c r="AN521" s="1" t="s">
        <v>1834</v>
      </c>
      <c r="AO521" s="1" t="s">
        <v>1131</v>
      </c>
      <c r="AP521" s="1">
        <v>85.5</v>
      </c>
      <c r="AQ521" s="1"/>
      <c r="AR521" s="1"/>
      <c r="AS521" s="1"/>
      <c r="AT521" s="1"/>
      <c r="AU521" s="1"/>
      <c r="AV521" s="1"/>
      <c r="AW521" s="1"/>
      <c r="AX521" s="1" t="s">
        <v>9893</v>
      </c>
      <c r="AY521" s="1" t="s">
        <v>9893</v>
      </c>
      <c r="AZ521" s="1" t="s">
        <v>1407</v>
      </c>
      <c r="BA521" s="1" t="s">
        <v>1361</v>
      </c>
      <c r="BB521" s="1">
        <v>76</v>
      </c>
      <c r="BC521" s="1">
        <v>7.6</v>
      </c>
      <c r="BD521" s="1"/>
      <c r="BE521" s="1"/>
      <c r="BF521" s="1"/>
      <c r="BG521" s="1"/>
      <c r="BH521" s="1"/>
      <c r="BI521" s="1"/>
      <c r="BJ521" s="1" t="s">
        <v>9894</v>
      </c>
      <c r="BK521" s="1"/>
      <c r="BL521" s="1"/>
      <c r="BM521" s="1" t="s">
        <v>9895</v>
      </c>
      <c r="BN521" s="1">
        <v>21</v>
      </c>
      <c r="BO521" s="1" t="s">
        <v>9896</v>
      </c>
      <c r="BP521" s="1" t="str">
        <f>HYPERLINK("https://nconnect.nicmar.ac.in/storage/profile/ProfilePhoto_P25700478_489325.jpg","Download")</f>
        <v>0</v>
      </c>
      <c r="BQ521" s="3"/>
      <c r="BR521" s="3"/>
    </row>
    <row r="522" spans="1:70">
      <c r="A522" s="1" t="s">
        <v>70</v>
      </c>
      <c r="B522" s="1" t="s">
        <v>1269</v>
      </c>
      <c r="C522" s="1" t="s">
        <v>9897</v>
      </c>
      <c r="D522" s="1" t="s">
        <v>9898</v>
      </c>
      <c r="E522" s="1" t="s">
        <v>9899</v>
      </c>
      <c r="F522" s="1" t="s">
        <v>9900</v>
      </c>
      <c r="G522" s="1" t="s">
        <v>9901</v>
      </c>
      <c r="H522" s="1" t="s">
        <v>9902</v>
      </c>
      <c r="I522" s="1" t="s">
        <v>9903</v>
      </c>
      <c r="J522" s="1">
        <v>9137489224</v>
      </c>
      <c r="K522" s="1" t="s">
        <v>79</v>
      </c>
      <c r="L522" s="1" t="s">
        <v>9904</v>
      </c>
      <c r="M522" s="1" t="s">
        <v>81</v>
      </c>
      <c r="N522" s="1" t="s">
        <v>9324</v>
      </c>
      <c r="O522" s="1"/>
      <c r="P522" s="1" t="s">
        <v>2507</v>
      </c>
      <c r="Q522" s="1" t="s">
        <v>9905</v>
      </c>
      <c r="R522" s="1" t="s">
        <v>9900</v>
      </c>
      <c r="S522" s="1">
        <v>8605128946</v>
      </c>
      <c r="T522" s="1" t="s">
        <v>154</v>
      </c>
      <c r="U522" s="1" t="s">
        <v>3368</v>
      </c>
      <c r="V522" s="1">
        <v>7977052725</v>
      </c>
      <c r="W522" s="1" t="s">
        <v>156</v>
      </c>
      <c r="X522" s="1" t="s">
        <v>9906</v>
      </c>
      <c r="Y522" s="1" t="s">
        <v>158</v>
      </c>
      <c r="Z522" s="1" t="s">
        <v>92</v>
      </c>
      <c r="AA522" s="1" t="s">
        <v>9906</v>
      </c>
      <c r="AB522" s="1" t="s">
        <v>158</v>
      </c>
      <c r="AC522" s="1" t="s">
        <v>92</v>
      </c>
      <c r="AD522" s="1">
        <v>8.64</v>
      </c>
      <c r="AE522" s="1" t="s">
        <v>93</v>
      </c>
      <c r="AF522" s="1" t="s">
        <v>9907</v>
      </c>
      <c r="AG522" s="1" t="s">
        <v>9908</v>
      </c>
      <c r="AH522" s="1" t="s">
        <v>162</v>
      </c>
      <c r="AI522" s="1" t="s">
        <v>195</v>
      </c>
      <c r="AJ522" s="1">
        <v>90.2</v>
      </c>
      <c r="AK522" s="1"/>
      <c r="AL522" s="1"/>
      <c r="AM522" s="1"/>
      <c r="AN522" s="1"/>
      <c r="AO522" s="1"/>
      <c r="AP522" s="1"/>
      <c r="AQ522" s="1"/>
      <c r="AR522" s="1" t="s">
        <v>434</v>
      </c>
      <c r="AS522" s="1" t="s">
        <v>2771</v>
      </c>
      <c r="AT522" s="1" t="s">
        <v>225</v>
      </c>
      <c r="AU522" s="1" t="s">
        <v>699</v>
      </c>
      <c r="AV522" s="1">
        <v>83.45</v>
      </c>
      <c r="AW522" s="1"/>
      <c r="AX522" s="1" t="s">
        <v>361</v>
      </c>
      <c r="AY522" s="1" t="s">
        <v>9909</v>
      </c>
      <c r="AZ522" s="1" t="s">
        <v>506</v>
      </c>
      <c r="BA522" s="1" t="s">
        <v>202</v>
      </c>
      <c r="BB522" s="1">
        <v>76.5</v>
      </c>
      <c r="BC522" s="1">
        <v>8.4</v>
      </c>
      <c r="BD522" s="1"/>
      <c r="BE522" s="1"/>
      <c r="BF522" s="1"/>
      <c r="BG522" s="1"/>
      <c r="BH522" s="1"/>
      <c r="BI522" s="1"/>
      <c r="BJ522" s="1" t="s">
        <v>9910</v>
      </c>
      <c r="BK522" s="1" t="s">
        <v>9911</v>
      </c>
      <c r="BL522" s="1" t="s">
        <v>2187</v>
      </c>
      <c r="BM522" s="1" t="s">
        <v>9912</v>
      </c>
      <c r="BN522" s="1">
        <v>20</v>
      </c>
      <c r="BO522" s="1" t="s">
        <v>9913</v>
      </c>
      <c r="BP522" s="1" t="str">
        <f>HYPERLINK("https://nconnect.nicmar.ac.in/storage/profile/ProfilePhoto_P25700479_865294.jpg","Download")</f>
        <v>0</v>
      </c>
      <c r="BQ522" s="3"/>
      <c r="BR522" s="3"/>
    </row>
    <row r="523" spans="1:70">
      <c r="A523" s="1" t="s">
        <v>70</v>
      </c>
      <c r="B523" s="1" t="s">
        <v>1269</v>
      </c>
      <c r="C523" s="1" t="s">
        <v>9914</v>
      </c>
      <c r="D523" s="1" t="s">
        <v>533</v>
      </c>
      <c r="E523" s="1" t="s">
        <v>9915</v>
      </c>
      <c r="F523" s="1" t="s">
        <v>9916</v>
      </c>
      <c r="G523" s="1" t="s">
        <v>9917</v>
      </c>
      <c r="H523" s="1" t="s">
        <v>9918</v>
      </c>
      <c r="I523" s="1" t="s">
        <v>9919</v>
      </c>
      <c r="J523" s="1">
        <v>9359507651</v>
      </c>
      <c r="K523" s="1" t="s">
        <v>79</v>
      </c>
      <c r="L523" s="1" t="s">
        <v>9920</v>
      </c>
      <c r="M523" s="1" t="s">
        <v>81</v>
      </c>
      <c r="N523" s="1" t="s">
        <v>1418</v>
      </c>
      <c r="O523" s="1"/>
      <c r="P523" s="1" t="s">
        <v>1323</v>
      </c>
      <c r="Q523" s="1" t="s">
        <v>9921</v>
      </c>
      <c r="R523" s="1" t="s">
        <v>9915</v>
      </c>
      <c r="S523" s="1">
        <v>9823434100</v>
      </c>
      <c r="T523" s="1" t="s">
        <v>9922</v>
      </c>
      <c r="U523" s="1" t="s">
        <v>3816</v>
      </c>
      <c r="V523" s="1">
        <v>9823615100</v>
      </c>
      <c r="W523" s="1" t="s">
        <v>156</v>
      </c>
      <c r="X523" s="1" t="s">
        <v>9923</v>
      </c>
      <c r="Y523" s="1" t="s">
        <v>5937</v>
      </c>
      <c r="Z523" s="1" t="s">
        <v>92</v>
      </c>
      <c r="AA523" s="1" t="s">
        <v>9923</v>
      </c>
      <c r="AB523" s="1" t="s">
        <v>5937</v>
      </c>
      <c r="AC523" s="1" t="s">
        <v>92</v>
      </c>
      <c r="AD523" s="1">
        <v>9.18</v>
      </c>
      <c r="AE523" s="1" t="s">
        <v>93</v>
      </c>
      <c r="AF523" s="1" t="s">
        <v>9924</v>
      </c>
      <c r="AG523" s="1" t="s">
        <v>9230</v>
      </c>
      <c r="AH523" s="1" t="s">
        <v>165</v>
      </c>
      <c r="AI523" s="1" t="s">
        <v>281</v>
      </c>
      <c r="AJ523" s="1">
        <v>85.4</v>
      </c>
      <c r="AK523" s="1"/>
      <c r="AL523" s="1" t="s">
        <v>9925</v>
      </c>
      <c r="AM523" s="1" t="s">
        <v>9230</v>
      </c>
      <c r="AN523" s="1" t="s">
        <v>359</v>
      </c>
      <c r="AO523" s="1" t="s">
        <v>360</v>
      </c>
      <c r="AP523" s="1">
        <v>61.38</v>
      </c>
      <c r="AQ523" s="1"/>
      <c r="AR523" s="1"/>
      <c r="AS523" s="1"/>
      <c r="AT523" s="1"/>
      <c r="AU523" s="1"/>
      <c r="AV523" s="1"/>
      <c r="AW523" s="1"/>
      <c r="AX523" s="1" t="s">
        <v>1892</v>
      </c>
      <c r="AY523" s="1" t="s">
        <v>9232</v>
      </c>
      <c r="AZ523" s="1" t="s">
        <v>363</v>
      </c>
      <c r="BA523" s="1" t="s">
        <v>1714</v>
      </c>
      <c r="BB523" s="1">
        <v>63.9</v>
      </c>
      <c r="BC523" s="1">
        <v>7.14</v>
      </c>
      <c r="BD523" s="1"/>
      <c r="BE523" s="1"/>
      <c r="BF523" s="1"/>
      <c r="BG523" s="1"/>
      <c r="BH523" s="1"/>
      <c r="BI523" s="1"/>
      <c r="BJ523" s="1" t="s">
        <v>8037</v>
      </c>
      <c r="BK523" s="1"/>
      <c r="BL523" s="1"/>
      <c r="BM523" s="1" t="s">
        <v>9926</v>
      </c>
      <c r="BN523" s="1">
        <v>15</v>
      </c>
      <c r="BO523" s="1" t="s">
        <v>5628</v>
      </c>
      <c r="BP523" s="1" t="str">
        <f>HYPERLINK("https://nconnect.nicmar.ac.in/storage/profile/ProfilePhoto_P25700480_918634.jpg","Download")</f>
        <v>0</v>
      </c>
      <c r="BQ523" s="3"/>
      <c r="BR523" s="3"/>
    </row>
    <row r="524" spans="1:70">
      <c r="A524" s="1" t="s">
        <v>70</v>
      </c>
      <c r="B524" s="1" t="s">
        <v>1269</v>
      </c>
      <c r="C524" s="1" t="s">
        <v>9927</v>
      </c>
      <c r="D524" s="1" t="s">
        <v>1117</v>
      </c>
      <c r="E524" s="1" t="s">
        <v>5221</v>
      </c>
      <c r="F524" s="1" t="s">
        <v>9928</v>
      </c>
      <c r="G524" s="1" t="s">
        <v>9929</v>
      </c>
      <c r="H524" s="1" t="s">
        <v>9930</v>
      </c>
      <c r="I524" s="1" t="s">
        <v>9931</v>
      </c>
      <c r="J524" s="1">
        <v>9527336651</v>
      </c>
      <c r="K524" s="1" t="s">
        <v>79</v>
      </c>
      <c r="L524" s="1" t="s">
        <v>9932</v>
      </c>
      <c r="M524" s="1" t="s">
        <v>81</v>
      </c>
      <c r="N524" s="1" t="s">
        <v>9933</v>
      </c>
      <c r="O524" s="1"/>
      <c r="P524" s="1" t="s">
        <v>1323</v>
      </c>
      <c r="Q524" s="1" t="s">
        <v>9934</v>
      </c>
      <c r="R524" s="1" t="s">
        <v>5221</v>
      </c>
      <c r="S524" s="1">
        <v>9604648313</v>
      </c>
      <c r="T524" s="1" t="s">
        <v>472</v>
      </c>
      <c r="U524" s="1" t="s">
        <v>977</v>
      </c>
      <c r="V524" s="1">
        <v>8329367333</v>
      </c>
      <c r="W524" s="1" t="s">
        <v>273</v>
      </c>
      <c r="X524" s="1" t="s">
        <v>9935</v>
      </c>
      <c r="Y524" s="1" t="s">
        <v>766</v>
      </c>
      <c r="Z524" s="1" t="s">
        <v>92</v>
      </c>
      <c r="AA524" s="1" t="s">
        <v>9935</v>
      </c>
      <c r="AB524" s="1" t="s">
        <v>766</v>
      </c>
      <c r="AC524" s="1" t="s">
        <v>92</v>
      </c>
      <c r="AD524" s="1">
        <v>8.95</v>
      </c>
      <c r="AE524" s="1" t="s">
        <v>93</v>
      </c>
      <c r="AF524" s="1" t="s">
        <v>9936</v>
      </c>
      <c r="AG524" s="1" t="s">
        <v>160</v>
      </c>
      <c r="AH524" s="1" t="s">
        <v>161</v>
      </c>
      <c r="AI524" s="1" t="s">
        <v>456</v>
      </c>
      <c r="AJ524" s="1">
        <v>86.6</v>
      </c>
      <c r="AK524" s="1"/>
      <c r="AL524" s="1" t="s">
        <v>9937</v>
      </c>
      <c r="AM524" s="1" t="s">
        <v>160</v>
      </c>
      <c r="AN524" s="1" t="s">
        <v>165</v>
      </c>
      <c r="AO524" s="1" t="s">
        <v>166</v>
      </c>
      <c r="AP524" s="1">
        <v>63.69</v>
      </c>
      <c r="AQ524" s="1"/>
      <c r="AR524" s="1" t="s">
        <v>434</v>
      </c>
      <c r="AS524" s="1" t="s">
        <v>9938</v>
      </c>
      <c r="AT524" s="1" t="s">
        <v>636</v>
      </c>
      <c r="AU524" s="1" t="s">
        <v>170</v>
      </c>
      <c r="AV524" s="1">
        <v>87.05</v>
      </c>
      <c r="AW524" s="1"/>
      <c r="AX524" s="1" t="s">
        <v>1024</v>
      </c>
      <c r="AY524" s="1" t="s">
        <v>9939</v>
      </c>
      <c r="AZ524" s="1" t="s">
        <v>228</v>
      </c>
      <c r="BA524" s="1" t="s">
        <v>682</v>
      </c>
      <c r="BB524" s="1">
        <v>76.4</v>
      </c>
      <c r="BC524" s="1"/>
      <c r="BD524" s="1"/>
      <c r="BE524" s="1"/>
      <c r="BF524" s="1"/>
      <c r="BG524" s="1"/>
      <c r="BH524" s="1"/>
      <c r="BI524" s="1"/>
      <c r="BJ524" s="1" t="s">
        <v>255</v>
      </c>
      <c r="BK524" s="1" t="s">
        <v>9940</v>
      </c>
      <c r="BL524" s="1" t="s">
        <v>2019</v>
      </c>
      <c r="BM524" s="1" t="s">
        <v>9941</v>
      </c>
      <c r="BN524" s="1">
        <v>16</v>
      </c>
      <c r="BO524" s="1" t="s">
        <v>9942</v>
      </c>
      <c r="BP524" s="1" t="str">
        <f>HYPERLINK("https://nconnect.nicmar.ac.in/storage/profile/ProfilePhoto_P25700481_569471.jpg","Download")</f>
        <v>0</v>
      </c>
      <c r="BQ524" s="3"/>
      <c r="BR524" s="3"/>
    </row>
    <row r="525" spans="1:70">
      <c r="A525" s="1" t="s">
        <v>70</v>
      </c>
      <c r="B525" s="1" t="s">
        <v>1269</v>
      </c>
      <c r="C525" s="1" t="s">
        <v>9943</v>
      </c>
      <c r="D525" s="1" t="s">
        <v>2289</v>
      </c>
      <c r="E525" s="1"/>
      <c r="F525" s="1" t="s">
        <v>9944</v>
      </c>
      <c r="G525" s="1" t="s">
        <v>9945</v>
      </c>
      <c r="H525" s="1" t="s">
        <v>9946</v>
      </c>
      <c r="I525" s="1" t="s">
        <v>9947</v>
      </c>
      <c r="J525" s="1">
        <v>9787193939</v>
      </c>
      <c r="K525" s="1" t="s">
        <v>79</v>
      </c>
      <c r="L525" s="1" t="s">
        <v>9948</v>
      </c>
      <c r="M525" s="1" t="s">
        <v>81</v>
      </c>
      <c r="N525" s="1" t="s">
        <v>6514</v>
      </c>
      <c r="O525" s="1"/>
      <c r="P525" s="1" t="s">
        <v>1278</v>
      </c>
      <c r="Q525" s="1" t="s">
        <v>9949</v>
      </c>
      <c r="R525" s="1" t="s">
        <v>9950</v>
      </c>
      <c r="S525" s="1">
        <v>9842472734</v>
      </c>
      <c r="T525" s="1" t="s">
        <v>496</v>
      </c>
      <c r="U525" s="1" t="s">
        <v>9951</v>
      </c>
      <c r="V525" s="1">
        <v>9942472734</v>
      </c>
      <c r="W525" s="1" t="s">
        <v>273</v>
      </c>
      <c r="X525" s="1" t="s">
        <v>9952</v>
      </c>
      <c r="Y525" s="1" t="s">
        <v>9690</v>
      </c>
      <c r="Z525" s="1" t="s">
        <v>1377</v>
      </c>
      <c r="AA525" s="1" t="s">
        <v>9952</v>
      </c>
      <c r="AB525" s="1" t="s">
        <v>9690</v>
      </c>
      <c r="AC525" s="1" t="s">
        <v>1377</v>
      </c>
      <c r="AD525" s="1">
        <v>9.03</v>
      </c>
      <c r="AE525" s="1" t="s">
        <v>93</v>
      </c>
      <c r="AF525" s="1" t="s">
        <v>9691</v>
      </c>
      <c r="AG525" s="1" t="s">
        <v>9953</v>
      </c>
      <c r="AH525" s="1" t="s">
        <v>101</v>
      </c>
      <c r="AI525" s="1" t="s">
        <v>308</v>
      </c>
      <c r="AJ525" s="1">
        <v>69.2</v>
      </c>
      <c r="AK525" s="1"/>
      <c r="AL525" s="1" t="s">
        <v>9691</v>
      </c>
      <c r="AM525" s="1" t="s">
        <v>9953</v>
      </c>
      <c r="AN525" s="1" t="s">
        <v>699</v>
      </c>
      <c r="AO525" s="1" t="s">
        <v>506</v>
      </c>
      <c r="AP525" s="1">
        <v>84.6</v>
      </c>
      <c r="AQ525" s="1"/>
      <c r="AR525" s="1"/>
      <c r="AS525" s="1"/>
      <c r="AT525" s="1"/>
      <c r="AU525" s="1"/>
      <c r="AV525" s="1"/>
      <c r="AW525" s="1"/>
      <c r="AX525" s="1" t="s">
        <v>1381</v>
      </c>
      <c r="AY525" s="1" t="s">
        <v>9954</v>
      </c>
      <c r="AZ525" s="1" t="s">
        <v>135</v>
      </c>
      <c r="BA525" s="1" t="s">
        <v>1408</v>
      </c>
      <c r="BB525" s="1">
        <v>85</v>
      </c>
      <c r="BC525" s="1"/>
      <c r="BD525" s="1"/>
      <c r="BE525" s="1"/>
      <c r="BF525" s="1"/>
      <c r="BG525" s="1"/>
      <c r="BH525" s="1"/>
      <c r="BI525" s="1"/>
      <c r="BJ525" s="1" t="s">
        <v>9955</v>
      </c>
      <c r="BK525" s="1"/>
      <c r="BL525" s="1"/>
      <c r="BM525" s="1" t="s">
        <v>9956</v>
      </c>
      <c r="BN525" s="1">
        <v>24</v>
      </c>
      <c r="BO525" s="1" t="s">
        <v>9957</v>
      </c>
      <c r="BP525" s="1" t="str">
        <f>HYPERLINK("https://nconnect.nicmar.ac.in/storage/profile/ProfilePhoto_P25700482_765438.jpg","Download")</f>
        <v>0</v>
      </c>
      <c r="BQ525" s="3"/>
      <c r="BR525" s="3"/>
    </row>
    <row r="526" spans="1:70">
      <c r="A526" s="1" t="s">
        <v>70</v>
      </c>
      <c r="B526" s="1" t="s">
        <v>1269</v>
      </c>
      <c r="C526" s="1" t="s">
        <v>9958</v>
      </c>
      <c r="D526" s="1" t="s">
        <v>9959</v>
      </c>
      <c r="E526" s="1" t="s">
        <v>9960</v>
      </c>
      <c r="F526" s="1" t="s">
        <v>9961</v>
      </c>
      <c r="G526" s="1" t="s">
        <v>9962</v>
      </c>
      <c r="H526" s="1" t="s">
        <v>9963</v>
      </c>
      <c r="I526" s="1" t="s">
        <v>9964</v>
      </c>
      <c r="J526" s="1">
        <v>7507513437</v>
      </c>
      <c r="K526" s="1" t="s">
        <v>79</v>
      </c>
      <c r="L526" s="1" t="s">
        <v>9965</v>
      </c>
      <c r="M526" s="1" t="s">
        <v>81</v>
      </c>
      <c r="N526" s="1" t="s">
        <v>1418</v>
      </c>
      <c r="O526" s="1"/>
      <c r="P526" s="1" t="s">
        <v>1323</v>
      </c>
      <c r="Q526" s="1" t="s">
        <v>9966</v>
      </c>
      <c r="R526" s="1" t="s">
        <v>9967</v>
      </c>
      <c r="S526" s="1">
        <v>9823325325</v>
      </c>
      <c r="T526" s="1" t="s">
        <v>377</v>
      </c>
      <c r="U526" s="1" t="s">
        <v>9968</v>
      </c>
      <c r="V526" s="1">
        <v>7499329248</v>
      </c>
      <c r="W526" s="1" t="s">
        <v>273</v>
      </c>
      <c r="X526" s="1" t="s">
        <v>9969</v>
      </c>
      <c r="Y526" s="1" t="s">
        <v>1174</v>
      </c>
      <c r="Z526" s="1" t="s">
        <v>92</v>
      </c>
      <c r="AA526" s="1" t="s">
        <v>9969</v>
      </c>
      <c r="AB526" s="1" t="s">
        <v>1174</v>
      </c>
      <c r="AC526" s="1" t="s">
        <v>92</v>
      </c>
      <c r="AD526" s="1">
        <v>8.65</v>
      </c>
      <c r="AE526" s="1" t="s">
        <v>93</v>
      </c>
      <c r="AF526" s="1" t="s">
        <v>9970</v>
      </c>
      <c r="AG526" s="1" t="s">
        <v>3558</v>
      </c>
      <c r="AH526" s="1" t="s">
        <v>195</v>
      </c>
      <c r="AI526" s="1" t="s">
        <v>281</v>
      </c>
      <c r="AJ526" s="1">
        <v>84.6</v>
      </c>
      <c r="AK526" s="1"/>
      <c r="AL526" s="1" t="s">
        <v>9971</v>
      </c>
      <c r="AM526" s="1" t="s">
        <v>3558</v>
      </c>
      <c r="AN526" s="1" t="s">
        <v>310</v>
      </c>
      <c r="AO526" s="1" t="s">
        <v>360</v>
      </c>
      <c r="AP526" s="1">
        <v>74.31</v>
      </c>
      <c r="AQ526" s="1"/>
      <c r="AR526" s="1"/>
      <c r="AS526" s="1"/>
      <c r="AT526" s="1"/>
      <c r="AU526" s="1"/>
      <c r="AV526" s="1"/>
      <c r="AW526" s="1"/>
      <c r="AX526" s="1" t="s">
        <v>361</v>
      </c>
      <c r="AY526" s="1" t="s">
        <v>9972</v>
      </c>
      <c r="AZ526" s="1" t="s">
        <v>412</v>
      </c>
      <c r="BA526" s="1" t="s">
        <v>413</v>
      </c>
      <c r="BB526" s="1">
        <v>74.5</v>
      </c>
      <c r="BC526" s="1">
        <v>8.2</v>
      </c>
      <c r="BD526" s="1"/>
      <c r="BE526" s="1"/>
      <c r="BF526" s="1"/>
      <c r="BG526" s="1"/>
      <c r="BH526" s="1"/>
      <c r="BI526" s="1"/>
      <c r="BJ526" s="1" t="s">
        <v>9973</v>
      </c>
      <c r="BK526" s="1" t="s">
        <v>9974</v>
      </c>
      <c r="BL526" s="1" t="s">
        <v>1920</v>
      </c>
      <c r="BM526" s="1" t="s">
        <v>9975</v>
      </c>
      <c r="BN526" s="1">
        <v>13</v>
      </c>
      <c r="BO526" s="1" t="s">
        <v>9976</v>
      </c>
      <c r="BP526" s="1" t="str">
        <f>HYPERLINK("https://nconnect.nicmar.ac.in/storage/profile/ProfilePhoto_P25700483_846325.jpg","Download")</f>
        <v>0</v>
      </c>
      <c r="BQ526" s="3"/>
      <c r="BR526" s="3"/>
    </row>
    <row r="527" spans="1:70">
      <c r="A527" s="1" t="s">
        <v>70</v>
      </c>
      <c r="B527" s="1" t="s">
        <v>1269</v>
      </c>
      <c r="C527" s="1" t="s">
        <v>9977</v>
      </c>
      <c r="D527" s="1" t="s">
        <v>9978</v>
      </c>
      <c r="E527" s="1" t="s">
        <v>181</v>
      </c>
      <c r="F527" s="1" t="s">
        <v>9979</v>
      </c>
      <c r="G527" s="1" t="s">
        <v>9980</v>
      </c>
      <c r="H527" s="1" t="s">
        <v>9981</v>
      </c>
      <c r="I527" s="1" t="s">
        <v>9982</v>
      </c>
      <c r="J527" s="1">
        <v>7057521752</v>
      </c>
      <c r="K527" s="1" t="s">
        <v>79</v>
      </c>
      <c r="L527" s="1" t="s">
        <v>9983</v>
      </c>
      <c r="M527" s="1" t="s">
        <v>81</v>
      </c>
      <c r="N527" s="1" t="s">
        <v>2008</v>
      </c>
      <c r="O527" s="1"/>
      <c r="P527" s="1" t="s">
        <v>1323</v>
      </c>
      <c r="Q527" s="1" t="s">
        <v>9984</v>
      </c>
      <c r="R527" s="1" t="s">
        <v>181</v>
      </c>
      <c r="S527" s="1">
        <v>9422722731</v>
      </c>
      <c r="T527" s="1" t="s">
        <v>154</v>
      </c>
      <c r="U527" s="1" t="s">
        <v>5421</v>
      </c>
      <c r="V527" s="1">
        <v>9921717790</v>
      </c>
      <c r="W527" s="1" t="s">
        <v>156</v>
      </c>
      <c r="X527" s="1" t="s">
        <v>9985</v>
      </c>
      <c r="Y527" s="1" t="s">
        <v>91</v>
      </c>
      <c r="Z527" s="1" t="s">
        <v>92</v>
      </c>
      <c r="AA527" s="1" t="s">
        <v>9986</v>
      </c>
      <c r="AB527" s="1" t="s">
        <v>91</v>
      </c>
      <c r="AC527" s="1" t="s">
        <v>92</v>
      </c>
      <c r="AD527" s="1">
        <v>7.84</v>
      </c>
      <c r="AE527" s="1" t="s">
        <v>93</v>
      </c>
      <c r="AF527" s="1" t="s">
        <v>9987</v>
      </c>
      <c r="AG527" s="1" t="s">
        <v>160</v>
      </c>
      <c r="AH527" s="1" t="s">
        <v>161</v>
      </c>
      <c r="AI527" s="1" t="s">
        <v>162</v>
      </c>
      <c r="AJ527" s="1">
        <v>86.4</v>
      </c>
      <c r="AK527" s="1"/>
      <c r="AL527" s="1" t="s">
        <v>9988</v>
      </c>
      <c r="AM527" s="1" t="s">
        <v>160</v>
      </c>
      <c r="AN527" s="1" t="s">
        <v>479</v>
      </c>
      <c r="AO527" s="1" t="s">
        <v>166</v>
      </c>
      <c r="AP527" s="1">
        <v>55.38</v>
      </c>
      <c r="AQ527" s="1"/>
      <c r="AR527" s="1" t="s">
        <v>434</v>
      </c>
      <c r="AS527" s="1" t="s">
        <v>9989</v>
      </c>
      <c r="AT527" s="1" t="s">
        <v>457</v>
      </c>
      <c r="AU527" s="1" t="s">
        <v>170</v>
      </c>
      <c r="AV527" s="1">
        <v>80.74</v>
      </c>
      <c r="AW527" s="1"/>
      <c r="AX527" s="1" t="s">
        <v>102</v>
      </c>
      <c r="AY527" s="1" t="s">
        <v>9990</v>
      </c>
      <c r="AZ527" s="1" t="s">
        <v>436</v>
      </c>
      <c r="BA527" s="1" t="s">
        <v>174</v>
      </c>
      <c r="BB527" s="1">
        <v>77</v>
      </c>
      <c r="BC527" s="1">
        <v>8.2</v>
      </c>
      <c r="BD527" s="1"/>
      <c r="BE527" s="1"/>
      <c r="BF527" s="1"/>
      <c r="BG527" s="1"/>
      <c r="BH527" s="1"/>
      <c r="BI527" s="1"/>
      <c r="BJ527" s="1" t="s">
        <v>4508</v>
      </c>
      <c r="BK527" s="1"/>
      <c r="BL527" s="1"/>
      <c r="BM527" s="1" t="s">
        <v>9991</v>
      </c>
      <c r="BN527" s="1">
        <v>28</v>
      </c>
      <c r="BO527" s="1" t="s">
        <v>9992</v>
      </c>
      <c r="BP527" s="1" t="str">
        <f>HYPERLINK("https://nconnect.nicmar.ac.in/storage/profile/ProfilePhoto_P25700484_254718.jpg","Download")</f>
        <v>0</v>
      </c>
      <c r="BQ527" s="3"/>
      <c r="BR527" s="3"/>
    </row>
    <row r="528" spans="1:70">
      <c r="A528" s="1" t="s">
        <v>70</v>
      </c>
      <c r="B528" s="1" t="s">
        <v>1269</v>
      </c>
      <c r="C528" s="1" t="s">
        <v>9993</v>
      </c>
      <c r="D528" s="1" t="s">
        <v>9994</v>
      </c>
      <c r="E528" s="1" t="s">
        <v>1566</v>
      </c>
      <c r="F528" s="1" t="s">
        <v>9995</v>
      </c>
      <c r="G528" s="1" t="s">
        <v>9996</v>
      </c>
      <c r="H528" s="1" t="s">
        <v>9997</v>
      </c>
      <c r="I528" s="1" t="s">
        <v>9998</v>
      </c>
      <c r="J528" s="1">
        <v>9158630126</v>
      </c>
      <c r="K528" s="1" t="s">
        <v>79</v>
      </c>
      <c r="L528" s="1" t="s">
        <v>9999</v>
      </c>
      <c r="M528" s="1" t="s">
        <v>81</v>
      </c>
      <c r="N528" s="1" t="s">
        <v>1618</v>
      </c>
      <c r="O528" s="1"/>
      <c r="P528" s="1" t="s">
        <v>1323</v>
      </c>
      <c r="Q528" s="1" t="s">
        <v>10000</v>
      </c>
      <c r="R528" s="1" t="s">
        <v>1566</v>
      </c>
      <c r="S528" s="1">
        <v>9890907602</v>
      </c>
      <c r="T528" s="1" t="s">
        <v>154</v>
      </c>
      <c r="U528" s="1" t="s">
        <v>10001</v>
      </c>
      <c r="V528" s="1">
        <v>7719900971</v>
      </c>
      <c r="W528" s="1" t="s">
        <v>156</v>
      </c>
      <c r="X528" s="1" t="s">
        <v>10002</v>
      </c>
      <c r="Y528" s="1" t="s">
        <v>5788</v>
      </c>
      <c r="Z528" s="1" t="s">
        <v>92</v>
      </c>
      <c r="AA528" s="1" t="s">
        <v>10002</v>
      </c>
      <c r="AB528" s="1" t="s">
        <v>5788</v>
      </c>
      <c r="AC528" s="1" t="s">
        <v>92</v>
      </c>
      <c r="AD528" s="1">
        <v>7.76</v>
      </c>
      <c r="AE528" s="1" t="s">
        <v>93</v>
      </c>
      <c r="AF528" s="1" t="s">
        <v>10003</v>
      </c>
      <c r="AG528" s="1" t="s">
        <v>10004</v>
      </c>
      <c r="AH528" s="1" t="s">
        <v>165</v>
      </c>
      <c r="AI528" s="1" t="s">
        <v>101</v>
      </c>
      <c r="AJ528" s="1">
        <v>90</v>
      </c>
      <c r="AK528" s="1"/>
      <c r="AL528" s="1" t="s">
        <v>10005</v>
      </c>
      <c r="AM528" s="1" t="s">
        <v>10006</v>
      </c>
      <c r="AN528" s="1" t="s">
        <v>10007</v>
      </c>
      <c r="AO528" s="1" t="s">
        <v>173</v>
      </c>
      <c r="AP528" s="1">
        <v>68.92</v>
      </c>
      <c r="AQ528" s="1"/>
      <c r="AR528" s="1"/>
      <c r="AS528" s="1"/>
      <c r="AT528" s="1"/>
      <c r="AU528" s="1"/>
      <c r="AV528" s="1"/>
      <c r="AW528" s="1"/>
      <c r="AX528" s="1" t="s">
        <v>361</v>
      </c>
      <c r="AY528" s="1" t="s">
        <v>10008</v>
      </c>
      <c r="AZ528" s="1" t="s">
        <v>363</v>
      </c>
      <c r="BA528" s="1" t="s">
        <v>202</v>
      </c>
      <c r="BB528" s="1">
        <v>70.1</v>
      </c>
      <c r="BC528" s="1">
        <v>7.76</v>
      </c>
      <c r="BD528" s="1"/>
      <c r="BE528" s="1"/>
      <c r="BF528" s="1"/>
      <c r="BG528" s="1"/>
      <c r="BH528" s="1"/>
      <c r="BI528" s="1"/>
      <c r="BJ528" s="1" t="s">
        <v>10009</v>
      </c>
      <c r="BK528" s="1" t="s">
        <v>10010</v>
      </c>
      <c r="BL528" s="1" t="s">
        <v>1920</v>
      </c>
      <c r="BM528" s="1" t="s">
        <v>10011</v>
      </c>
      <c r="BN528" s="1">
        <v>15</v>
      </c>
      <c r="BO528" s="1"/>
      <c r="BP528" s="1" t="str">
        <f>HYPERLINK("https://nconnect.nicmar.ac.in/storage/profile/ProfilePhoto_P25700485_129836.jpg","Download")</f>
        <v>0</v>
      </c>
      <c r="BQ528" s="3"/>
      <c r="BR528" s="3"/>
    </row>
    <row r="529" spans="1:70">
      <c r="A529" s="1" t="s">
        <v>70</v>
      </c>
      <c r="B529" s="1" t="s">
        <v>1269</v>
      </c>
      <c r="C529" s="1" t="s">
        <v>10012</v>
      </c>
      <c r="D529" s="1" t="s">
        <v>10013</v>
      </c>
      <c r="E529" s="1" t="s">
        <v>10014</v>
      </c>
      <c r="F529" s="1" t="s">
        <v>10015</v>
      </c>
      <c r="G529" s="1" t="s">
        <v>10016</v>
      </c>
      <c r="H529" s="1" t="s">
        <v>10017</v>
      </c>
      <c r="I529" s="1" t="s">
        <v>10018</v>
      </c>
      <c r="J529" s="1">
        <v>9156789718</v>
      </c>
      <c r="K529" s="1" t="s">
        <v>79</v>
      </c>
      <c r="L529" s="1" t="s">
        <v>10019</v>
      </c>
      <c r="M529" s="1" t="s">
        <v>81</v>
      </c>
      <c r="N529" s="1" t="s">
        <v>1418</v>
      </c>
      <c r="O529" s="1"/>
      <c r="P529" s="1" t="s">
        <v>1323</v>
      </c>
      <c r="Q529" s="1" t="s">
        <v>10020</v>
      </c>
      <c r="R529" s="1" t="s">
        <v>10014</v>
      </c>
      <c r="S529" s="1">
        <v>9422049718</v>
      </c>
      <c r="T529" s="1" t="s">
        <v>10021</v>
      </c>
      <c r="U529" s="1" t="s">
        <v>10022</v>
      </c>
      <c r="V529" s="1">
        <v>9604248677</v>
      </c>
      <c r="W529" s="1" t="s">
        <v>156</v>
      </c>
      <c r="X529" s="1" t="s">
        <v>10023</v>
      </c>
      <c r="Y529" s="1" t="s">
        <v>2790</v>
      </c>
      <c r="Z529" s="1" t="s">
        <v>92</v>
      </c>
      <c r="AA529" s="1" t="s">
        <v>10023</v>
      </c>
      <c r="AB529" s="1" t="s">
        <v>2790</v>
      </c>
      <c r="AC529" s="1" t="s">
        <v>92</v>
      </c>
      <c r="AD529" s="1">
        <v>8.62</v>
      </c>
      <c r="AE529" s="1" t="s">
        <v>93</v>
      </c>
      <c r="AF529" s="1" t="s">
        <v>10024</v>
      </c>
      <c r="AG529" s="1" t="s">
        <v>10025</v>
      </c>
      <c r="AH529" s="1" t="s">
        <v>165</v>
      </c>
      <c r="AI529" s="1" t="s">
        <v>101</v>
      </c>
      <c r="AJ529" s="1">
        <v>92.2</v>
      </c>
      <c r="AK529" s="1"/>
      <c r="AL529" s="1" t="s">
        <v>10026</v>
      </c>
      <c r="AM529" s="1" t="s">
        <v>10025</v>
      </c>
      <c r="AN529" s="1" t="s">
        <v>310</v>
      </c>
      <c r="AO529" s="1" t="s">
        <v>173</v>
      </c>
      <c r="AP529" s="1">
        <v>80.77</v>
      </c>
      <c r="AQ529" s="1"/>
      <c r="AR529" s="1"/>
      <c r="AS529" s="1"/>
      <c r="AT529" s="1"/>
      <c r="AU529" s="1"/>
      <c r="AV529" s="1"/>
      <c r="AW529" s="1"/>
      <c r="AX529" s="1" t="s">
        <v>10027</v>
      </c>
      <c r="AY529" s="1" t="s">
        <v>10028</v>
      </c>
      <c r="AZ529" s="1" t="s">
        <v>173</v>
      </c>
      <c r="BA529" s="1" t="s">
        <v>202</v>
      </c>
      <c r="BB529" s="1">
        <v>67</v>
      </c>
      <c r="BC529" s="1"/>
      <c r="BD529" s="1"/>
      <c r="BE529" s="1"/>
      <c r="BF529" s="1"/>
      <c r="BG529" s="1"/>
      <c r="BH529" s="1"/>
      <c r="BI529" s="1"/>
      <c r="BJ529" s="1" t="s">
        <v>10029</v>
      </c>
      <c r="BK529" s="1"/>
      <c r="BL529" s="1"/>
      <c r="BM529" s="1" t="s">
        <v>10030</v>
      </c>
      <c r="BN529" s="1">
        <v>35</v>
      </c>
      <c r="BO529" s="1" t="s">
        <v>10031</v>
      </c>
      <c r="BP529" s="1" t="str">
        <f>HYPERLINK("https://nconnect.nicmar.ac.in/storage/profile/ProfilePhoto_P25700486_729541.jpg","Download")</f>
        <v>0</v>
      </c>
      <c r="BQ529" s="3"/>
      <c r="BR529" s="3"/>
    </row>
    <row r="530" spans="1:70">
      <c r="A530" s="1" t="s">
        <v>70</v>
      </c>
      <c r="B530" s="1" t="s">
        <v>1269</v>
      </c>
      <c r="C530" s="1" t="s">
        <v>10032</v>
      </c>
      <c r="D530" s="1" t="s">
        <v>10033</v>
      </c>
      <c r="E530" s="1" t="s">
        <v>10034</v>
      </c>
      <c r="F530" s="1" t="s">
        <v>10035</v>
      </c>
      <c r="G530" s="1" t="s">
        <v>10036</v>
      </c>
      <c r="H530" s="1" t="s">
        <v>10037</v>
      </c>
      <c r="I530" s="1" t="s">
        <v>10038</v>
      </c>
      <c r="J530" s="1">
        <v>9511695706</v>
      </c>
      <c r="K530" s="1" t="s">
        <v>79</v>
      </c>
      <c r="L530" s="1" t="s">
        <v>1098</v>
      </c>
      <c r="M530" s="1" t="s">
        <v>81</v>
      </c>
      <c r="N530" s="1" t="s">
        <v>10039</v>
      </c>
      <c r="O530" s="1"/>
      <c r="P530" s="1" t="s">
        <v>1298</v>
      </c>
      <c r="Q530" s="1" t="s">
        <v>10040</v>
      </c>
      <c r="R530" s="1" t="s">
        <v>10034</v>
      </c>
      <c r="S530" s="1">
        <v>9421724330</v>
      </c>
      <c r="T530" s="1" t="s">
        <v>763</v>
      </c>
      <c r="U530" s="1" t="s">
        <v>10041</v>
      </c>
      <c r="V530" s="1">
        <v>7498405538</v>
      </c>
      <c r="W530" s="1" t="s">
        <v>89</v>
      </c>
      <c r="X530" s="1" t="s">
        <v>10042</v>
      </c>
      <c r="Y530" s="1" t="s">
        <v>1424</v>
      </c>
      <c r="Z530" s="1" t="s">
        <v>92</v>
      </c>
      <c r="AA530" s="1" t="s">
        <v>10042</v>
      </c>
      <c r="AB530" s="1" t="s">
        <v>1424</v>
      </c>
      <c r="AC530" s="1" t="s">
        <v>92</v>
      </c>
      <c r="AD530" s="1">
        <v>8.09</v>
      </c>
      <c r="AE530" s="1" t="s">
        <v>93</v>
      </c>
      <c r="AF530" s="1" t="s">
        <v>10043</v>
      </c>
      <c r="AG530" s="1" t="s">
        <v>10044</v>
      </c>
      <c r="AH530" s="1" t="s">
        <v>96</v>
      </c>
      <c r="AI530" s="1" t="s">
        <v>161</v>
      </c>
      <c r="AJ530" s="1">
        <v>82.8</v>
      </c>
      <c r="AK530" s="1"/>
      <c r="AL530" s="1" t="s">
        <v>10045</v>
      </c>
      <c r="AM530" s="1" t="s">
        <v>3161</v>
      </c>
      <c r="AN530" s="1" t="s">
        <v>162</v>
      </c>
      <c r="AO530" s="1" t="s">
        <v>479</v>
      </c>
      <c r="AP530" s="1">
        <v>70.46</v>
      </c>
      <c r="AQ530" s="1"/>
      <c r="AR530" s="1"/>
      <c r="AS530" s="1"/>
      <c r="AT530" s="1"/>
      <c r="AU530" s="1"/>
      <c r="AV530" s="1"/>
      <c r="AW530" s="1"/>
      <c r="AX530" s="1" t="s">
        <v>6943</v>
      </c>
      <c r="AY530" s="1" t="s">
        <v>10046</v>
      </c>
      <c r="AZ530" s="1" t="s">
        <v>383</v>
      </c>
      <c r="BA530" s="1" t="s">
        <v>436</v>
      </c>
      <c r="BB530" s="1">
        <v>89.77</v>
      </c>
      <c r="BC530" s="1">
        <v>9.83</v>
      </c>
      <c r="BD530" s="1"/>
      <c r="BE530" s="1"/>
      <c r="BF530" s="1"/>
      <c r="BG530" s="1"/>
      <c r="BH530" s="1"/>
      <c r="BI530" s="1"/>
      <c r="BJ530" s="1" t="s">
        <v>10047</v>
      </c>
      <c r="BK530" s="1" t="s">
        <v>10048</v>
      </c>
      <c r="BL530" s="1" t="s">
        <v>2914</v>
      </c>
      <c r="BM530" s="1" t="s">
        <v>10049</v>
      </c>
      <c r="BN530" s="1">
        <v>19</v>
      </c>
      <c r="BO530" s="1" t="s">
        <v>10050</v>
      </c>
      <c r="BP530" s="1" t="str">
        <f>HYPERLINK("https://nconnect.nicmar.ac.in/storage/profile/ProfilePhoto_P25700487_319528.jpg","Download")</f>
        <v>0</v>
      </c>
      <c r="BQ530" s="3"/>
      <c r="BR530" s="3"/>
    </row>
    <row r="531" spans="1:70">
      <c r="A531" s="1" t="s">
        <v>70</v>
      </c>
      <c r="B531" s="1" t="s">
        <v>1269</v>
      </c>
      <c r="C531" s="1" t="s">
        <v>10051</v>
      </c>
      <c r="D531" s="1" t="s">
        <v>10052</v>
      </c>
      <c r="E531" s="1" t="s">
        <v>111</v>
      </c>
      <c r="F531" s="1" t="s">
        <v>10053</v>
      </c>
      <c r="G531" s="1" t="s">
        <v>10054</v>
      </c>
      <c r="H531" s="1" t="s">
        <v>10055</v>
      </c>
      <c r="I531" s="1" t="s">
        <v>10056</v>
      </c>
      <c r="J531" s="1">
        <v>8884749505</v>
      </c>
      <c r="K531" s="1" t="s">
        <v>79</v>
      </c>
      <c r="L531" s="1" t="s">
        <v>10057</v>
      </c>
      <c r="M531" s="1" t="s">
        <v>81</v>
      </c>
      <c r="N531" s="1" t="s">
        <v>5187</v>
      </c>
      <c r="O531" s="1"/>
      <c r="P531" s="1" t="s">
        <v>1298</v>
      </c>
      <c r="Q531" s="1" t="s">
        <v>10058</v>
      </c>
      <c r="R531" s="1" t="s">
        <v>10059</v>
      </c>
      <c r="S531" s="1">
        <v>9480295749</v>
      </c>
      <c r="T531" s="1" t="s">
        <v>122</v>
      </c>
      <c r="U531" s="1" t="s">
        <v>10060</v>
      </c>
      <c r="V531" s="1">
        <v>9483118399</v>
      </c>
      <c r="W531" s="1" t="s">
        <v>122</v>
      </c>
      <c r="X531" s="1" t="s">
        <v>10061</v>
      </c>
      <c r="Y531" s="1" t="s">
        <v>3827</v>
      </c>
      <c r="Z531" s="1" t="s">
        <v>1084</v>
      </c>
      <c r="AA531" s="1" t="s">
        <v>10061</v>
      </c>
      <c r="AB531" s="1" t="s">
        <v>3827</v>
      </c>
      <c r="AC531" s="1" t="s">
        <v>1084</v>
      </c>
      <c r="AD531" s="1">
        <v>8.64</v>
      </c>
      <c r="AE531" s="1" t="s">
        <v>93</v>
      </c>
      <c r="AF531" s="1" t="s">
        <v>10062</v>
      </c>
      <c r="AG531" s="1" t="s">
        <v>10063</v>
      </c>
      <c r="AH531" s="1" t="s">
        <v>96</v>
      </c>
      <c r="AI531" s="1" t="s">
        <v>503</v>
      </c>
      <c r="AJ531" s="1">
        <v>89.44</v>
      </c>
      <c r="AK531" s="1"/>
      <c r="AL531" s="1" t="s">
        <v>10064</v>
      </c>
      <c r="AM531" s="1" t="s">
        <v>10065</v>
      </c>
      <c r="AN531" s="1" t="s">
        <v>527</v>
      </c>
      <c r="AO531" s="1" t="s">
        <v>195</v>
      </c>
      <c r="AP531" s="1">
        <v>76.5</v>
      </c>
      <c r="AQ531" s="1"/>
      <c r="AR531" s="1"/>
      <c r="AS531" s="1"/>
      <c r="AT531" s="1"/>
      <c r="AU531" s="1"/>
      <c r="AV531" s="1"/>
      <c r="AW531" s="1"/>
      <c r="AX531" s="1" t="s">
        <v>1088</v>
      </c>
      <c r="AY531" s="1" t="s">
        <v>10066</v>
      </c>
      <c r="AZ531" s="1" t="s">
        <v>6279</v>
      </c>
      <c r="BA531" s="1" t="s">
        <v>436</v>
      </c>
      <c r="BB531" s="1">
        <v>63.4</v>
      </c>
      <c r="BC531" s="1">
        <v>7.09</v>
      </c>
      <c r="BD531" s="1"/>
      <c r="BE531" s="1"/>
      <c r="BF531" s="1"/>
      <c r="BG531" s="1"/>
      <c r="BH531" s="1"/>
      <c r="BI531" s="1"/>
      <c r="BJ531" s="1" t="s">
        <v>10067</v>
      </c>
      <c r="BK531" s="1" t="s">
        <v>10068</v>
      </c>
      <c r="BL531" s="1" t="s">
        <v>619</v>
      </c>
      <c r="BM531" s="1" t="s">
        <v>10069</v>
      </c>
      <c r="BN531" s="1">
        <v>13</v>
      </c>
      <c r="BO531" s="1" t="s">
        <v>10070</v>
      </c>
      <c r="BP531" s="1" t="str">
        <f>HYPERLINK("https://nconnect.nicmar.ac.in/storage/profile/ProfilePhoto_P25700488_586793.jpg","Download")</f>
        <v>0</v>
      </c>
      <c r="BQ531" s="3"/>
      <c r="BR531" s="3"/>
    </row>
    <row r="532" spans="1:70">
      <c r="A532" s="1" t="s">
        <v>70</v>
      </c>
      <c r="B532" s="1" t="s">
        <v>1269</v>
      </c>
      <c r="C532" s="1" t="s">
        <v>10071</v>
      </c>
      <c r="D532" s="1" t="s">
        <v>8507</v>
      </c>
      <c r="E532" s="1" t="s">
        <v>1640</v>
      </c>
      <c r="F532" s="1" t="s">
        <v>10072</v>
      </c>
      <c r="G532" s="1" t="s">
        <v>10073</v>
      </c>
      <c r="H532" s="1" t="s">
        <v>10074</v>
      </c>
      <c r="I532" s="1" t="s">
        <v>10075</v>
      </c>
      <c r="J532" s="1">
        <v>8080830336</v>
      </c>
      <c r="K532" s="1" t="s">
        <v>79</v>
      </c>
      <c r="L532" s="1" t="s">
        <v>10076</v>
      </c>
      <c r="M532" s="1" t="s">
        <v>81</v>
      </c>
      <c r="N532" s="1" t="s">
        <v>1418</v>
      </c>
      <c r="O532" s="1"/>
      <c r="P532" s="1" t="s">
        <v>1766</v>
      </c>
      <c r="Q532" s="1" t="s">
        <v>10077</v>
      </c>
      <c r="R532" s="1" t="s">
        <v>1640</v>
      </c>
      <c r="S532" s="1">
        <v>9511671711</v>
      </c>
      <c r="T532" s="1" t="s">
        <v>763</v>
      </c>
      <c r="U532" s="1" t="s">
        <v>10078</v>
      </c>
      <c r="V532" s="1">
        <v>8999342823</v>
      </c>
      <c r="W532" s="1" t="s">
        <v>496</v>
      </c>
      <c r="X532" s="1" t="s">
        <v>10079</v>
      </c>
      <c r="Y532" s="1" t="s">
        <v>1887</v>
      </c>
      <c r="Z532" s="1" t="s">
        <v>92</v>
      </c>
      <c r="AA532" s="1" t="s">
        <v>10079</v>
      </c>
      <c r="AB532" s="1" t="s">
        <v>1887</v>
      </c>
      <c r="AC532" s="1" t="s">
        <v>92</v>
      </c>
      <c r="AD532" s="1">
        <v>8.18</v>
      </c>
      <c r="AE532" s="1" t="s">
        <v>93</v>
      </c>
      <c r="AF532" s="1" t="s">
        <v>6840</v>
      </c>
      <c r="AG532" s="1" t="s">
        <v>894</v>
      </c>
      <c r="AH532" s="1" t="s">
        <v>101</v>
      </c>
      <c r="AI532" s="1" t="s">
        <v>308</v>
      </c>
      <c r="AJ532" s="1">
        <v>78.8</v>
      </c>
      <c r="AK532" s="1">
        <v>0</v>
      </c>
      <c r="AL532" s="1" t="s">
        <v>10080</v>
      </c>
      <c r="AM532" s="1" t="s">
        <v>160</v>
      </c>
      <c r="AN532" s="1" t="s">
        <v>699</v>
      </c>
      <c r="AO532" s="1" t="s">
        <v>436</v>
      </c>
      <c r="AP532" s="1">
        <v>88.83</v>
      </c>
      <c r="AQ532" s="1">
        <v>0</v>
      </c>
      <c r="AR532" s="1"/>
      <c r="AS532" s="1"/>
      <c r="AT532" s="1"/>
      <c r="AU532" s="1"/>
      <c r="AV532" s="1"/>
      <c r="AW532" s="1"/>
      <c r="AX532" s="1" t="s">
        <v>1892</v>
      </c>
      <c r="AY532" s="1" t="s">
        <v>10081</v>
      </c>
      <c r="AZ532" s="1" t="s">
        <v>897</v>
      </c>
      <c r="BA532" s="1" t="s">
        <v>1714</v>
      </c>
      <c r="BB532" s="1">
        <v>69.7</v>
      </c>
      <c r="BC532" s="1">
        <v>7.72</v>
      </c>
      <c r="BD532" s="1"/>
      <c r="BE532" s="1"/>
      <c r="BF532" s="1"/>
      <c r="BG532" s="1"/>
      <c r="BH532" s="1"/>
      <c r="BI532" s="1"/>
      <c r="BJ532" s="1" t="s">
        <v>10082</v>
      </c>
      <c r="BK532" s="1"/>
      <c r="BL532" s="1"/>
      <c r="BM532" s="1" t="s">
        <v>10083</v>
      </c>
      <c r="BN532" s="1">
        <v>23</v>
      </c>
      <c r="BO532" s="1" t="s">
        <v>10084</v>
      </c>
      <c r="BP532" s="1" t="str">
        <f>HYPERLINK("https://nconnect.nicmar.ac.in/storage/profile/ProfilePhoto_P25700489_381496.jpg","Download")</f>
        <v>0</v>
      </c>
      <c r="BQ532" s="3"/>
      <c r="BR532" s="3"/>
    </row>
    <row r="533" spans="1:70">
      <c r="A533" s="1" t="s">
        <v>70</v>
      </c>
      <c r="B533" s="1" t="s">
        <v>1269</v>
      </c>
      <c r="C533" s="1" t="s">
        <v>10085</v>
      </c>
      <c r="D533" s="1" t="s">
        <v>10086</v>
      </c>
      <c r="E533" s="1" t="s">
        <v>10087</v>
      </c>
      <c r="F533" s="1" t="s">
        <v>10088</v>
      </c>
      <c r="G533" s="1" t="s">
        <v>10089</v>
      </c>
      <c r="H533" s="1" t="s">
        <v>10090</v>
      </c>
      <c r="I533" s="1" t="s">
        <v>10091</v>
      </c>
      <c r="J533" s="1">
        <v>7875865501</v>
      </c>
      <c r="K533" s="1" t="s">
        <v>79</v>
      </c>
      <c r="L533" s="1" t="s">
        <v>10092</v>
      </c>
      <c r="M533" s="1" t="s">
        <v>81</v>
      </c>
      <c r="N533" s="1" t="s">
        <v>1418</v>
      </c>
      <c r="O533" s="1"/>
      <c r="P533" s="1"/>
      <c r="Q533" s="1" t="s">
        <v>10093</v>
      </c>
      <c r="R533" s="1" t="s">
        <v>10094</v>
      </c>
      <c r="S533" s="1">
        <v>9860358887</v>
      </c>
      <c r="T533" s="1" t="s">
        <v>496</v>
      </c>
      <c r="U533" s="1" t="s">
        <v>10095</v>
      </c>
      <c r="V533" s="1">
        <v>7218170260</v>
      </c>
      <c r="W533" s="1" t="s">
        <v>156</v>
      </c>
      <c r="X533" s="1" t="s">
        <v>10096</v>
      </c>
      <c r="Y533" s="1" t="s">
        <v>5840</v>
      </c>
      <c r="Z533" s="1" t="s">
        <v>92</v>
      </c>
      <c r="AA533" s="1" t="s">
        <v>10096</v>
      </c>
      <c r="AB533" s="1" t="s">
        <v>5840</v>
      </c>
      <c r="AC533" s="1" t="s">
        <v>92</v>
      </c>
      <c r="AD533" s="1">
        <v>8.98</v>
      </c>
      <c r="AE533" s="1" t="s">
        <v>93</v>
      </c>
      <c r="AF533" s="1" t="s">
        <v>10097</v>
      </c>
      <c r="AG533" s="1" t="s">
        <v>10098</v>
      </c>
      <c r="AH533" s="1" t="s">
        <v>733</v>
      </c>
      <c r="AI533" s="1" t="s">
        <v>678</v>
      </c>
      <c r="AJ533" s="1">
        <v>87.8</v>
      </c>
      <c r="AK533" s="1">
        <v>9.4</v>
      </c>
      <c r="AL533" s="1" t="s">
        <v>10099</v>
      </c>
      <c r="AM533" s="1" t="s">
        <v>160</v>
      </c>
      <c r="AN533" s="1" t="s">
        <v>169</v>
      </c>
      <c r="AO533" s="1" t="s">
        <v>1065</v>
      </c>
      <c r="AP533" s="1">
        <v>72.77</v>
      </c>
      <c r="AQ533" s="1"/>
      <c r="AR533" s="1"/>
      <c r="AS533" s="1"/>
      <c r="AT533" s="1"/>
      <c r="AU533" s="1"/>
      <c r="AV533" s="1"/>
      <c r="AW533" s="1"/>
      <c r="AX533" s="1" t="s">
        <v>410</v>
      </c>
      <c r="AY533" s="1" t="s">
        <v>10100</v>
      </c>
      <c r="AZ533" s="1" t="s">
        <v>201</v>
      </c>
      <c r="BA533" s="1" t="s">
        <v>229</v>
      </c>
      <c r="BB533" s="1">
        <v>88.9</v>
      </c>
      <c r="BC533" s="1">
        <v>8.89</v>
      </c>
      <c r="BD533" s="1"/>
      <c r="BE533" s="1"/>
      <c r="BF533" s="1"/>
      <c r="BG533" s="1"/>
      <c r="BH533" s="1"/>
      <c r="BI533" s="1"/>
      <c r="BJ533" s="1" t="s">
        <v>10101</v>
      </c>
      <c r="BK533" s="1" t="s">
        <v>10102</v>
      </c>
      <c r="BL533" s="1" t="s">
        <v>4933</v>
      </c>
      <c r="BM533" s="1" t="s">
        <v>10103</v>
      </c>
      <c r="BN533" s="1">
        <v>39</v>
      </c>
      <c r="BO533" s="1" t="s">
        <v>10104</v>
      </c>
      <c r="BP533" s="1" t="str">
        <f>HYPERLINK("https://nconnect.nicmar.ac.in/storage/profile/ProfilePhoto_P25700490_978215.jpg","Download")</f>
        <v>0</v>
      </c>
      <c r="BQ533" s="3"/>
      <c r="BR533" s="3"/>
    </row>
    <row r="534" spans="1:70">
      <c r="A534" s="1" t="s">
        <v>70</v>
      </c>
      <c r="B534" s="1" t="s">
        <v>1269</v>
      </c>
      <c r="C534" s="1" t="s">
        <v>10105</v>
      </c>
      <c r="D534" s="1" t="s">
        <v>3304</v>
      </c>
      <c r="E534" s="1" t="s">
        <v>10106</v>
      </c>
      <c r="F534" s="1" t="s">
        <v>7882</v>
      </c>
      <c r="G534" s="1" t="s">
        <v>10107</v>
      </c>
      <c r="H534" s="1" t="s">
        <v>10108</v>
      </c>
      <c r="I534" s="1" t="s">
        <v>10109</v>
      </c>
      <c r="J534" s="1">
        <v>8623836346</v>
      </c>
      <c r="K534" s="1" t="s">
        <v>79</v>
      </c>
      <c r="L534" s="1" t="s">
        <v>3118</v>
      </c>
      <c r="M534" s="1" t="s">
        <v>81</v>
      </c>
      <c r="N534" s="1" t="s">
        <v>860</v>
      </c>
      <c r="O534" s="1"/>
      <c r="P534" s="1" t="s">
        <v>1323</v>
      </c>
      <c r="Q534" s="1" t="s">
        <v>10110</v>
      </c>
      <c r="R534" s="1" t="s">
        <v>10111</v>
      </c>
      <c r="S534" s="1">
        <v>9850056147</v>
      </c>
      <c r="T534" s="1" t="s">
        <v>10112</v>
      </c>
      <c r="U534" s="1" t="s">
        <v>10113</v>
      </c>
      <c r="V534" s="1">
        <v>7972878952</v>
      </c>
      <c r="W534" s="1" t="s">
        <v>10114</v>
      </c>
      <c r="X534" s="1" t="s">
        <v>10115</v>
      </c>
      <c r="Y534" s="1" t="s">
        <v>191</v>
      </c>
      <c r="Z534" s="1" t="s">
        <v>92</v>
      </c>
      <c r="AA534" s="1" t="s">
        <v>10116</v>
      </c>
      <c r="AB534" s="1" t="s">
        <v>5937</v>
      </c>
      <c r="AC534" s="1" t="s">
        <v>92</v>
      </c>
      <c r="AD534" s="1">
        <v>8.9</v>
      </c>
      <c r="AE534" s="1" t="s">
        <v>93</v>
      </c>
      <c r="AF534" s="1" t="s">
        <v>10117</v>
      </c>
      <c r="AG534" s="1" t="s">
        <v>160</v>
      </c>
      <c r="AH534" s="1" t="s">
        <v>527</v>
      </c>
      <c r="AI534" s="1" t="s">
        <v>479</v>
      </c>
      <c r="AJ534" s="1">
        <v>96.4</v>
      </c>
      <c r="AK534" s="1">
        <v>0</v>
      </c>
      <c r="AL534" s="1"/>
      <c r="AM534" s="1"/>
      <c r="AN534" s="1"/>
      <c r="AO534" s="1"/>
      <c r="AP534" s="1"/>
      <c r="AQ534" s="1"/>
      <c r="AR534" s="1" t="s">
        <v>98</v>
      </c>
      <c r="AS534" s="1" t="s">
        <v>10118</v>
      </c>
      <c r="AT534" s="1" t="s">
        <v>165</v>
      </c>
      <c r="AU534" s="1" t="s">
        <v>170</v>
      </c>
      <c r="AV534" s="1">
        <v>84.68</v>
      </c>
      <c r="AW534" s="1">
        <v>0</v>
      </c>
      <c r="AX534" s="1" t="s">
        <v>10119</v>
      </c>
      <c r="AY534" s="1" t="s">
        <v>10120</v>
      </c>
      <c r="AZ534" s="1" t="s">
        <v>920</v>
      </c>
      <c r="BA534" s="1" t="s">
        <v>229</v>
      </c>
      <c r="BB534" s="1">
        <v>83.9</v>
      </c>
      <c r="BC534" s="1">
        <v>9.14</v>
      </c>
      <c r="BD534" s="1"/>
      <c r="BE534" s="1"/>
      <c r="BF534" s="1"/>
      <c r="BG534" s="1"/>
      <c r="BH534" s="1"/>
      <c r="BI534" s="1"/>
      <c r="BJ534" s="1" t="s">
        <v>10121</v>
      </c>
      <c r="BK534" s="1"/>
      <c r="BL534" s="1"/>
      <c r="BM534" s="1" t="s">
        <v>10122</v>
      </c>
      <c r="BN534" s="1">
        <v>38</v>
      </c>
      <c r="BO534" s="1" t="s">
        <v>10123</v>
      </c>
      <c r="BP534" s="1" t="str">
        <f>HYPERLINK("https://nconnect.nicmar.ac.in/storage/profile/ProfilePhoto_P25700491_473681.jpg","Download")</f>
        <v>0</v>
      </c>
      <c r="BQ534" s="3"/>
      <c r="BR534" s="3"/>
    </row>
    <row r="535" spans="1:70">
      <c r="A535" s="1" t="s">
        <v>70</v>
      </c>
      <c r="B535" s="1" t="s">
        <v>1269</v>
      </c>
      <c r="C535" s="1" t="s">
        <v>10124</v>
      </c>
      <c r="D535" s="1" t="s">
        <v>10125</v>
      </c>
      <c r="E535" s="1" t="s">
        <v>1875</v>
      </c>
      <c r="F535" s="1" t="s">
        <v>10126</v>
      </c>
      <c r="G535" s="1" t="s">
        <v>10127</v>
      </c>
      <c r="H535" s="1" t="s">
        <v>10128</v>
      </c>
      <c r="I535" s="1" t="s">
        <v>10129</v>
      </c>
      <c r="J535" s="1">
        <v>9284329038</v>
      </c>
      <c r="K535" s="1" t="s">
        <v>79</v>
      </c>
      <c r="L535" s="1" t="s">
        <v>10130</v>
      </c>
      <c r="M535" s="1" t="s">
        <v>81</v>
      </c>
      <c r="N535" s="1" t="s">
        <v>1418</v>
      </c>
      <c r="O535" s="1"/>
      <c r="P535" s="1" t="s">
        <v>1278</v>
      </c>
      <c r="Q535" s="1" t="s">
        <v>10131</v>
      </c>
      <c r="R535" s="1" t="s">
        <v>1875</v>
      </c>
      <c r="S535" s="1">
        <v>9823243636</v>
      </c>
      <c r="T535" s="1" t="s">
        <v>10132</v>
      </c>
      <c r="U535" s="1" t="s">
        <v>10133</v>
      </c>
      <c r="V535" s="1">
        <v>9823244536</v>
      </c>
      <c r="W535" s="1" t="s">
        <v>273</v>
      </c>
      <c r="X535" s="1" t="s">
        <v>10134</v>
      </c>
      <c r="Y535" s="1" t="s">
        <v>5080</v>
      </c>
      <c r="Z535" s="1" t="s">
        <v>92</v>
      </c>
      <c r="AA535" s="1" t="s">
        <v>10134</v>
      </c>
      <c r="AB535" s="1" t="s">
        <v>5080</v>
      </c>
      <c r="AC535" s="1" t="s">
        <v>92</v>
      </c>
      <c r="AD535" s="1">
        <v>8.66</v>
      </c>
      <c r="AE535" s="1" t="s">
        <v>93</v>
      </c>
      <c r="AF535" s="1" t="s">
        <v>10135</v>
      </c>
      <c r="AG535" s="1" t="s">
        <v>307</v>
      </c>
      <c r="AH535" s="1" t="s">
        <v>3922</v>
      </c>
      <c r="AI535" s="1" t="s">
        <v>409</v>
      </c>
      <c r="AJ535" s="1">
        <v>84.8</v>
      </c>
      <c r="AK535" s="1">
        <v>0</v>
      </c>
      <c r="AL535" s="1" t="s">
        <v>10136</v>
      </c>
      <c r="AM535" s="1" t="s">
        <v>5877</v>
      </c>
      <c r="AN535" s="1" t="s">
        <v>201</v>
      </c>
      <c r="AO535" s="1" t="s">
        <v>436</v>
      </c>
      <c r="AP535" s="1">
        <v>87.17</v>
      </c>
      <c r="AQ535" s="1">
        <v>0</v>
      </c>
      <c r="AR535" s="1"/>
      <c r="AS535" s="1"/>
      <c r="AT535" s="1"/>
      <c r="AU535" s="1"/>
      <c r="AV535" s="1"/>
      <c r="AW535" s="1"/>
      <c r="AX535" s="1" t="s">
        <v>1024</v>
      </c>
      <c r="AY535" s="1" t="s">
        <v>10137</v>
      </c>
      <c r="AZ535" s="1" t="s">
        <v>897</v>
      </c>
      <c r="BA535" s="1" t="s">
        <v>1361</v>
      </c>
      <c r="BB535" s="1">
        <v>74.45</v>
      </c>
      <c r="BC535" s="1">
        <v>8.44</v>
      </c>
      <c r="BD535" s="1"/>
      <c r="BE535" s="1"/>
      <c r="BF535" s="1"/>
      <c r="BG535" s="1"/>
      <c r="BH535" s="1"/>
      <c r="BI535" s="1"/>
      <c r="BJ535" s="1" t="s">
        <v>10138</v>
      </c>
      <c r="BK535" s="1"/>
      <c r="BL535" s="1"/>
      <c r="BM535" s="1" t="s">
        <v>10139</v>
      </c>
      <c r="BN535" s="1">
        <v>13</v>
      </c>
      <c r="BO535" s="1" t="s">
        <v>10140</v>
      </c>
      <c r="BP535" s="1" t="str">
        <f>HYPERLINK("https://nconnect.nicmar.ac.in/storage/profile/ProfilePhoto_P25700492_715349.jpg","Download")</f>
        <v>0</v>
      </c>
      <c r="BQ535" s="3"/>
      <c r="BR535" s="3"/>
    </row>
    <row r="536" spans="1:70">
      <c r="A536" s="1" t="s">
        <v>70</v>
      </c>
      <c r="B536" s="1" t="s">
        <v>1269</v>
      </c>
      <c r="C536" s="1" t="s">
        <v>10141</v>
      </c>
      <c r="D536" s="1" t="s">
        <v>4343</v>
      </c>
      <c r="E536" s="1"/>
      <c r="F536" s="1" t="s">
        <v>10087</v>
      </c>
      <c r="G536" s="1" t="s">
        <v>10142</v>
      </c>
      <c r="H536" s="1" t="s">
        <v>10143</v>
      </c>
      <c r="I536" s="1" t="s">
        <v>10144</v>
      </c>
      <c r="J536" s="1">
        <v>9496757593</v>
      </c>
      <c r="K536" s="1" t="s">
        <v>79</v>
      </c>
      <c r="L536" s="1" t="s">
        <v>10145</v>
      </c>
      <c r="M536" s="1" t="s">
        <v>81</v>
      </c>
      <c r="N536" s="1" t="s">
        <v>10146</v>
      </c>
      <c r="O536" s="1"/>
      <c r="P536" s="1" t="s">
        <v>2507</v>
      </c>
      <c r="Q536" s="1" t="s">
        <v>10147</v>
      </c>
      <c r="R536" s="1" t="s">
        <v>10148</v>
      </c>
      <c r="S536" s="1">
        <v>9496731968</v>
      </c>
      <c r="T536" s="1" t="s">
        <v>10149</v>
      </c>
      <c r="U536" s="1" t="s">
        <v>10150</v>
      </c>
      <c r="V536" s="1">
        <v>9656731968</v>
      </c>
      <c r="W536" s="1" t="s">
        <v>156</v>
      </c>
      <c r="X536" s="1" t="s">
        <v>10151</v>
      </c>
      <c r="Y536" s="1" t="s">
        <v>3330</v>
      </c>
      <c r="Z536" s="1" t="s">
        <v>125</v>
      </c>
      <c r="AA536" s="1" t="s">
        <v>10151</v>
      </c>
      <c r="AB536" s="1" t="s">
        <v>3330</v>
      </c>
      <c r="AC536" s="1" t="s">
        <v>125</v>
      </c>
      <c r="AD536" s="1">
        <v>8.74</v>
      </c>
      <c r="AE536" s="1" t="s">
        <v>93</v>
      </c>
      <c r="AF536" s="1" t="s">
        <v>10152</v>
      </c>
      <c r="AG536" s="1" t="s">
        <v>10153</v>
      </c>
      <c r="AH536" s="1" t="s">
        <v>131</v>
      </c>
      <c r="AI536" s="1" t="s">
        <v>527</v>
      </c>
      <c r="AJ536" s="1">
        <v>95</v>
      </c>
      <c r="AK536" s="1">
        <v>10</v>
      </c>
      <c r="AL536" s="1" t="s">
        <v>10152</v>
      </c>
      <c r="AM536" s="1" t="s">
        <v>10153</v>
      </c>
      <c r="AN536" s="1" t="s">
        <v>479</v>
      </c>
      <c r="AO536" s="1" t="s">
        <v>166</v>
      </c>
      <c r="AP536" s="1">
        <v>79.8</v>
      </c>
      <c r="AQ536" s="1">
        <v>8.4</v>
      </c>
      <c r="AR536" s="1"/>
      <c r="AS536" s="1"/>
      <c r="AT536" s="1"/>
      <c r="AU536" s="1"/>
      <c r="AV536" s="1"/>
      <c r="AW536" s="1"/>
      <c r="AX536" s="1" t="s">
        <v>10154</v>
      </c>
      <c r="AY536" s="1" t="s">
        <v>10154</v>
      </c>
      <c r="AZ536" s="1" t="s">
        <v>169</v>
      </c>
      <c r="BA536" s="1" t="s">
        <v>1003</v>
      </c>
      <c r="BB536" s="1">
        <v>75.8</v>
      </c>
      <c r="BC536" s="1">
        <v>7.58</v>
      </c>
      <c r="BD536" s="1"/>
      <c r="BE536" s="1"/>
      <c r="BF536" s="1"/>
      <c r="BG536" s="1"/>
      <c r="BH536" s="1"/>
      <c r="BI536" s="1"/>
      <c r="BJ536" s="1" t="s">
        <v>10155</v>
      </c>
      <c r="BK536" s="1" t="s">
        <v>10156</v>
      </c>
      <c r="BL536" s="1" t="s">
        <v>9536</v>
      </c>
      <c r="BM536" s="1" t="s">
        <v>10157</v>
      </c>
      <c r="BN536" s="1">
        <v>12</v>
      </c>
      <c r="BO536" s="1" t="s">
        <v>10158</v>
      </c>
      <c r="BP536" s="1" t="str">
        <f>HYPERLINK("https://nconnect.nicmar.ac.in/storage/profile/ProfilePhoto_P25700493_683249.jpg","Download")</f>
        <v>0</v>
      </c>
      <c r="BQ536" s="3"/>
      <c r="BR536" s="3"/>
    </row>
    <row r="537" spans="1:70">
      <c r="A537" s="1" t="s">
        <v>70</v>
      </c>
      <c r="B537" s="1" t="s">
        <v>1269</v>
      </c>
      <c r="C537" s="1" t="s">
        <v>10159</v>
      </c>
      <c r="D537" s="1" t="s">
        <v>10160</v>
      </c>
      <c r="E537" s="1"/>
      <c r="F537" s="1" t="s">
        <v>4699</v>
      </c>
      <c r="G537" s="1" t="s">
        <v>10161</v>
      </c>
      <c r="H537" s="1" t="s">
        <v>10162</v>
      </c>
      <c r="I537" s="1" t="s">
        <v>10163</v>
      </c>
      <c r="J537" s="1">
        <v>9496041855</v>
      </c>
      <c r="K537" s="1" t="s">
        <v>79</v>
      </c>
      <c r="L537" s="1" t="s">
        <v>10164</v>
      </c>
      <c r="M537" s="1" t="s">
        <v>81</v>
      </c>
      <c r="N537" s="1" t="s">
        <v>10165</v>
      </c>
      <c r="O537" s="1"/>
      <c r="P537" s="1" t="s">
        <v>1278</v>
      </c>
      <c r="Q537" s="1" t="s">
        <v>10166</v>
      </c>
      <c r="R537" s="1" t="s">
        <v>10167</v>
      </c>
      <c r="S537" s="1">
        <v>9446015855</v>
      </c>
      <c r="T537" s="1" t="s">
        <v>120</v>
      </c>
      <c r="U537" s="1" t="s">
        <v>10168</v>
      </c>
      <c r="V537" s="1">
        <v>8547679555</v>
      </c>
      <c r="W537" s="1" t="s">
        <v>120</v>
      </c>
      <c r="X537" s="1" t="s">
        <v>10169</v>
      </c>
      <c r="Y537" s="1" t="s">
        <v>2140</v>
      </c>
      <c r="Z537" s="1" t="s">
        <v>125</v>
      </c>
      <c r="AA537" s="1" t="s">
        <v>10169</v>
      </c>
      <c r="AB537" s="1" t="s">
        <v>2140</v>
      </c>
      <c r="AC537" s="1" t="s">
        <v>125</v>
      </c>
      <c r="AD537" s="1">
        <v>8.74</v>
      </c>
      <c r="AE537" s="1" t="s">
        <v>93</v>
      </c>
      <c r="AF537" s="1" t="s">
        <v>10170</v>
      </c>
      <c r="AG537" s="1" t="s">
        <v>10171</v>
      </c>
      <c r="AH537" s="1" t="s">
        <v>998</v>
      </c>
      <c r="AI537" s="1" t="s">
        <v>96</v>
      </c>
      <c r="AJ537" s="1">
        <v>89.3</v>
      </c>
      <c r="AK537" s="1">
        <v>9.4</v>
      </c>
      <c r="AL537" s="1" t="s">
        <v>10170</v>
      </c>
      <c r="AM537" s="1" t="s">
        <v>10171</v>
      </c>
      <c r="AN537" s="1" t="s">
        <v>161</v>
      </c>
      <c r="AO537" s="1" t="s">
        <v>162</v>
      </c>
      <c r="AP537" s="1">
        <v>81</v>
      </c>
      <c r="AQ537" s="1"/>
      <c r="AR537" s="1"/>
      <c r="AS537" s="1"/>
      <c r="AT537" s="1"/>
      <c r="AU537" s="1"/>
      <c r="AV537" s="1"/>
      <c r="AW537" s="1"/>
      <c r="AX537" s="1" t="s">
        <v>132</v>
      </c>
      <c r="AY537" s="1" t="s">
        <v>10172</v>
      </c>
      <c r="AZ537" s="1" t="s">
        <v>134</v>
      </c>
      <c r="BA537" s="1" t="s">
        <v>2463</v>
      </c>
      <c r="BB537" s="1">
        <v>64.15</v>
      </c>
      <c r="BC537" s="1">
        <v>6.79</v>
      </c>
      <c r="BD537" s="1"/>
      <c r="BE537" s="1"/>
      <c r="BF537" s="1"/>
      <c r="BG537" s="1"/>
      <c r="BH537" s="1"/>
      <c r="BI537" s="1"/>
      <c r="BJ537" s="1" t="s">
        <v>10173</v>
      </c>
      <c r="BK537" s="1"/>
      <c r="BL537" s="1"/>
      <c r="BM537" s="1" t="s">
        <v>10174</v>
      </c>
      <c r="BN537" s="1">
        <v>18</v>
      </c>
      <c r="BO537" s="1" t="s">
        <v>10175</v>
      </c>
      <c r="BP537" s="1" t="str">
        <f>HYPERLINK("https://nconnect.nicmar.ac.in/storage/profile/ProfilePhoto_P25700494_935762.jpg","Download")</f>
        <v>0</v>
      </c>
      <c r="BQ537" s="3"/>
      <c r="BR537" s="3"/>
    </row>
    <row r="538" spans="1:70">
      <c r="A538" s="1" t="s">
        <v>70</v>
      </c>
      <c r="B538" s="1" t="s">
        <v>1269</v>
      </c>
      <c r="C538" s="1" t="s">
        <v>10176</v>
      </c>
      <c r="D538" s="1" t="s">
        <v>2150</v>
      </c>
      <c r="E538" s="1" t="s">
        <v>2289</v>
      </c>
      <c r="F538" s="1" t="s">
        <v>10177</v>
      </c>
      <c r="G538" s="1" t="s">
        <v>10178</v>
      </c>
      <c r="H538" s="1" t="s">
        <v>10179</v>
      </c>
      <c r="I538" s="1" t="s">
        <v>10180</v>
      </c>
      <c r="J538" s="1">
        <v>9637115783</v>
      </c>
      <c r="K538" s="1" t="s">
        <v>79</v>
      </c>
      <c r="L538" s="1" t="s">
        <v>10181</v>
      </c>
      <c r="M538" s="1" t="s">
        <v>81</v>
      </c>
      <c r="N538" s="1" t="s">
        <v>2295</v>
      </c>
      <c r="O538" s="1"/>
      <c r="P538" s="1" t="s">
        <v>1278</v>
      </c>
      <c r="Q538" s="1" t="s">
        <v>10182</v>
      </c>
      <c r="R538" s="1" t="s">
        <v>10183</v>
      </c>
      <c r="S538" s="1">
        <v>8888766765</v>
      </c>
      <c r="T538" s="1" t="s">
        <v>976</v>
      </c>
      <c r="U538" s="1" t="s">
        <v>10184</v>
      </c>
      <c r="V538" s="1">
        <v>9860406011</v>
      </c>
      <c r="W538" s="1" t="s">
        <v>156</v>
      </c>
      <c r="X538" s="1" t="s">
        <v>10185</v>
      </c>
      <c r="Y538" s="1" t="s">
        <v>191</v>
      </c>
      <c r="Z538" s="1" t="s">
        <v>92</v>
      </c>
      <c r="AA538" s="1" t="s">
        <v>10185</v>
      </c>
      <c r="AB538" s="1" t="s">
        <v>191</v>
      </c>
      <c r="AC538" s="1" t="s">
        <v>92</v>
      </c>
      <c r="AD538" s="1">
        <v>7.46</v>
      </c>
      <c r="AE538" s="1" t="s">
        <v>93</v>
      </c>
      <c r="AF538" s="1" t="s">
        <v>10186</v>
      </c>
      <c r="AG538" s="1" t="s">
        <v>10187</v>
      </c>
      <c r="AH538" s="1" t="s">
        <v>3595</v>
      </c>
      <c r="AI538" s="1" t="s">
        <v>165</v>
      </c>
      <c r="AJ538" s="1">
        <v>80.2</v>
      </c>
      <c r="AK538" s="1">
        <v>8.6</v>
      </c>
      <c r="AL538" s="1"/>
      <c r="AM538" s="1"/>
      <c r="AN538" s="1"/>
      <c r="AO538" s="1"/>
      <c r="AP538" s="1"/>
      <c r="AQ538" s="1"/>
      <c r="AR538" s="1" t="s">
        <v>98</v>
      </c>
      <c r="AS538" s="1" t="s">
        <v>10188</v>
      </c>
      <c r="AT538" s="1" t="s">
        <v>6279</v>
      </c>
      <c r="AU538" s="1" t="s">
        <v>699</v>
      </c>
      <c r="AV538" s="1">
        <v>71.79</v>
      </c>
      <c r="AW538" s="1"/>
      <c r="AX538" s="1" t="s">
        <v>10189</v>
      </c>
      <c r="AY538" s="1" t="s">
        <v>10190</v>
      </c>
      <c r="AZ538" s="1" t="s">
        <v>920</v>
      </c>
      <c r="BA538" s="1" t="s">
        <v>10191</v>
      </c>
      <c r="BB538" s="1">
        <v>72.09</v>
      </c>
      <c r="BC538" s="1">
        <v>8.1</v>
      </c>
      <c r="BD538" s="1"/>
      <c r="BE538" s="1"/>
      <c r="BF538" s="1"/>
      <c r="BG538" s="1"/>
      <c r="BH538" s="1"/>
      <c r="BI538" s="1"/>
      <c r="BJ538" s="1" t="s">
        <v>4112</v>
      </c>
      <c r="BK538" s="1" t="s">
        <v>10192</v>
      </c>
      <c r="BL538" s="1" t="s">
        <v>484</v>
      </c>
      <c r="BM538" s="1"/>
      <c r="BN538" s="1"/>
      <c r="BO538" s="1"/>
      <c r="BP538" s="1" t="str">
        <f>HYPERLINK("https://nconnect.nicmar.ac.in/storage/profile/ProfilePhoto_P25700495_845126.jpg","Download")</f>
        <v>0</v>
      </c>
      <c r="BQ538" s="3"/>
      <c r="BR538" s="3"/>
    </row>
    <row r="539" spans="1:70">
      <c r="A539" s="1" t="s">
        <v>70</v>
      </c>
      <c r="B539" s="1" t="s">
        <v>1269</v>
      </c>
      <c r="C539" s="1" t="s">
        <v>10193</v>
      </c>
      <c r="D539" s="1" t="s">
        <v>10194</v>
      </c>
      <c r="E539" s="1" t="s">
        <v>7243</v>
      </c>
      <c r="F539" s="1" t="s">
        <v>10195</v>
      </c>
      <c r="G539" s="1" t="s">
        <v>10196</v>
      </c>
      <c r="H539" s="1" t="s">
        <v>10197</v>
      </c>
      <c r="I539" s="1" t="s">
        <v>10198</v>
      </c>
      <c r="J539" s="1">
        <v>7558471099</v>
      </c>
      <c r="K539" s="1" t="s">
        <v>79</v>
      </c>
      <c r="L539" s="1" t="s">
        <v>10199</v>
      </c>
      <c r="M539" s="1" t="s">
        <v>81</v>
      </c>
      <c r="N539" s="1" t="s">
        <v>10200</v>
      </c>
      <c r="O539" s="1"/>
      <c r="P539" s="1"/>
      <c r="Q539" s="1" t="s">
        <v>10201</v>
      </c>
      <c r="R539" s="1" t="s">
        <v>7243</v>
      </c>
      <c r="S539" s="1">
        <v>9421418121</v>
      </c>
      <c r="T539" s="1" t="s">
        <v>842</v>
      </c>
      <c r="U539" s="1" t="s">
        <v>10202</v>
      </c>
      <c r="V539" s="1">
        <v>9405107811</v>
      </c>
      <c r="W539" s="1" t="s">
        <v>89</v>
      </c>
      <c r="X539" s="1" t="s">
        <v>10203</v>
      </c>
      <c r="Y539" s="1" t="s">
        <v>191</v>
      </c>
      <c r="Z539" s="1" t="s">
        <v>92</v>
      </c>
      <c r="AA539" s="1" t="s">
        <v>10204</v>
      </c>
      <c r="AB539" s="1" t="s">
        <v>91</v>
      </c>
      <c r="AC539" s="1" t="s">
        <v>92</v>
      </c>
      <c r="AD539" s="1">
        <v>8.49</v>
      </c>
      <c r="AE539" s="1" t="s">
        <v>93</v>
      </c>
      <c r="AF539" s="1" t="s">
        <v>10205</v>
      </c>
      <c r="AG539" s="1" t="s">
        <v>10206</v>
      </c>
      <c r="AH539" s="1" t="s">
        <v>97</v>
      </c>
      <c r="AI539" s="1" t="s">
        <v>456</v>
      </c>
      <c r="AJ539" s="1">
        <v>88.2</v>
      </c>
      <c r="AK539" s="1"/>
      <c r="AL539" s="1" t="s">
        <v>10207</v>
      </c>
      <c r="AM539" s="1" t="s">
        <v>10206</v>
      </c>
      <c r="AN539" s="1" t="s">
        <v>457</v>
      </c>
      <c r="AO539" s="1" t="s">
        <v>198</v>
      </c>
      <c r="AP539" s="1">
        <v>60</v>
      </c>
      <c r="AQ539" s="1"/>
      <c r="AR539" s="1"/>
      <c r="AS539" s="1"/>
      <c r="AT539" s="1"/>
      <c r="AU539" s="1"/>
      <c r="AV539" s="1"/>
      <c r="AW539" s="1"/>
      <c r="AX539" s="1" t="s">
        <v>10208</v>
      </c>
      <c r="AY539" s="1" t="s">
        <v>10209</v>
      </c>
      <c r="AZ539" s="1" t="s">
        <v>201</v>
      </c>
      <c r="BA539" s="1" t="s">
        <v>682</v>
      </c>
      <c r="BB539" s="1">
        <v>72.3</v>
      </c>
      <c r="BC539" s="1">
        <v>7.98</v>
      </c>
      <c r="BD539" s="1"/>
      <c r="BE539" s="1"/>
      <c r="BF539" s="1"/>
      <c r="BG539" s="1"/>
      <c r="BH539" s="1"/>
      <c r="BI539" s="1"/>
      <c r="BJ539" s="1" t="s">
        <v>1715</v>
      </c>
      <c r="BK539" s="1" t="s">
        <v>10210</v>
      </c>
      <c r="BL539" s="1" t="s">
        <v>1629</v>
      </c>
      <c r="BM539" s="1" t="s">
        <v>10211</v>
      </c>
      <c r="BN539" s="1">
        <v>8</v>
      </c>
      <c r="BO539" s="1" t="s">
        <v>10212</v>
      </c>
      <c r="BP539" s="1" t="str">
        <f>HYPERLINK("https://nconnect.nicmar.ac.in/storage/profile/ProfilePhoto_P25700496_421673.jpg","Download")</f>
        <v>0</v>
      </c>
      <c r="BQ539" s="3"/>
      <c r="BR539" s="3"/>
    </row>
    <row r="540" spans="1:70">
      <c r="A540" s="1" t="s">
        <v>70</v>
      </c>
      <c r="B540" s="1" t="s">
        <v>1269</v>
      </c>
      <c r="C540" s="1" t="s">
        <v>10213</v>
      </c>
      <c r="D540" s="1" t="s">
        <v>343</v>
      </c>
      <c r="E540" s="1"/>
      <c r="F540" s="1" t="s">
        <v>10214</v>
      </c>
      <c r="G540" s="1" t="s">
        <v>10215</v>
      </c>
      <c r="H540" s="1" t="s">
        <v>10216</v>
      </c>
      <c r="I540" s="1" t="s">
        <v>10217</v>
      </c>
      <c r="J540" s="1">
        <v>6303601977</v>
      </c>
      <c r="K540" s="1" t="s">
        <v>79</v>
      </c>
      <c r="L540" s="1" t="s">
        <v>10218</v>
      </c>
      <c r="M540" s="1" t="s">
        <v>81</v>
      </c>
      <c r="N540" s="1" t="s">
        <v>9027</v>
      </c>
      <c r="O540" s="1"/>
      <c r="P540" s="1"/>
      <c r="Q540" s="1" t="s">
        <v>10219</v>
      </c>
      <c r="R540" s="1" t="s">
        <v>10220</v>
      </c>
      <c r="S540" s="1">
        <v>9440414965</v>
      </c>
      <c r="T540" s="1" t="s">
        <v>910</v>
      </c>
      <c r="U540" s="1" t="s">
        <v>10221</v>
      </c>
      <c r="V540" s="1">
        <v>9182069742</v>
      </c>
      <c r="W540" s="1" t="s">
        <v>651</v>
      </c>
      <c r="X540" s="1" t="s">
        <v>10222</v>
      </c>
      <c r="Y540" s="1" t="s">
        <v>1150</v>
      </c>
      <c r="Z540" s="1" t="s">
        <v>276</v>
      </c>
      <c r="AA540" s="1" t="s">
        <v>10222</v>
      </c>
      <c r="AB540" s="1" t="s">
        <v>1150</v>
      </c>
      <c r="AC540" s="1" t="s">
        <v>276</v>
      </c>
      <c r="AD540" s="1">
        <v>8.26</v>
      </c>
      <c r="AE540" s="1" t="s">
        <v>93</v>
      </c>
      <c r="AF540" s="1" t="s">
        <v>10223</v>
      </c>
      <c r="AG540" s="1" t="s">
        <v>10224</v>
      </c>
      <c r="AH540" s="1" t="s">
        <v>166</v>
      </c>
      <c r="AI540" s="1" t="s">
        <v>308</v>
      </c>
      <c r="AJ540" s="1">
        <v>68.4</v>
      </c>
      <c r="AK540" s="1"/>
      <c r="AL540" s="1" t="s">
        <v>10225</v>
      </c>
      <c r="AM540" s="1" t="s">
        <v>10226</v>
      </c>
      <c r="AN540" s="1" t="s">
        <v>433</v>
      </c>
      <c r="AO540" s="1" t="s">
        <v>173</v>
      </c>
      <c r="AP540" s="1">
        <v>88.9</v>
      </c>
      <c r="AQ540" s="1"/>
      <c r="AR540" s="1"/>
      <c r="AS540" s="1"/>
      <c r="AT540" s="1"/>
      <c r="AU540" s="1"/>
      <c r="AV540" s="1"/>
      <c r="AW540" s="1"/>
      <c r="AX540" s="1" t="s">
        <v>10227</v>
      </c>
      <c r="AY540" s="1" t="s">
        <v>10228</v>
      </c>
      <c r="AZ540" s="1" t="s">
        <v>1051</v>
      </c>
      <c r="BA540" s="1" t="s">
        <v>1714</v>
      </c>
      <c r="BB540" s="1">
        <v>63</v>
      </c>
      <c r="BC540" s="1">
        <v>7.05</v>
      </c>
      <c r="BD540" s="1"/>
      <c r="BE540" s="1"/>
      <c r="BF540" s="1"/>
      <c r="BG540" s="1"/>
      <c r="BH540" s="1"/>
      <c r="BI540" s="1"/>
      <c r="BJ540" s="1" t="s">
        <v>6758</v>
      </c>
      <c r="BK540" s="1"/>
      <c r="BL540" s="1"/>
      <c r="BM540" s="1" t="s">
        <v>10229</v>
      </c>
      <c r="BN540" s="1">
        <v>37</v>
      </c>
      <c r="BO540" s="1" t="s">
        <v>10230</v>
      </c>
      <c r="BP540" s="1" t="str">
        <f>HYPERLINK("https://nconnect.nicmar.ac.in/storage/profile/ProfilePhoto_P25700497_461735.jpg","Download")</f>
        <v>0</v>
      </c>
      <c r="BQ540" s="3"/>
      <c r="BR540" s="3"/>
    </row>
    <row r="541" spans="1:70">
      <c r="A541" s="1" t="s">
        <v>70</v>
      </c>
      <c r="B541" s="1" t="s">
        <v>1269</v>
      </c>
      <c r="C541" s="1" t="s">
        <v>10231</v>
      </c>
      <c r="D541" s="1" t="s">
        <v>4153</v>
      </c>
      <c r="E541" s="1"/>
      <c r="F541" s="1" t="s">
        <v>10232</v>
      </c>
      <c r="G541" s="1" t="s">
        <v>10233</v>
      </c>
      <c r="H541" s="1" t="s">
        <v>10234</v>
      </c>
      <c r="I541" s="1" t="s">
        <v>10235</v>
      </c>
      <c r="J541" s="1">
        <v>7008400781</v>
      </c>
      <c r="K541" s="1" t="s">
        <v>79</v>
      </c>
      <c r="L541" s="1" t="s">
        <v>10236</v>
      </c>
      <c r="M541" s="1" t="s">
        <v>81</v>
      </c>
      <c r="N541" s="1" t="s">
        <v>1724</v>
      </c>
      <c r="O541" s="1"/>
      <c r="P541" s="1" t="s">
        <v>1298</v>
      </c>
      <c r="Q541" s="1" t="s">
        <v>10237</v>
      </c>
      <c r="R541" s="1" t="s">
        <v>10238</v>
      </c>
      <c r="S541" s="1">
        <v>9668601082</v>
      </c>
      <c r="T541" s="1" t="s">
        <v>10239</v>
      </c>
      <c r="U541" s="1" t="s">
        <v>10240</v>
      </c>
      <c r="V541" s="1">
        <v>9777995200</v>
      </c>
      <c r="W541" s="1" t="s">
        <v>156</v>
      </c>
      <c r="X541" s="1" t="s">
        <v>10241</v>
      </c>
      <c r="Y541" s="1" t="s">
        <v>10242</v>
      </c>
      <c r="Z541" s="1" t="s">
        <v>1731</v>
      </c>
      <c r="AA541" s="1" t="s">
        <v>10241</v>
      </c>
      <c r="AB541" s="1" t="s">
        <v>10242</v>
      </c>
      <c r="AC541" s="1" t="s">
        <v>1731</v>
      </c>
      <c r="AD541" s="1">
        <v>7.82</v>
      </c>
      <c r="AE541" s="1" t="s">
        <v>93</v>
      </c>
      <c r="AF541" s="1" t="s">
        <v>10243</v>
      </c>
      <c r="AG541" s="1" t="s">
        <v>10244</v>
      </c>
      <c r="AH541" s="1" t="s">
        <v>279</v>
      </c>
      <c r="AI541" s="1" t="s">
        <v>195</v>
      </c>
      <c r="AJ541" s="1">
        <v>95</v>
      </c>
      <c r="AK541" s="1">
        <v>10</v>
      </c>
      <c r="AL541" s="1" t="s">
        <v>10243</v>
      </c>
      <c r="AM541" s="1" t="s">
        <v>10244</v>
      </c>
      <c r="AN541" s="1" t="s">
        <v>166</v>
      </c>
      <c r="AO541" s="1" t="s">
        <v>1065</v>
      </c>
      <c r="AP541" s="1">
        <v>61.2</v>
      </c>
      <c r="AQ541" s="1"/>
      <c r="AR541" s="1"/>
      <c r="AS541" s="1"/>
      <c r="AT541" s="1"/>
      <c r="AU541" s="1"/>
      <c r="AV541" s="1"/>
      <c r="AW541" s="1"/>
      <c r="AX541" s="1" t="s">
        <v>10245</v>
      </c>
      <c r="AY541" s="1" t="s">
        <v>10246</v>
      </c>
      <c r="AZ541" s="1" t="s">
        <v>436</v>
      </c>
      <c r="BA541" s="1" t="s">
        <v>1361</v>
      </c>
      <c r="BB541" s="1">
        <v>66.9</v>
      </c>
      <c r="BC541" s="1">
        <v>7.19</v>
      </c>
      <c r="BD541" s="1"/>
      <c r="BE541" s="1"/>
      <c r="BF541" s="1"/>
      <c r="BG541" s="1"/>
      <c r="BH541" s="1"/>
      <c r="BI541" s="1"/>
      <c r="BJ541" s="1" t="s">
        <v>10247</v>
      </c>
      <c r="BK541" s="1"/>
      <c r="BL541" s="1"/>
      <c r="BM541" s="1" t="s">
        <v>10248</v>
      </c>
      <c r="BN541" s="1">
        <v>17</v>
      </c>
      <c r="BO541" s="1" t="s">
        <v>10249</v>
      </c>
      <c r="BP541" s="1" t="str">
        <f>HYPERLINK("https://nconnect.nicmar.ac.in/storage/profile/ProfilePhoto_P25700498_498652.jpg","Download")</f>
        <v>0</v>
      </c>
      <c r="BQ541" s="3"/>
      <c r="BR541" s="3"/>
    </row>
    <row r="542" spans="1:70">
      <c r="A542" s="1" t="s">
        <v>70</v>
      </c>
      <c r="B542" s="1" t="s">
        <v>1269</v>
      </c>
      <c r="C542" s="1" t="s">
        <v>10250</v>
      </c>
      <c r="D542" s="1" t="s">
        <v>10251</v>
      </c>
      <c r="E542" s="1" t="s">
        <v>596</v>
      </c>
      <c r="F542" s="1" t="s">
        <v>10252</v>
      </c>
      <c r="G542" s="1" t="s">
        <v>10253</v>
      </c>
      <c r="H542" s="1" t="s">
        <v>10254</v>
      </c>
      <c r="I542" s="1" t="s">
        <v>10255</v>
      </c>
      <c r="J542" s="1">
        <v>9699447311</v>
      </c>
      <c r="K542" s="1" t="s">
        <v>79</v>
      </c>
      <c r="L542" s="1" t="s">
        <v>10256</v>
      </c>
      <c r="M542" s="1" t="s">
        <v>150</v>
      </c>
      <c r="N542" s="1" t="s">
        <v>7222</v>
      </c>
      <c r="O542" s="1"/>
      <c r="P542" s="1" t="s">
        <v>1278</v>
      </c>
      <c r="Q542" s="1" t="s">
        <v>10257</v>
      </c>
      <c r="R542" s="1" t="s">
        <v>10258</v>
      </c>
      <c r="S542" s="1">
        <v>9321555715</v>
      </c>
      <c r="T542" s="1" t="s">
        <v>10259</v>
      </c>
      <c r="U542" s="1" t="s">
        <v>10260</v>
      </c>
      <c r="V542" s="1">
        <v>8446346783</v>
      </c>
      <c r="W542" s="1" t="s">
        <v>156</v>
      </c>
      <c r="X542" s="1" t="s">
        <v>10261</v>
      </c>
      <c r="Y542" s="1" t="s">
        <v>5080</v>
      </c>
      <c r="Z542" s="1" t="s">
        <v>92</v>
      </c>
      <c r="AA542" s="1" t="s">
        <v>10261</v>
      </c>
      <c r="AB542" s="1" t="s">
        <v>5080</v>
      </c>
      <c r="AC542" s="1" t="s">
        <v>92</v>
      </c>
      <c r="AD542" s="1">
        <v>7.84</v>
      </c>
      <c r="AE542" s="1" t="s">
        <v>93</v>
      </c>
      <c r="AF542" s="1" t="s">
        <v>10262</v>
      </c>
      <c r="AG542" s="1" t="s">
        <v>10263</v>
      </c>
      <c r="AH542" s="1" t="s">
        <v>128</v>
      </c>
      <c r="AI542" s="1" t="s">
        <v>998</v>
      </c>
      <c r="AJ542" s="1">
        <v>74.91</v>
      </c>
      <c r="AK542" s="1"/>
      <c r="AL542" s="1" t="s">
        <v>10264</v>
      </c>
      <c r="AM542" s="1" t="s">
        <v>10263</v>
      </c>
      <c r="AN542" s="1" t="s">
        <v>96</v>
      </c>
      <c r="AO542" s="1" t="s">
        <v>161</v>
      </c>
      <c r="AP542" s="1">
        <v>53.23</v>
      </c>
      <c r="AQ542" s="1"/>
      <c r="AR542" s="1" t="s">
        <v>98</v>
      </c>
      <c r="AS542" s="1" t="s">
        <v>10263</v>
      </c>
      <c r="AT542" s="1" t="s">
        <v>100</v>
      </c>
      <c r="AU542" s="1" t="s">
        <v>165</v>
      </c>
      <c r="AV542" s="1">
        <v>75</v>
      </c>
      <c r="AW542" s="1"/>
      <c r="AX542" s="1" t="s">
        <v>1024</v>
      </c>
      <c r="AY542" s="1" t="s">
        <v>10263</v>
      </c>
      <c r="AZ542" s="1" t="s">
        <v>225</v>
      </c>
      <c r="BA542" s="1" t="s">
        <v>170</v>
      </c>
      <c r="BB542" s="1">
        <v>67.43</v>
      </c>
      <c r="BC542" s="1">
        <v>7.49</v>
      </c>
      <c r="BD542" s="1"/>
      <c r="BE542" s="1"/>
      <c r="BF542" s="1"/>
      <c r="BG542" s="1"/>
      <c r="BH542" s="1"/>
      <c r="BI542" s="1"/>
      <c r="BJ542" s="1" t="s">
        <v>364</v>
      </c>
      <c r="BK542" s="1" t="s">
        <v>10265</v>
      </c>
      <c r="BL542" s="1" t="s">
        <v>10266</v>
      </c>
      <c r="BM542" s="1" t="s">
        <v>10267</v>
      </c>
      <c r="BN542" s="1">
        <v>9</v>
      </c>
      <c r="BO542" s="1" t="s">
        <v>10268</v>
      </c>
      <c r="BP542" s="1" t="str">
        <f>HYPERLINK("https://nconnect.nicmar.ac.in/storage/profile/ProfilePhoto_P25700499_582613.jpg","Download")</f>
        <v>0</v>
      </c>
      <c r="BQ542" s="3"/>
      <c r="BR542" s="3"/>
    </row>
    <row r="543" spans="1:70">
      <c r="A543" s="1" t="s">
        <v>70</v>
      </c>
      <c r="B543" s="1" t="s">
        <v>1269</v>
      </c>
      <c r="C543" s="1" t="s">
        <v>10269</v>
      </c>
      <c r="D543" s="1" t="s">
        <v>10270</v>
      </c>
      <c r="E543" s="1"/>
      <c r="F543" s="1" t="s">
        <v>10271</v>
      </c>
      <c r="G543" s="1" t="s">
        <v>10272</v>
      </c>
      <c r="H543" s="1" t="s">
        <v>10273</v>
      </c>
      <c r="I543" s="1" t="s">
        <v>10274</v>
      </c>
      <c r="J543" s="1">
        <v>8019699355</v>
      </c>
      <c r="K543" s="1" t="s">
        <v>79</v>
      </c>
      <c r="L543" s="1" t="s">
        <v>10275</v>
      </c>
      <c r="M543" s="1" t="s">
        <v>81</v>
      </c>
      <c r="N543" s="1" t="s">
        <v>9027</v>
      </c>
      <c r="O543" s="1"/>
      <c r="P543" s="1" t="s">
        <v>1298</v>
      </c>
      <c r="Q543" s="1" t="s">
        <v>10276</v>
      </c>
      <c r="R543" s="1" t="s">
        <v>10277</v>
      </c>
      <c r="S543" s="1">
        <v>8008640029</v>
      </c>
      <c r="T543" s="1" t="s">
        <v>154</v>
      </c>
      <c r="U543" s="1" t="s">
        <v>10278</v>
      </c>
      <c r="V543" s="1">
        <v>9494754174</v>
      </c>
      <c r="W543" s="1" t="s">
        <v>273</v>
      </c>
      <c r="X543" s="1" t="s">
        <v>10279</v>
      </c>
      <c r="Y543" s="1" t="s">
        <v>4265</v>
      </c>
      <c r="Z543" s="1" t="s">
        <v>276</v>
      </c>
      <c r="AA543" s="1" t="s">
        <v>10279</v>
      </c>
      <c r="AB543" s="1" t="s">
        <v>4265</v>
      </c>
      <c r="AC543" s="1" t="s">
        <v>276</v>
      </c>
      <c r="AD543" s="1">
        <v>8.74</v>
      </c>
      <c r="AE543" s="1" t="s">
        <v>93</v>
      </c>
      <c r="AF543" s="1" t="s">
        <v>10280</v>
      </c>
      <c r="AG543" s="1" t="s">
        <v>3125</v>
      </c>
      <c r="AH543" s="1" t="s">
        <v>165</v>
      </c>
      <c r="AI543" s="1" t="s">
        <v>101</v>
      </c>
      <c r="AJ543" s="1">
        <v>98</v>
      </c>
      <c r="AK543" s="1">
        <v>9.8</v>
      </c>
      <c r="AL543" s="1" t="s">
        <v>10281</v>
      </c>
      <c r="AM543" s="1" t="s">
        <v>1154</v>
      </c>
      <c r="AN543" s="1" t="s">
        <v>101</v>
      </c>
      <c r="AO543" s="1" t="s">
        <v>699</v>
      </c>
      <c r="AP543" s="1">
        <v>96.2</v>
      </c>
      <c r="AQ543" s="1">
        <v>9.88</v>
      </c>
      <c r="AR543" s="1"/>
      <c r="AS543" s="1"/>
      <c r="AT543" s="1"/>
      <c r="AU543" s="1"/>
      <c r="AV543" s="1"/>
      <c r="AW543" s="1"/>
      <c r="AX543" s="1" t="s">
        <v>10282</v>
      </c>
      <c r="AY543" s="1" t="s">
        <v>10283</v>
      </c>
      <c r="AZ543" s="1" t="s">
        <v>363</v>
      </c>
      <c r="BA543" s="1" t="s">
        <v>413</v>
      </c>
      <c r="BB543" s="1">
        <v>73.3</v>
      </c>
      <c r="BC543" s="1">
        <v>7.83</v>
      </c>
      <c r="BD543" s="1"/>
      <c r="BE543" s="1"/>
      <c r="BF543" s="1"/>
      <c r="BG543" s="1"/>
      <c r="BH543" s="1"/>
      <c r="BI543" s="1"/>
      <c r="BJ543" s="1" t="s">
        <v>10284</v>
      </c>
      <c r="BK543" s="1" t="s">
        <v>10285</v>
      </c>
      <c r="BL543" s="1" t="s">
        <v>1920</v>
      </c>
      <c r="BM543" s="1" t="s">
        <v>10286</v>
      </c>
      <c r="BN543" s="1">
        <v>12</v>
      </c>
      <c r="BO543" s="1" t="s">
        <v>10287</v>
      </c>
      <c r="BP543" s="1" t="str">
        <f>HYPERLINK("https://nconnect.nicmar.ac.in/storage/profile/ProfilePhoto_P25700500_496237.jpg","Download")</f>
        <v>0</v>
      </c>
      <c r="BQ543" s="3"/>
      <c r="BR543" s="3"/>
    </row>
    <row r="544" spans="1:70">
      <c r="A544" s="1" t="s">
        <v>70</v>
      </c>
      <c r="B544" s="1" t="s">
        <v>1269</v>
      </c>
      <c r="C544" s="1" t="s">
        <v>10288</v>
      </c>
      <c r="D544" s="1" t="s">
        <v>10289</v>
      </c>
      <c r="E544" s="1" t="s">
        <v>10290</v>
      </c>
      <c r="F544" s="1" t="s">
        <v>10291</v>
      </c>
      <c r="G544" s="1" t="s">
        <v>10292</v>
      </c>
      <c r="H544" s="1" t="s">
        <v>10293</v>
      </c>
      <c r="I544" s="1" t="s">
        <v>10294</v>
      </c>
      <c r="J544" s="1">
        <v>8790404862</v>
      </c>
      <c r="K544" s="1" t="s">
        <v>79</v>
      </c>
      <c r="L544" s="1" t="s">
        <v>9149</v>
      </c>
      <c r="M544" s="1" t="s">
        <v>81</v>
      </c>
      <c r="N544" s="1" t="s">
        <v>10295</v>
      </c>
      <c r="O544" s="1"/>
      <c r="P544" s="1" t="s">
        <v>1323</v>
      </c>
      <c r="Q544" s="1" t="s">
        <v>10296</v>
      </c>
      <c r="R544" s="1" t="s">
        <v>10297</v>
      </c>
      <c r="S544" s="1">
        <v>8341194093</v>
      </c>
      <c r="T544" s="1" t="s">
        <v>10298</v>
      </c>
      <c r="U544" s="1" t="s">
        <v>10299</v>
      </c>
      <c r="V544" s="1">
        <v>9704636806</v>
      </c>
      <c r="W544" s="1" t="s">
        <v>10300</v>
      </c>
      <c r="X544" s="1" t="s">
        <v>10301</v>
      </c>
      <c r="Y544" s="1" t="s">
        <v>608</v>
      </c>
      <c r="Z544" s="1" t="s">
        <v>609</v>
      </c>
      <c r="AA544" s="1" t="s">
        <v>10301</v>
      </c>
      <c r="AB544" s="1" t="s">
        <v>608</v>
      </c>
      <c r="AC544" s="1" t="s">
        <v>609</v>
      </c>
      <c r="AD544" s="1">
        <v>7.31</v>
      </c>
      <c r="AE544" s="1" t="s">
        <v>93</v>
      </c>
      <c r="AF544" s="1" t="s">
        <v>10302</v>
      </c>
      <c r="AG544" s="1" t="s">
        <v>611</v>
      </c>
      <c r="AH544" s="1" t="s">
        <v>165</v>
      </c>
      <c r="AI544" s="1" t="s">
        <v>281</v>
      </c>
      <c r="AJ544" s="1">
        <v>82</v>
      </c>
      <c r="AK544" s="1">
        <v>8.2</v>
      </c>
      <c r="AL544" s="1" t="s">
        <v>612</v>
      </c>
      <c r="AM544" s="1" t="s">
        <v>613</v>
      </c>
      <c r="AN544" s="1" t="s">
        <v>101</v>
      </c>
      <c r="AO544" s="1" t="s">
        <v>941</v>
      </c>
      <c r="AP544" s="1">
        <v>65.9</v>
      </c>
      <c r="AQ544" s="1">
        <v>0</v>
      </c>
      <c r="AR544" s="1"/>
      <c r="AS544" s="1"/>
      <c r="AT544" s="1"/>
      <c r="AU544" s="1"/>
      <c r="AV544" s="1"/>
      <c r="AW544" s="1"/>
      <c r="AX544" s="1" t="s">
        <v>10303</v>
      </c>
      <c r="AY544" s="1" t="s">
        <v>10304</v>
      </c>
      <c r="AZ544" s="1" t="s">
        <v>699</v>
      </c>
      <c r="BA544" s="1" t="s">
        <v>9347</v>
      </c>
      <c r="BB544" s="1">
        <v>57.77</v>
      </c>
      <c r="BC544" s="1">
        <v>6.3</v>
      </c>
      <c r="BD544" s="1"/>
      <c r="BE544" s="1"/>
      <c r="BF544" s="1"/>
      <c r="BG544" s="1"/>
      <c r="BH544" s="1"/>
      <c r="BI544" s="1"/>
      <c r="BJ544" s="1" t="s">
        <v>10305</v>
      </c>
      <c r="BK544" s="1"/>
      <c r="BL544" s="1"/>
      <c r="BM544" s="1" t="s">
        <v>10306</v>
      </c>
      <c r="BN544" s="1">
        <v>26</v>
      </c>
      <c r="BO544" s="1" t="s">
        <v>10307</v>
      </c>
      <c r="BP544" s="1" t="str">
        <f>HYPERLINK("https://nconnect.nicmar.ac.in/storage/profile/ProfilePhoto_P25700501_931728.jpg","Download")</f>
        <v>0</v>
      </c>
      <c r="BQ544" s="3"/>
      <c r="BR544" s="3"/>
    </row>
    <row r="545" spans="1:70">
      <c r="A545" s="1" t="s">
        <v>70</v>
      </c>
      <c r="B545" s="1" t="s">
        <v>1269</v>
      </c>
      <c r="C545" s="1" t="s">
        <v>10308</v>
      </c>
      <c r="D545" s="1" t="s">
        <v>10309</v>
      </c>
      <c r="E545" s="1" t="s">
        <v>10310</v>
      </c>
      <c r="F545" s="1" t="s">
        <v>10311</v>
      </c>
      <c r="G545" s="1" t="s">
        <v>10312</v>
      </c>
      <c r="H545" s="1" t="s">
        <v>10313</v>
      </c>
      <c r="I545" s="1" t="s">
        <v>10314</v>
      </c>
      <c r="J545" s="1">
        <v>6363192809</v>
      </c>
      <c r="K545" s="1" t="s">
        <v>79</v>
      </c>
      <c r="L545" s="1" t="s">
        <v>10315</v>
      </c>
      <c r="M545" s="1" t="s">
        <v>81</v>
      </c>
      <c r="N545" s="1" t="s">
        <v>1951</v>
      </c>
      <c r="O545" s="1"/>
      <c r="P545" s="1" t="s">
        <v>1323</v>
      </c>
      <c r="Q545" s="1" t="s">
        <v>10316</v>
      </c>
      <c r="R545" s="1" t="s">
        <v>10317</v>
      </c>
      <c r="S545" s="1">
        <v>7795257731</v>
      </c>
      <c r="T545" s="1" t="s">
        <v>496</v>
      </c>
      <c r="U545" s="1" t="s">
        <v>10318</v>
      </c>
      <c r="V545" s="1">
        <v>8971620131</v>
      </c>
      <c r="W545" s="1" t="s">
        <v>273</v>
      </c>
      <c r="X545" s="1" t="s">
        <v>10319</v>
      </c>
      <c r="Y545" s="1" t="s">
        <v>4771</v>
      </c>
      <c r="Z545" s="1" t="s">
        <v>1084</v>
      </c>
      <c r="AA545" s="1" t="s">
        <v>10319</v>
      </c>
      <c r="AB545" s="1" t="s">
        <v>4771</v>
      </c>
      <c r="AC545" s="1" t="s">
        <v>1084</v>
      </c>
      <c r="AD545" s="1">
        <v>7.14</v>
      </c>
      <c r="AE545" s="1" t="s">
        <v>93</v>
      </c>
      <c r="AF545" s="1" t="s">
        <v>10320</v>
      </c>
      <c r="AG545" s="1" t="s">
        <v>10321</v>
      </c>
      <c r="AH545" s="1" t="s">
        <v>162</v>
      </c>
      <c r="AI545" s="1" t="s">
        <v>479</v>
      </c>
      <c r="AJ545" s="1">
        <v>79.68</v>
      </c>
      <c r="AK545" s="1"/>
      <c r="AL545" s="1" t="s">
        <v>10322</v>
      </c>
      <c r="AM545" s="1" t="s">
        <v>10321</v>
      </c>
      <c r="AN545" s="1" t="s">
        <v>225</v>
      </c>
      <c r="AO545" s="1" t="s">
        <v>1065</v>
      </c>
      <c r="AP545" s="1">
        <v>74.66</v>
      </c>
      <c r="AQ545" s="1"/>
      <c r="AR545" s="1"/>
      <c r="AS545" s="1"/>
      <c r="AT545" s="1"/>
      <c r="AU545" s="1"/>
      <c r="AV545" s="1"/>
      <c r="AW545" s="1"/>
      <c r="AX545" s="1" t="s">
        <v>10323</v>
      </c>
      <c r="AY545" s="1" t="s">
        <v>10324</v>
      </c>
      <c r="AZ545" s="1" t="s">
        <v>104</v>
      </c>
      <c r="BA545" s="1" t="s">
        <v>413</v>
      </c>
      <c r="BB545" s="1">
        <v>66.8</v>
      </c>
      <c r="BC545" s="1">
        <v>7.43</v>
      </c>
      <c r="BD545" s="1"/>
      <c r="BE545" s="1"/>
      <c r="BF545" s="1"/>
      <c r="BG545" s="1"/>
      <c r="BH545" s="1"/>
      <c r="BI545" s="1"/>
      <c r="BJ545" s="1" t="s">
        <v>10325</v>
      </c>
      <c r="BK545" s="1" t="s">
        <v>10326</v>
      </c>
      <c r="BL545" s="1" t="s">
        <v>1475</v>
      </c>
      <c r="BM545" s="1" t="s">
        <v>10327</v>
      </c>
      <c r="BN545" s="1">
        <v>42</v>
      </c>
      <c r="BO545" s="1"/>
      <c r="BP545" s="1" t="str">
        <f>HYPERLINK("https://nconnect.nicmar.ac.in/storage/profile/ProfilePhoto_P25700502_714592.jpg","Download")</f>
        <v>0</v>
      </c>
      <c r="BQ545" s="3"/>
      <c r="BR545" s="3"/>
    </row>
    <row r="546" spans="1:70">
      <c r="A546" s="1" t="s">
        <v>70</v>
      </c>
      <c r="B546" s="1" t="s">
        <v>1269</v>
      </c>
      <c r="C546" s="1" t="s">
        <v>10328</v>
      </c>
      <c r="D546" s="1" t="s">
        <v>10329</v>
      </c>
      <c r="E546" s="1"/>
      <c r="F546" s="1" t="s">
        <v>5565</v>
      </c>
      <c r="G546" s="1" t="s">
        <v>10330</v>
      </c>
      <c r="H546" s="1" t="s">
        <v>10331</v>
      </c>
      <c r="I546" s="1" t="s">
        <v>10332</v>
      </c>
      <c r="J546" s="1">
        <v>9791895523</v>
      </c>
      <c r="K546" s="1" t="s">
        <v>79</v>
      </c>
      <c r="L546" s="1" t="s">
        <v>10333</v>
      </c>
      <c r="M546" s="1" t="s">
        <v>81</v>
      </c>
      <c r="N546" s="1" t="s">
        <v>3139</v>
      </c>
      <c r="O546" s="1"/>
      <c r="P546" s="1" t="s">
        <v>1278</v>
      </c>
      <c r="Q546" s="1" t="s">
        <v>10334</v>
      </c>
      <c r="R546" s="1" t="s">
        <v>10335</v>
      </c>
      <c r="S546" s="1">
        <v>9865525525</v>
      </c>
      <c r="T546" s="1" t="s">
        <v>10336</v>
      </c>
      <c r="U546" s="1" t="s">
        <v>10337</v>
      </c>
      <c r="V546" s="1">
        <v>9597675525</v>
      </c>
      <c r="W546" s="1" t="s">
        <v>10338</v>
      </c>
      <c r="X546" s="1" t="s">
        <v>10339</v>
      </c>
      <c r="Y546" s="1" t="s">
        <v>10340</v>
      </c>
      <c r="Z546" s="1" t="s">
        <v>1377</v>
      </c>
      <c r="AA546" s="1" t="s">
        <v>10339</v>
      </c>
      <c r="AB546" s="1" t="s">
        <v>10340</v>
      </c>
      <c r="AC546" s="1" t="s">
        <v>1377</v>
      </c>
      <c r="AD546" s="1">
        <v>8.95</v>
      </c>
      <c r="AE546" s="1" t="s">
        <v>93</v>
      </c>
      <c r="AF546" s="1" t="s">
        <v>10341</v>
      </c>
      <c r="AG546" s="1" t="s">
        <v>9314</v>
      </c>
      <c r="AH546" s="1" t="s">
        <v>195</v>
      </c>
      <c r="AI546" s="1" t="s">
        <v>281</v>
      </c>
      <c r="AJ546" s="1">
        <v>92</v>
      </c>
      <c r="AK546" s="1"/>
      <c r="AL546" s="1" t="s">
        <v>10342</v>
      </c>
      <c r="AM546" s="1" t="s">
        <v>9314</v>
      </c>
      <c r="AN546" s="1" t="s">
        <v>281</v>
      </c>
      <c r="AO546" s="1" t="s">
        <v>941</v>
      </c>
      <c r="AP546" s="1">
        <v>86.33</v>
      </c>
      <c r="AQ546" s="1"/>
      <c r="AR546" s="1"/>
      <c r="AS546" s="1"/>
      <c r="AT546" s="1"/>
      <c r="AU546" s="1"/>
      <c r="AV546" s="1"/>
      <c r="AW546" s="1"/>
      <c r="AX546" s="1" t="s">
        <v>1381</v>
      </c>
      <c r="AY546" s="1" t="s">
        <v>10343</v>
      </c>
      <c r="AZ546" s="1" t="s">
        <v>170</v>
      </c>
      <c r="BA546" s="1" t="s">
        <v>1408</v>
      </c>
      <c r="BB546" s="1">
        <v>78.9</v>
      </c>
      <c r="BC546" s="1"/>
      <c r="BD546" s="1"/>
      <c r="BE546" s="1"/>
      <c r="BF546" s="1"/>
      <c r="BG546" s="1"/>
      <c r="BH546" s="1"/>
      <c r="BI546" s="1"/>
      <c r="BJ546" s="1" t="s">
        <v>10344</v>
      </c>
      <c r="BK546" s="1"/>
      <c r="BL546" s="1"/>
      <c r="BM546" s="1" t="s">
        <v>10345</v>
      </c>
      <c r="BN546" s="1">
        <v>19</v>
      </c>
      <c r="BO546" s="1" t="s">
        <v>10346</v>
      </c>
      <c r="BP546" s="1" t="str">
        <f>HYPERLINK("https://nconnect.nicmar.ac.in/storage/profile/ProfilePhoto_P25700503_618932.jpg","Download")</f>
        <v>0</v>
      </c>
      <c r="BQ546" s="3"/>
      <c r="BR546" s="3"/>
    </row>
    <row r="547" spans="1:70">
      <c r="A547" s="1" t="s">
        <v>70</v>
      </c>
      <c r="B547" s="1" t="s">
        <v>1269</v>
      </c>
      <c r="C547" s="1" t="s">
        <v>10347</v>
      </c>
      <c r="D547" s="1" t="s">
        <v>1945</v>
      </c>
      <c r="E547" s="1" t="s">
        <v>5472</v>
      </c>
      <c r="F547" s="1" t="s">
        <v>10348</v>
      </c>
      <c r="G547" s="1" t="s">
        <v>10349</v>
      </c>
      <c r="H547" s="1" t="s">
        <v>10350</v>
      </c>
      <c r="I547" s="1" t="s">
        <v>10351</v>
      </c>
      <c r="J547" s="1">
        <v>8412819597</v>
      </c>
      <c r="K547" s="1" t="s">
        <v>79</v>
      </c>
      <c r="L547" s="1" t="s">
        <v>10352</v>
      </c>
      <c r="M547" s="1" t="s">
        <v>81</v>
      </c>
      <c r="N547" s="1" t="s">
        <v>2970</v>
      </c>
      <c r="O547" s="1"/>
      <c r="P547" s="1" t="s">
        <v>1298</v>
      </c>
      <c r="Q547" s="1" t="s">
        <v>10353</v>
      </c>
      <c r="R547" s="1" t="s">
        <v>10354</v>
      </c>
      <c r="S547" s="1">
        <v>8087902210</v>
      </c>
      <c r="T547" s="1" t="s">
        <v>6854</v>
      </c>
      <c r="U547" s="1" t="s">
        <v>10355</v>
      </c>
      <c r="V547" s="1">
        <v>8788501617</v>
      </c>
      <c r="W547" s="1" t="s">
        <v>9616</v>
      </c>
      <c r="X547" s="1" t="s">
        <v>10356</v>
      </c>
      <c r="Y547" s="1" t="s">
        <v>191</v>
      </c>
      <c r="Z547" s="1" t="s">
        <v>92</v>
      </c>
      <c r="AA547" s="1" t="s">
        <v>10357</v>
      </c>
      <c r="AB547" s="1" t="s">
        <v>10358</v>
      </c>
      <c r="AC547" s="1" t="s">
        <v>92</v>
      </c>
      <c r="AD547" s="1">
        <v>8.34</v>
      </c>
      <c r="AE547" s="1" t="s">
        <v>93</v>
      </c>
      <c r="AF547" s="1" t="s">
        <v>10359</v>
      </c>
      <c r="AG547" s="1" t="s">
        <v>10360</v>
      </c>
      <c r="AH547" s="1" t="s">
        <v>161</v>
      </c>
      <c r="AI547" s="1" t="s">
        <v>162</v>
      </c>
      <c r="AJ547" s="1">
        <v>80</v>
      </c>
      <c r="AK547" s="1"/>
      <c r="AL547" s="1" t="s">
        <v>10361</v>
      </c>
      <c r="AM547" s="1" t="s">
        <v>10362</v>
      </c>
      <c r="AN547" s="1" t="s">
        <v>383</v>
      </c>
      <c r="AO547" s="1" t="s">
        <v>101</v>
      </c>
      <c r="AP547" s="1">
        <v>81.23</v>
      </c>
      <c r="AQ547" s="1"/>
      <c r="AR547" s="1"/>
      <c r="AS547" s="1"/>
      <c r="AT547" s="1"/>
      <c r="AU547" s="1"/>
      <c r="AV547" s="1"/>
      <c r="AW547" s="1"/>
      <c r="AX547" s="1" t="s">
        <v>1024</v>
      </c>
      <c r="AY547" s="1" t="s">
        <v>10363</v>
      </c>
      <c r="AZ547" s="1" t="s">
        <v>169</v>
      </c>
      <c r="BA547" s="1" t="s">
        <v>229</v>
      </c>
      <c r="BB547" s="1">
        <v>63.94</v>
      </c>
      <c r="BC547" s="1">
        <v>7.02</v>
      </c>
      <c r="BD547" s="1"/>
      <c r="BE547" s="1"/>
      <c r="BF547" s="1"/>
      <c r="BG547" s="1"/>
      <c r="BH547" s="1"/>
      <c r="BI547" s="1"/>
      <c r="BJ547" s="1" t="s">
        <v>10364</v>
      </c>
      <c r="BK547" s="1" t="s">
        <v>10365</v>
      </c>
      <c r="BL547" s="1" t="s">
        <v>2187</v>
      </c>
      <c r="BM547" s="1" t="s">
        <v>10366</v>
      </c>
      <c r="BN547" s="1">
        <v>30</v>
      </c>
      <c r="BO547" s="1"/>
      <c r="BP547" s="1" t="str">
        <f>HYPERLINK("https://nconnect.nicmar.ac.in/storage/profile/ProfilePhoto_P25700504_842731.jpg","Download")</f>
        <v>0</v>
      </c>
      <c r="BQ547" s="3"/>
      <c r="BR547" s="3"/>
    </row>
    <row r="548" spans="1:70">
      <c r="A548" s="1" t="s">
        <v>70</v>
      </c>
      <c r="B548" s="1" t="s">
        <v>1269</v>
      </c>
      <c r="C548" s="1" t="s">
        <v>10367</v>
      </c>
      <c r="D548" s="1" t="s">
        <v>10368</v>
      </c>
      <c r="E548" s="1" t="s">
        <v>1982</v>
      </c>
      <c r="F548" s="1" t="s">
        <v>10369</v>
      </c>
      <c r="G548" s="1" t="s">
        <v>10370</v>
      </c>
      <c r="H548" s="1" t="s">
        <v>10371</v>
      </c>
      <c r="I548" s="1" t="s">
        <v>10372</v>
      </c>
      <c r="J548" s="1">
        <v>9403022763</v>
      </c>
      <c r="K548" s="1" t="s">
        <v>79</v>
      </c>
      <c r="L548" s="1" t="s">
        <v>10373</v>
      </c>
      <c r="M548" s="1" t="s">
        <v>81</v>
      </c>
      <c r="N548" s="1" t="s">
        <v>1418</v>
      </c>
      <c r="O548" s="1"/>
      <c r="P548" s="1" t="s">
        <v>1323</v>
      </c>
      <c r="Q548" s="1" t="s">
        <v>10374</v>
      </c>
      <c r="R548" s="1" t="s">
        <v>10375</v>
      </c>
      <c r="S548" s="1">
        <v>9403022763</v>
      </c>
      <c r="T548" s="1" t="s">
        <v>10376</v>
      </c>
      <c r="U548" s="1" t="s">
        <v>10377</v>
      </c>
      <c r="V548" s="1">
        <v>9834483234</v>
      </c>
      <c r="W548" s="1" t="s">
        <v>156</v>
      </c>
      <c r="X548" s="1" t="s">
        <v>10378</v>
      </c>
      <c r="Y548" s="1" t="s">
        <v>191</v>
      </c>
      <c r="Z548" s="1" t="s">
        <v>92</v>
      </c>
      <c r="AA548" s="1" t="s">
        <v>10378</v>
      </c>
      <c r="AB548" s="1" t="s">
        <v>191</v>
      </c>
      <c r="AC548" s="1" t="s">
        <v>92</v>
      </c>
      <c r="AD548" s="1">
        <v>8.36</v>
      </c>
      <c r="AE548" s="1" t="s">
        <v>93</v>
      </c>
      <c r="AF548" s="1" t="s">
        <v>10379</v>
      </c>
      <c r="AG548" s="1" t="s">
        <v>10380</v>
      </c>
      <c r="AH548" s="1" t="s">
        <v>2420</v>
      </c>
      <c r="AI548" s="1" t="s">
        <v>281</v>
      </c>
      <c r="AJ548" s="1">
        <v>91.83</v>
      </c>
      <c r="AK548" s="1"/>
      <c r="AL548" s="1" t="s">
        <v>10381</v>
      </c>
      <c r="AM548" s="1" t="s">
        <v>10382</v>
      </c>
      <c r="AN548" s="1" t="s">
        <v>101</v>
      </c>
      <c r="AO548" s="1" t="s">
        <v>681</v>
      </c>
      <c r="AP548" s="1">
        <v>82.15</v>
      </c>
      <c r="AQ548" s="1"/>
      <c r="AR548" s="1"/>
      <c r="AS548" s="1"/>
      <c r="AT548" s="1"/>
      <c r="AU548" s="1"/>
      <c r="AV548" s="1"/>
      <c r="AW548" s="1"/>
      <c r="AX548" s="1" t="s">
        <v>10383</v>
      </c>
      <c r="AY548" s="1" t="s">
        <v>10384</v>
      </c>
      <c r="AZ548" s="1" t="s">
        <v>363</v>
      </c>
      <c r="BA548" s="1" t="s">
        <v>2103</v>
      </c>
      <c r="BB548" s="1">
        <v>72.5</v>
      </c>
      <c r="BC548" s="1">
        <v>8</v>
      </c>
      <c r="BD548" s="1"/>
      <c r="BE548" s="1"/>
      <c r="BF548" s="1"/>
      <c r="BG548" s="1"/>
      <c r="BH548" s="1"/>
      <c r="BI548" s="1"/>
      <c r="BJ548" s="1" t="s">
        <v>364</v>
      </c>
      <c r="BK548" s="1"/>
      <c r="BL548" s="1"/>
      <c r="BM548" s="1" t="s">
        <v>10385</v>
      </c>
      <c r="BN548" s="1">
        <v>40</v>
      </c>
      <c r="BO548" s="1" t="s">
        <v>1715</v>
      </c>
      <c r="BP548" s="1" t="str">
        <f>HYPERLINK("https://nconnect.nicmar.ac.in/storage/profile/ProfilePhoto_P25700505_843196.jpg","Download")</f>
        <v>0</v>
      </c>
      <c r="BQ548" s="3"/>
      <c r="BR548" s="3"/>
    </row>
    <row r="549" spans="1:70">
      <c r="A549" s="1" t="s">
        <v>70</v>
      </c>
      <c r="B549" s="1" t="s">
        <v>1269</v>
      </c>
      <c r="C549" s="1" t="s">
        <v>10386</v>
      </c>
      <c r="D549" s="1" t="s">
        <v>10387</v>
      </c>
      <c r="E549" s="1"/>
      <c r="F549" s="1" t="s">
        <v>2151</v>
      </c>
      <c r="G549" s="1" t="s">
        <v>10388</v>
      </c>
      <c r="H549" s="1" t="s">
        <v>10389</v>
      </c>
      <c r="I549" s="1" t="s">
        <v>10390</v>
      </c>
      <c r="J549" s="1">
        <v>8578865315</v>
      </c>
      <c r="K549" s="1" t="s">
        <v>79</v>
      </c>
      <c r="L549" s="1" t="s">
        <v>10391</v>
      </c>
      <c r="M549" s="1" t="s">
        <v>81</v>
      </c>
      <c r="N549" s="1" t="s">
        <v>241</v>
      </c>
      <c r="O549" s="1"/>
      <c r="P549" s="1" t="s">
        <v>1278</v>
      </c>
      <c r="Q549" s="1" t="s">
        <v>10392</v>
      </c>
      <c r="R549" s="1" t="s">
        <v>10393</v>
      </c>
      <c r="S549" s="1">
        <v>9835925814</v>
      </c>
      <c r="T549" s="1" t="s">
        <v>122</v>
      </c>
      <c r="U549" s="1" t="s">
        <v>10394</v>
      </c>
      <c r="V549" s="1">
        <v>9798313891</v>
      </c>
      <c r="W549" s="1" t="s">
        <v>122</v>
      </c>
      <c r="X549" s="1" t="s">
        <v>10395</v>
      </c>
      <c r="Y549" s="1" t="s">
        <v>191</v>
      </c>
      <c r="Z549" s="1" t="s">
        <v>92</v>
      </c>
      <c r="AA549" s="1" t="s">
        <v>10396</v>
      </c>
      <c r="AB549" s="1" t="s">
        <v>10397</v>
      </c>
      <c r="AC549" s="1" t="s">
        <v>3774</v>
      </c>
      <c r="AD549" s="1">
        <v>8.26</v>
      </c>
      <c r="AE549" s="1" t="s">
        <v>93</v>
      </c>
      <c r="AF549" s="1" t="s">
        <v>10398</v>
      </c>
      <c r="AG549" s="1" t="s">
        <v>939</v>
      </c>
      <c r="AH549" s="1" t="s">
        <v>131</v>
      </c>
      <c r="AI549" s="1" t="s">
        <v>527</v>
      </c>
      <c r="AJ549" s="1">
        <v>64.6</v>
      </c>
      <c r="AK549" s="1">
        <v>6.8</v>
      </c>
      <c r="AL549" s="1" t="s">
        <v>10399</v>
      </c>
      <c r="AM549" s="1" t="s">
        <v>10400</v>
      </c>
      <c r="AN549" s="1" t="s">
        <v>165</v>
      </c>
      <c r="AO549" s="1" t="s">
        <v>433</v>
      </c>
      <c r="AP549" s="1">
        <v>64.8</v>
      </c>
      <c r="AQ549" s="1"/>
      <c r="AR549" s="1"/>
      <c r="AS549" s="1"/>
      <c r="AT549" s="1"/>
      <c r="AU549" s="1"/>
      <c r="AV549" s="1"/>
      <c r="AW549" s="1"/>
      <c r="AX549" s="1" t="s">
        <v>10401</v>
      </c>
      <c r="AY549" s="1" t="s">
        <v>10402</v>
      </c>
      <c r="AZ549" s="1" t="s">
        <v>433</v>
      </c>
      <c r="BA549" s="1" t="s">
        <v>229</v>
      </c>
      <c r="BB549" s="1">
        <v>73.7</v>
      </c>
      <c r="BC549" s="1">
        <v>7.87</v>
      </c>
      <c r="BD549" s="1"/>
      <c r="BE549" s="1"/>
      <c r="BF549" s="1"/>
      <c r="BG549" s="1"/>
      <c r="BH549" s="1"/>
      <c r="BI549" s="1"/>
      <c r="BJ549" s="1" t="s">
        <v>1383</v>
      </c>
      <c r="BK549" s="1" t="s">
        <v>10403</v>
      </c>
      <c r="BL549" s="1" t="s">
        <v>4933</v>
      </c>
      <c r="BM549" s="1" t="s">
        <v>10404</v>
      </c>
      <c r="BN549" s="1">
        <v>12</v>
      </c>
      <c r="BO549" s="1"/>
      <c r="BP549" s="1" t="str">
        <f>HYPERLINK("https://nconnect.nicmar.ac.in/storage/profile/ProfilePhoto_P25700506_716935.jpg","Download")</f>
        <v>0</v>
      </c>
      <c r="BQ549" s="3"/>
      <c r="BR549" s="3"/>
    </row>
    <row r="550" spans="1:70">
      <c r="A550" s="1" t="s">
        <v>70</v>
      </c>
      <c r="B550" s="1" t="s">
        <v>1269</v>
      </c>
      <c r="C550" s="1" t="s">
        <v>10405</v>
      </c>
      <c r="D550" s="1" t="s">
        <v>10406</v>
      </c>
      <c r="E550" s="1" t="s">
        <v>3057</v>
      </c>
      <c r="F550" s="1" t="s">
        <v>903</v>
      </c>
      <c r="G550" s="1" t="s">
        <v>10407</v>
      </c>
      <c r="H550" s="1" t="s">
        <v>10408</v>
      </c>
      <c r="I550" s="1" t="s">
        <v>10409</v>
      </c>
      <c r="J550" s="1">
        <v>8007264118</v>
      </c>
      <c r="K550" s="1" t="s">
        <v>79</v>
      </c>
      <c r="L550" s="1" t="s">
        <v>10410</v>
      </c>
      <c r="M550" s="1" t="s">
        <v>81</v>
      </c>
      <c r="N550" s="1" t="s">
        <v>2008</v>
      </c>
      <c r="O550" s="1"/>
      <c r="P550" s="1" t="s">
        <v>1298</v>
      </c>
      <c r="Q550" s="1" t="s">
        <v>10411</v>
      </c>
      <c r="R550" s="1" t="s">
        <v>10412</v>
      </c>
      <c r="S550" s="1">
        <v>9867232754</v>
      </c>
      <c r="T550" s="1" t="s">
        <v>976</v>
      </c>
      <c r="U550" s="1" t="s">
        <v>10413</v>
      </c>
      <c r="V550" s="1">
        <v>8805149778</v>
      </c>
      <c r="W550" s="1" t="s">
        <v>273</v>
      </c>
      <c r="X550" s="1" t="s">
        <v>10414</v>
      </c>
      <c r="Y550" s="1" t="s">
        <v>766</v>
      </c>
      <c r="Z550" s="1" t="s">
        <v>92</v>
      </c>
      <c r="AA550" s="1" t="s">
        <v>10414</v>
      </c>
      <c r="AB550" s="1" t="s">
        <v>766</v>
      </c>
      <c r="AC550" s="1" t="s">
        <v>92</v>
      </c>
      <c r="AD550" s="1">
        <v>7.79</v>
      </c>
      <c r="AE550" s="1" t="s">
        <v>93</v>
      </c>
      <c r="AF550" s="1" t="s">
        <v>10415</v>
      </c>
      <c r="AG550" s="1" t="s">
        <v>160</v>
      </c>
      <c r="AH550" s="1" t="s">
        <v>96</v>
      </c>
      <c r="AI550" s="1" t="s">
        <v>161</v>
      </c>
      <c r="AJ550" s="1">
        <v>78.6</v>
      </c>
      <c r="AK550" s="1"/>
      <c r="AL550" s="1"/>
      <c r="AM550" s="1"/>
      <c r="AN550" s="1"/>
      <c r="AO550" s="1"/>
      <c r="AP550" s="1"/>
      <c r="AQ550" s="1"/>
      <c r="AR550" s="1" t="s">
        <v>434</v>
      </c>
      <c r="AS550" s="1" t="s">
        <v>10416</v>
      </c>
      <c r="AT550" s="1" t="s">
        <v>161</v>
      </c>
      <c r="AU550" s="1" t="s">
        <v>101</v>
      </c>
      <c r="AV550" s="1">
        <v>72.67</v>
      </c>
      <c r="AW550" s="1"/>
      <c r="AX550" s="1" t="s">
        <v>1024</v>
      </c>
      <c r="AY550" s="1" t="s">
        <v>10417</v>
      </c>
      <c r="AZ550" s="1" t="s">
        <v>169</v>
      </c>
      <c r="BA550" s="1" t="s">
        <v>506</v>
      </c>
      <c r="BB550" s="1">
        <v>64.16</v>
      </c>
      <c r="BC550" s="1"/>
      <c r="BD550" s="1"/>
      <c r="BE550" s="1"/>
      <c r="BF550" s="1"/>
      <c r="BG550" s="1"/>
      <c r="BH550" s="1"/>
      <c r="BI550" s="1"/>
      <c r="BJ550" s="1" t="s">
        <v>10418</v>
      </c>
      <c r="BK550" s="1"/>
      <c r="BL550" s="1"/>
      <c r="BM550" s="1" t="s">
        <v>10419</v>
      </c>
      <c r="BN550" s="1">
        <v>9</v>
      </c>
      <c r="BO550" s="1" t="s">
        <v>10420</v>
      </c>
      <c r="BP550" s="1" t="str">
        <f>HYPERLINK("https://nconnect.nicmar.ac.in/storage/profile/ProfilePhoto_P25700507_128367.jpg","Download")</f>
        <v>0</v>
      </c>
      <c r="BQ550" s="3"/>
      <c r="BR550" s="3"/>
    </row>
    <row r="551" spans="1:70">
      <c r="A551" s="1" t="s">
        <v>70</v>
      </c>
      <c r="B551" s="1" t="s">
        <v>1269</v>
      </c>
      <c r="C551" s="1" t="s">
        <v>10421</v>
      </c>
      <c r="D551" s="1" t="s">
        <v>10422</v>
      </c>
      <c r="E551" s="1" t="s">
        <v>3187</v>
      </c>
      <c r="F551" s="1" t="s">
        <v>10423</v>
      </c>
      <c r="G551" s="1" t="s">
        <v>10424</v>
      </c>
      <c r="H551" s="1" t="s">
        <v>10425</v>
      </c>
      <c r="I551" s="1" t="s">
        <v>10426</v>
      </c>
      <c r="J551" s="1">
        <v>8686631717</v>
      </c>
      <c r="K551" s="1" t="s">
        <v>79</v>
      </c>
      <c r="L551" s="1" t="s">
        <v>10427</v>
      </c>
      <c r="M551" s="1" t="s">
        <v>81</v>
      </c>
      <c r="N551" s="1" t="s">
        <v>1418</v>
      </c>
      <c r="O551" s="1"/>
      <c r="P551" s="1" t="s">
        <v>2507</v>
      </c>
      <c r="Q551" s="1" t="s">
        <v>10428</v>
      </c>
      <c r="R551" s="1" t="s">
        <v>10429</v>
      </c>
      <c r="S551" s="1">
        <v>8329418137</v>
      </c>
      <c r="T551" s="1" t="s">
        <v>120</v>
      </c>
      <c r="U551" s="1" t="s">
        <v>10430</v>
      </c>
      <c r="V551" s="1">
        <v>9767840788</v>
      </c>
      <c r="W551" s="1" t="s">
        <v>156</v>
      </c>
      <c r="X551" s="1" t="s">
        <v>10431</v>
      </c>
      <c r="Y551" s="1" t="s">
        <v>191</v>
      </c>
      <c r="Z551" s="1" t="s">
        <v>92</v>
      </c>
      <c r="AA551" s="1" t="s">
        <v>10431</v>
      </c>
      <c r="AB551" s="1" t="s">
        <v>191</v>
      </c>
      <c r="AC551" s="1" t="s">
        <v>92</v>
      </c>
      <c r="AD551" s="1">
        <v>8.07</v>
      </c>
      <c r="AE551" s="1" t="s">
        <v>93</v>
      </c>
      <c r="AF551" s="1" t="s">
        <v>10432</v>
      </c>
      <c r="AG551" s="1" t="s">
        <v>160</v>
      </c>
      <c r="AH551" s="1" t="s">
        <v>161</v>
      </c>
      <c r="AI551" s="1" t="s">
        <v>162</v>
      </c>
      <c r="AJ551" s="1">
        <v>84.8</v>
      </c>
      <c r="AK551" s="1"/>
      <c r="AL551" s="1"/>
      <c r="AM551" s="1"/>
      <c r="AN551" s="1"/>
      <c r="AO551" s="1"/>
      <c r="AP551" s="1"/>
      <c r="AQ551" s="1"/>
      <c r="AR551" s="1" t="s">
        <v>98</v>
      </c>
      <c r="AS551" s="1" t="s">
        <v>10433</v>
      </c>
      <c r="AT551" s="1" t="s">
        <v>134</v>
      </c>
      <c r="AU551" s="1" t="s">
        <v>433</v>
      </c>
      <c r="AV551" s="1">
        <v>83.45</v>
      </c>
      <c r="AW551" s="1"/>
      <c r="AX551" s="1" t="s">
        <v>361</v>
      </c>
      <c r="AY551" s="1" t="s">
        <v>10434</v>
      </c>
      <c r="AZ551" s="1" t="s">
        <v>201</v>
      </c>
      <c r="BA551" s="1" t="s">
        <v>105</v>
      </c>
      <c r="BB551" s="1">
        <v>80.6</v>
      </c>
      <c r="BC551" s="1">
        <v>8.8</v>
      </c>
      <c r="BD551" s="1"/>
      <c r="BE551" s="1"/>
      <c r="BF551" s="1"/>
      <c r="BG551" s="1"/>
      <c r="BH551" s="1"/>
      <c r="BI551" s="1"/>
      <c r="BJ551" s="1" t="s">
        <v>10435</v>
      </c>
      <c r="BK551" s="1" t="s">
        <v>10436</v>
      </c>
      <c r="BL551" s="1" t="s">
        <v>4933</v>
      </c>
      <c r="BM551" s="1" t="s">
        <v>10437</v>
      </c>
      <c r="BN551" s="1">
        <v>8</v>
      </c>
      <c r="BO551" s="1"/>
      <c r="BP551" s="1" t="str">
        <f>HYPERLINK("https://nconnect.nicmar.ac.in/storage/profile/ProfilePhoto_P25700508_846395.jpg","Download")</f>
        <v>0</v>
      </c>
      <c r="BQ551" s="3"/>
      <c r="BR551" s="3"/>
    </row>
    <row r="552" spans="1:70">
      <c r="A552" s="1" t="s">
        <v>70</v>
      </c>
      <c r="B552" s="1" t="s">
        <v>1269</v>
      </c>
      <c r="C552" s="1" t="s">
        <v>10438</v>
      </c>
      <c r="D552" s="1" t="s">
        <v>7315</v>
      </c>
      <c r="E552" s="1" t="s">
        <v>2289</v>
      </c>
      <c r="F552" s="1" t="s">
        <v>10439</v>
      </c>
      <c r="G552" s="1" t="s">
        <v>10440</v>
      </c>
      <c r="H552" s="1" t="s">
        <v>10441</v>
      </c>
      <c r="I552" s="1" t="s">
        <v>10442</v>
      </c>
      <c r="J552" s="1">
        <v>8668742356</v>
      </c>
      <c r="K552" s="1" t="s">
        <v>79</v>
      </c>
      <c r="L552" s="1" t="s">
        <v>10443</v>
      </c>
      <c r="M552" s="1" t="s">
        <v>81</v>
      </c>
      <c r="N552" s="1" t="s">
        <v>1418</v>
      </c>
      <c r="O552" s="1"/>
      <c r="P552" s="1" t="s">
        <v>1298</v>
      </c>
      <c r="Q552" s="1" t="s">
        <v>10444</v>
      </c>
      <c r="R552" s="1" t="s">
        <v>2289</v>
      </c>
      <c r="S552" s="1">
        <v>9922282544</v>
      </c>
      <c r="T552" s="1" t="s">
        <v>10445</v>
      </c>
      <c r="U552" s="1" t="s">
        <v>10446</v>
      </c>
      <c r="V552" s="1">
        <v>9922282544</v>
      </c>
      <c r="W552" s="1" t="s">
        <v>156</v>
      </c>
      <c r="X552" s="1" t="s">
        <v>10447</v>
      </c>
      <c r="Y552" s="1" t="s">
        <v>191</v>
      </c>
      <c r="Z552" s="1" t="s">
        <v>92</v>
      </c>
      <c r="AA552" s="1" t="s">
        <v>10448</v>
      </c>
      <c r="AB552" s="1" t="s">
        <v>219</v>
      </c>
      <c r="AC552" s="1" t="s">
        <v>92</v>
      </c>
      <c r="AD552" s="1">
        <v>8.54</v>
      </c>
      <c r="AE552" s="1" t="s">
        <v>93</v>
      </c>
      <c r="AF552" s="1" t="s">
        <v>10449</v>
      </c>
      <c r="AG552" s="1" t="s">
        <v>939</v>
      </c>
      <c r="AH552" s="1" t="s">
        <v>130</v>
      </c>
      <c r="AI552" s="1" t="s">
        <v>161</v>
      </c>
      <c r="AJ552" s="1">
        <v>68.4</v>
      </c>
      <c r="AK552" s="1">
        <v>7.2</v>
      </c>
      <c r="AL552" s="1"/>
      <c r="AM552" s="1"/>
      <c r="AN552" s="1"/>
      <c r="AO552" s="1"/>
      <c r="AP552" s="1"/>
      <c r="AQ552" s="1"/>
      <c r="AR552" s="1" t="s">
        <v>98</v>
      </c>
      <c r="AS552" s="1" t="s">
        <v>10450</v>
      </c>
      <c r="AT552" s="1" t="s">
        <v>100</v>
      </c>
      <c r="AU552" s="1" t="s">
        <v>101</v>
      </c>
      <c r="AV552" s="1">
        <v>72.24</v>
      </c>
      <c r="AW552" s="1"/>
      <c r="AX552" s="1" t="s">
        <v>335</v>
      </c>
      <c r="AY552" s="1" t="s">
        <v>10451</v>
      </c>
      <c r="AZ552" s="1" t="s">
        <v>681</v>
      </c>
      <c r="BA552" s="1" t="s">
        <v>436</v>
      </c>
      <c r="BB552" s="1">
        <v>89.92</v>
      </c>
      <c r="BC552" s="1">
        <v>9.72</v>
      </c>
      <c r="BD552" s="1"/>
      <c r="BE552" s="1"/>
      <c r="BF552" s="1"/>
      <c r="BG552" s="1"/>
      <c r="BH552" s="1"/>
      <c r="BI552" s="1"/>
      <c r="BJ552" s="1" t="s">
        <v>10452</v>
      </c>
      <c r="BK552" s="1" t="s">
        <v>10453</v>
      </c>
      <c r="BL552" s="1" t="s">
        <v>619</v>
      </c>
      <c r="BM552" s="1" t="s">
        <v>10454</v>
      </c>
      <c r="BN552" s="1">
        <v>7</v>
      </c>
      <c r="BO552" s="1"/>
      <c r="BP552" s="1" t="str">
        <f>HYPERLINK("https://nconnect.nicmar.ac.in/storage/profile/ProfilePhoto_P25700510_528964.jpg","Download")</f>
        <v>0</v>
      </c>
      <c r="BQ552" s="3"/>
      <c r="BR552" s="3"/>
    </row>
    <row r="553" spans="1:70">
      <c r="A553" s="1" t="s">
        <v>70</v>
      </c>
      <c r="B553" s="1" t="s">
        <v>1269</v>
      </c>
      <c r="C553" s="1" t="s">
        <v>10455</v>
      </c>
      <c r="D553" s="1" t="s">
        <v>10456</v>
      </c>
      <c r="E553" s="1" t="s">
        <v>1139</v>
      </c>
      <c r="F553" s="1" t="s">
        <v>2677</v>
      </c>
      <c r="G553" s="1" t="s">
        <v>10457</v>
      </c>
      <c r="H553" s="1" t="s">
        <v>10458</v>
      </c>
      <c r="I553" s="1" t="s">
        <v>10459</v>
      </c>
      <c r="J553" s="1">
        <v>7038723267</v>
      </c>
      <c r="K553" s="1" t="s">
        <v>79</v>
      </c>
      <c r="L553" s="1" t="s">
        <v>10460</v>
      </c>
      <c r="M553" s="1" t="s">
        <v>81</v>
      </c>
      <c r="N553" s="1" t="s">
        <v>1618</v>
      </c>
      <c r="O553" s="1"/>
      <c r="P553" s="1" t="s">
        <v>1298</v>
      </c>
      <c r="Q553" s="1" t="s">
        <v>10461</v>
      </c>
      <c r="R553" s="1" t="s">
        <v>10462</v>
      </c>
      <c r="S553" s="1">
        <v>9881233297</v>
      </c>
      <c r="T553" s="1" t="s">
        <v>3197</v>
      </c>
      <c r="U553" s="1" t="s">
        <v>6743</v>
      </c>
      <c r="V553" s="1">
        <v>7721811600</v>
      </c>
      <c r="W553" s="1" t="s">
        <v>273</v>
      </c>
      <c r="X553" s="1" t="s">
        <v>10463</v>
      </c>
      <c r="Y553" s="1" t="s">
        <v>5937</v>
      </c>
      <c r="Z553" s="1" t="s">
        <v>92</v>
      </c>
      <c r="AA553" s="1" t="s">
        <v>10463</v>
      </c>
      <c r="AB553" s="1" t="s">
        <v>5937</v>
      </c>
      <c r="AC553" s="1" t="s">
        <v>92</v>
      </c>
      <c r="AD553" s="1">
        <v>8.23</v>
      </c>
      <c r="AE553" s="1" t="s">
        <v>93</v>
      </c>
      <c r="AF553" s="1" t="s">
        <v>10464</v>
      </c>
      <c r="AG553" s="1" t="s">
        <v>307</v>
      </c>
      <c r="AH553" s="1" t="s">
        <v>678</v>
      </c>
      <c r="AI553" s="1" t="s">
        <v>166</v>
      </c>
      <c r="AJ553" s="1">
        <v>63</v>
      </c>
      <c r="AK553" s="1"/>
      <c r="AL553" s="1"/>
      <c r="AM553" s="1"/>
      <c r="AN553" s="1"/>
      <c r="AO553" s="1"/>
      <c r="AP553" s="1"/>
      <c r="AQ553" s="1"/>
      <c r="AR553" s="1" t="s">
        <v>434</v>
      </c>
      <c r="AS553" s="1" t="s">
        <v>10465</v>
      </c>
      <c r="AT553" s="1" t="s">
        <v>636</v>
      </c>
      <c r="AU553" s="1" t="s">
        <v>436</v>
      </c>
      <c r="AV553" s="1">
        <v>80.74</v>
      </c>
      <c r="AW553" s="1"/>
      <c r="AX553" s="1" t="s">
        <v>361</v>
      </c>
      <c r="AY553" s="1" t="s">
        <v>10466</v>
      </c>
      <c r="AZ553" s="1" t="s">
        <v>1407</v>
      </c>
      <c r="BA553" s="1" t="s">
        <v>202</v>
      </c>
      <c r="BB553" s="1">
        <v>67.68</v>
      </c>
      <c r="BC553" s="1">
        <v>7.32</v>
      </c>
      <c r="BD553" s="1"/>
      <c r="BE553" s="1"/>
      <c r="BF553" s="1"/>
      <c r="BG553" s="1"/>
      <c r="BH553" s="1"/>
      <c r="BI553" s="1"/>
      <c r="BJ553" s="1" t="s">
        <v>10467</v>
      </c>
      <c r="BK553" s="1"/>
      <c r="BL553" s="1"/>
      <c r="BM553" s="1" t="s">
        <v>10468</v>
      </c>
      <c r="BN553" s="1">
        <v>39</v>
      </c>
      <c r="BO553" s="1"/>
      <c r="BP553" s="1" t="str">
        <f>HYPERLINK("https://nconnect.nicmar.ac.in/storage/profile/ProfilePhoto_P25700511_196873.jpg","Download")</f>
        <v>0</v>
      </c>
      <c r="BQ553" s="3"/>
      <c r="BR553" s="3"/>
    </row>
    <row r="554" spans="1:70">
      <c r="A554" s="1" t="s">
        <v>70</v>
      </c>
      <c r="B554" s="1" t="s">
        <v>1269</v>
      </c>
      <c r="C554" s="1" t="s">
        <v>10469</v>
      </c>
      <c r="D554" s="1" t="s">
        <v>1271</v>
      </c>
      <c r="E554" s="1" t="s">
        <v>8560</v>
      </c>
      <c r="F554" s="1" t="s">
        <v>10470</v>
      </c>
      <c r="G554" s="1" t="s">
        <v>10471</v>
      </c>
      <c r="H554" s="1" t="s">
        <v>10472</v>
      </c>
      <c r="I554" s="1" t="s">
        <v>10473</v>
      </c>
      <c r="J554" s="1">
        <v>9902316104</v>
      </c>
      <c r="K554" s="1" t="s">
        <v>79</v>
      </c>
      <c r="L554" s="1" t="s">
        <v>5587</v>
      </c>
      <c r="M554" s="1" t="s">
        <v>81</v>
      </c>
      <c r="N554" s="1" t="s">
        <v>4766</v>
      </c>
      <c r="O554" s="1"/>
      <c r="P554" s="1" t="s">
        <v>1323</v>
      </c>
      <c r="Q554" s="1" t="s">
        <v>10474</v>
      </c>
      <c r="R554" s="1" t="s">
        <v>10475</v>
      </c>
      <c r="S554" s="1">
        <v>9035358740</v>
      </c>
      <c r="T554" s="1" t="s">
        <v>10476</v>
      </c>
      <c r="U554" s="1" t="s">
        <v>10477</v>
      </c>
      <c r="V554" s="1">
        <v>9740798983</v>
      </c>
      <c r="W554" s="1" t="s">
        <v>273</v>
      </c>
      <c r="X554" s="1" t="s">
        <v>10478</v>
      </c>
      <c r="Y554" s="1" t="s">
        <v>10479</v>
      </c>
      <c r="Z554" s="1" t="s">
        <v>1084</v>
      </c>
      <c r="AA554" s="1" t="s">
        <v>10478</v>
      </c>
      <c r="AB554" s="1" t="s">
        <v>10479</v>
      </c>
      <c r="AC554" s="1" t="s">
        <v>1084</v>
      </c>
      <c r="AD554" s="1">
        <v>8.29</v>
      </c>
      <c r="AE554" s="1" t="s">
        <v>93</v>
      </c>
      <c r="AF554" s="1" t="s">
        <v>10480</v>
      </c>
      <c r="AG554" s="1" t="s">
        <v>1515</v>
      </c>
      <c r="AH554" s="1" t="s">
        <v>8032</v>
      </c>
      <c r="AI554" s="1" t="s">
        <v>1307</v>
      </c>
      <c r="AJ554" s="1">
        <v>86.56</v>
      </c>
      <c r="AK554" s="1"/>
      <c r="AL554" s="1" t="s">
        <v>10481</v>
      </c>
      <c r="AM554" s="1" t="s">
        <v>2056</v>
      </c>
      <c r="AN554" s="1" t="s">
        <v>308</v>
      </c>
      <c r="AO554" s="1" t="s">
        <v>941</v>
      </c>
      <c r="AP554" s="1">
        <v>85</v>
      </c>
      <c r="AQ554" s="1"/>
      <c r="AR554" s="1"/>
      <c r="AS554" s="1"/>
      <c r="AT554" s="1"/>
      <c r="AU554" s="1"/>
      <c r="AV554" s="1"/>
      <c r="AW554" s="1"/>
      <c r="AX554" s="1" t="s">
        <v>8821</v>
      </c>
      <c r="AY554" s="1" t="s">
        <v>8449</v>
      </c>
      <c r="AZ554" s="1" t="s">
        <v>228</v>
      </c>
      <c r="BA554" s="1" t="s">
        <v>1584</v>
      </c>
      <c r="BB554" s="1">
        <v>66.1</v>
      </c>
      <c r="BC554" s="1">
        <v>7.36</v>
      </c>
      <c r="BD554" s="1"/>
      <c r="BE554" s="1"/>
      <c r="BF554" s="1"/>
      <c r="BG554" s="1"/>
      <c r="BH554" s="1"/>
      <c r="BI554" s="1"/>
      <c r="BJ554" s="1" t="s">
        <v>10482</v>
      </c>
      <c r="BK554" s="1"/>
      <c r="BL554" s="1"/>
      <c r="BM554" s="1" t="s">
        <v>10483</v>
      </c>
      <c r="BN554" s="1">
        <v>26</v>
      </c>
      <c r="BO554" s="1" t="s">
        <v>10484</v>
      </c>
      <c r="BP554" s="1" t="str">
        <f>HYPERLINK("https://nconnect.nicmar.ac.in/storage/profile/ProfilePhoto_P25700512_136547.jpg","Download")</f>
        <v>0</v>
      </c>
      <c r="BQ554" s="3"/>
      <c r="BR554" s="3"/>
    </row>
    <row r="555" spans="1:70">
      <c r="A555" s="1" t="s">
        <v>70</v>
      </c>
      <c r="B555" s="1" t="s">
        <v>1269</v>
      </c>
      <c r="C555" s="1" t="s">
        <v>10485</v>
      </c>
      <c r="D555" s="1" t="s">
        <v>8454</v>
      </c>
      <c r="E555" s="1"/>
      <c r="F555" s="1" t="s">
        <v>2191</v>
      </c>
      <c r="G555" s="1" t="s">
        <v>10486</v>
      </c>
      <c r="H555" s="1" t="s">
        <v>10487</v>
      </c>
      <c r="I555" s="1" t="s">
        <v>10488</v>
      </c>
      <c r="J555" s="1">
        <v>9844434731</v>
      </c>
      <c r="K555" s="1" t="s">
        <v>79</v>
      </c>
      <c r="L555" s="1" t="s">
        <v>10489</v>
      </c>
      <c r="M555" s="1" t="s">
        <v>81</v>
      </c>
      <c r="N555" s="1" t="s">
        <v>10490</v>
      </c>
      <c r="O555" s="1"/>
      <c r="P555" s="1" t="s">
        <v>1323</v>
      </c>
      <c r="Q555" s="1" t="s">
        <v>10491</v>
      </c>
      <c r="R555" s="1" t="s">
        <v>10492</v>
      </c>
      <c r="S555" s="1">
        <v>7090443380</v>
      </c>
      <c r="T555" s="1" t="s">
        <v>1398</v>
      </c>
      <c r="U555" s="1" t="s">
        <v>10493</v>
      </c>
      <c r="V555" s="1">
        <v>9108558880</v>
      </c>
      <c r="W555" s="1" t="s">
        <v>156</v>
      </c>
      <c r="X555" s="1" t="s">
        <v>10494</v>
      </c>
      <c r="Y555" s="1" t="s">
        <v>1083</v>
      </c>
      <c r="Z555" s="1" t="s">
        <v>1084</v>
      </c>
      <c r="AA555" s="1" t="s">
        <v>10495</v>
      </c>
      <c r="AB555" s="1" t="s">
        <v>10496</v>
      </c>
      <c r="AC555" s="1" t="s">
        <v>1084</v>
      </c>
      <c r="AD555" s="1">
        <v>8.21</v>
      </c>
      <c r="AE555" s="1" t="s">
        <v>93</v>
      </c>
      <c r="AF555" s="1" t="s">
        <v>10497</v>
      </c>
      <c r="AG555" s="1" t="s">
        <v>2749</v>
      </c>
      <c r="AH555" s="1" t="s">
        <v>165</v>
      </c>
      <c r="AI555" s="1" t="s">
        <v>1307</v>
      </c>
      <c r="AJ555" s="1">
        <v>83.04</v>
      </c>
      <c r="AK555" s="1"/>
      <c r="AL555" s="1" t="s">
        <v>10498</v>
      </c>
      <c r="AM555" s="1" t="s">
        <v>2056</v>
      </c>
      <c r="AN555" s="1" t="s">
        <v>433</v>
      </c>
      <c r="AO555" s="1" t="s">
        <v>941</v>
      </c>
      <c r="AP555" s="1">
        <v>70.16</v>
      </c>
      <c r="AQ555" s="1"/>
      <c r="AR555" s="1"/>
      <c r="AS555" s="1"/>
      <c r="AT555" s="1"/>
      <c r="AU555" s="1"/>
      <c r="AV555" s="1"/>
      <c r="AW555" s="1"/>
      <c r="AX555" s="1" t="s">
        <v>1519</v>
      </c>
      <c r="AY555" s="1" t="s">
        <v>10499</v>
      </c>
      <c r="AZ555" s="1" t="s">
        <v>228</v>
      </c>
      <c r="BA555" s="1" t="s">
        <v>413</v>
      </c>
      <c r="BB555" s="1">
        <v>66.7</v>
      </c>
      <c r="BC555" s="1">
        <v>7.42</v>
      </c>
      <c r="BD555" s="1"/>
      <c r="BE555" s="1"/>
      <c r="BF555" s="1"/>
      <c r="BG555" s="1"/>
      <c r="BH555" s="1"/>
      <c r="BI555" s="1"/>
      <c r="BJ555" s="1" t="s">
        <v>10500</v>
      </c>
      <c r="BK555" s="1"/>
      <c r="BL555" s="1"/>
      <c r="BM555" s="1" t="s">
        <v>10501</v>
      </c>
      <c r="BN555" s="1">
        <v>26</v>
      </c>
      <c r="BO555" s="1" t="s">
        <v>10502</v>
      </c>
      <c r="BP555" s="1" t="str">
        <f>HYPERLINK("https://nconnect.nicmar.ac.in/storage/profile/ProfilePhoto_P25700513_941562.jpg","Download")</f>
        <v>0</v>
      </c>
      <c r="BQ555" s="3"/>
      <c r="BR555" s="3"/>
    </row>
    <row r="556" spans="1:70">
      <c r="A556" s="1" t="s">
        <v>70</v>
      </c>
      <c r="B556" s="1" t="s">
        <v>1269</v>
      </c>
      <c r="C556" s="1" t="s">
        <v>10503</v>
      </c>
      <c r="D556" s="1" t="s">
        <v>8366</v>
      </c>
      <c r="E556" s="1"/>
      <c r="F556" s="1" t="s">
        <v>1226</v>
      </c>
      <c r="G556" s="1" t="s">
        <v>10504</v>
      </c>
      <c r="H556" s="1" t="s">
        <v>10505</v>
      </c>
      <c r="I556" s="1" t="s">
        <v>10506</v>
      </c>
      <c r="J556" s="1">
        <v>8219340773</v>
      </c>
      <c r="K556" s="1" t="s">
        <v>79</v>
      </c>
      <c r="L556" s="1" t="s">
        <v>10507</v>
      </c>
      <c r="M556" s="1" t="s">
        <v>81</v>
      </c>
      <c r="N556" s="1" t="s">
        <v>241</v>
      </c>
      <c r="O556" s="1"/>
      <c r="P556" s="1" t="s">
        <v>1298</v>
      </c>
      <c r="Q556" s="1" t="s">
        <v>10508</v>
      </c>
      <c r="R556" s="1" t="s">
        <v>10509</v>
      </c>
      <c r="S556" s="1">
        <v>8219544128</v>
      </c>
      <c r="T556" s="1" t="s">
        <v>10510</v>
      </c>
      <c r="U556" s="1" t="s">
        <v>10511</v>
      </c>
      <c r="V556" s="1">
        <v>9418016871</v>
      </c>
      <c r="W556" s="1" t="s">
        <v>1351</v>
      </c>
      <c r="X556" s="1" t="s">
        <v>10512</v>
      </c>
      <c r="Y556" s="1" t="s">
        <v>4691</v>
      </c>
      <c r="Z556" s="1" t="s">
        <v>3426</v>
      </c>
      <c r="AA556" s="1" t="s">
        <v>10512</v>
      </c>
      <c r="AB556" s="1" t="s">
        <v>4691</v>
      </c>
      <c r="AC556" s="1" t="s">
        <v>3426</v>
      </c>
      <c r="AD556" s="1">
        <v>8.34</v>
      </c>
      <c r="AE556" s="1" t="s">
        <v>93</v>
      </c>
      <c r="AF556" s="1" t="s">
        <v>10513</v>
      </c>
      <c r="AG556" s="1" t="s">
        <v>10514</v>
      </c>
      <c r="AH556" s="1" t="s">
        <v>479</v>
      </c>
      <c r="AI556" s="1" t="s">
        <v>166</v>
      </c>
      <c r="AJ556" s="1">
        <v>65.6</v>
      </c>
      <c r="AK556" s="1"/>
      <c r="AL556" s="1" t="s">
        <v>10515</v>
      </c>
      <c r="AM556" s="1" t="s">
        <v>10516</v>
      </c>
      <c r="AN556" s="1" t="s">
        <v>433</v>
      </c>
      <c r="AO556" s="1" t="s">
        <v>699</v>
      </c>
      <c r="AP556" s="1">
        <v>67</v>
      </c>
      <c r="AQ556" s="1"/>
      <c r="AR556" s="1"/>
      <c r="AS556" s="1"/>
      <c r="AT556" s="1"/>
      <c r="AU556" s="1"/>
      <c r="AV556" s="1"/>
      <c r="AW556" s="1"/>
      <c r="AX556" s="1" t="s">
        <v>10517</v>
      </c>
      <c r="AY556" s="1" t="s">
        <v>10518</v>
      </c>
      <c r="AZ556" s="1" t="s">
        <v>170</v>
      </c>
      <c r="BA556" s="1" t="s">
        <v>1939</v>
      </c>
      <c r="BB556" s="1">
        <v>74.29</v>
      </c>
      <c r="BC556" s="1">
        <v>7.82</v>
      </c>
      <c r="BD556" s="1"/>
      <c r="BE556" s="1"/>
      <c r="BF556" s="1"/>
      <c r="BG556" s="1"/>
      <c r="BH556" s="1"/>
      <c r="BI556" s="1"/>
      <c r="BJ556" s="1" t="s">
        <v>10519</v>
      </c>
      <c r="BK556" s="1"/>
      <c r="BL556" s="1"/>
      <c r="BM556" s="1" t="s">
        <v>10520</v>
      </c>
      <c r="BN556" s="1">
        <v>39</v>
      </c>
      <c r="BO556" s="1" t="s">
        <v>10521</v>
      </c>
      <c r="BP556" s="1" t="str">
        <f>HYPERLINK("https://nconnect.nicmar.ac.in/storage/profile/ProfilePhoto_P25700514_542397.jpg","Download")</f>
        <v>0</v>
      </c>
      <c r="BQ556" s="3"/>
      <c r="BR556" s="3"/>
    </row>
    <row r="557" spans="1:70">
      <c r="A557" s="1" t="s">
        <v>70</v>
      </c>
      <c r="B557" s="1" t="s">
        <v>1269</v>
      </c>
      <c r="C557" s="1" t="s">
        <v>10522</v>
      </c>
      <c r="D557" s="1" t="s">
        <v>5927</v>
      </c>
      <c r="E557" s="1" t="s">
        <v>3057</v>
      </c>
      <c r="F557" s="1" t="s">
        <v>10523</v>
      </c>
      <c r="G557" s="1" t="s">
        <v>10524</v>
      </c>
      <c r="H557" s="1" t="s">
        <v>10525</v>
      </c>
      <c r="I557" s="1" t="s">
        <v>10526</v>
      </c>
      <c r="J557" s="1">
        <v>9922596396</v>
      </c>
      <c r="K557" s="1" t="s">
        <v>79</v>
      </c>
      <c r="L557" s="1" t="s">
        <v>349</v>
      </c>
      <c r="M557" s="1" t="s">
        <v>81</v>
      </c>
      <c r="N557" s="1" t="s">
        <v>1618</v>
      </c>
      <c r="O557" s="1"/>
      <c r="P557" s="1" t="s">
        <v>1298</v>
      </c>
      <c r="Q557" s="1" t="s">
        <v>10527</v>
      </c>
      <c r="R557" s="1" t="s">
        <v>3057</v>
      </c>
      <c r="S557" s="1">
        <v>9822596346</v>
      </c>
      <c r="T557" s="1" t="s">
        <v>154</v>
      </c>
      <c r="U557" s="1" t="s">
        <v>10528</v>
      </c>
      <c r="V557" s="1">
        <v>9404403646</v>
      </c>
      <c r="W557" s="1" t="s">
        <v>156</v>
      </c>
      <c r="X557" s="1" t="s">
        <v>10529</v>
      </c>
      <c r="Y557" s="1" t="s">
        <v>5937</v>
      </c>
      <c r="Z557" s="1" t="s">
        <v>92</v>
      </c>
      <c r="AA557" s="1" t="s">
        <v>10529</v>
      </c>
      <c r="AB557" s="1" t="s">
        <v>5937</v>
      </c>
      <c r="AC557" s="1" t="s">
        <v>92</v>
      </c>
      <c r="AD557" s="1">
        <v>8.66</v>
      </c>
      <c r="AE557" s="1" t="s">
        <v>93</v>
      </c>
      <c r="AF557" s="1" t="s">
        <v>10530</v>
      </c>
      <c r="AG557" s="1" t="s">
        <v>3558</v>
      </c>
      <c r="AH557" s="1" t="s">
        <v>165</v>
      </c>
      <c r="AI557" s="1" t="s">
        <v>281</v>
      </c>
      <c r="AJ557" s="1">
        <v>87.2</v>
      </c>
      <c r="AK557" s="1">
        <v>0</v>
      </c>
      <c r="AL557" s="1" t="s">
        <v>10531</v>
      </c>
      <c r="AM557" s="1" t="s">
        <v>3558</v>
      </c>
      <c r="AN557" s="1" t="s">
        <v>433</v>
      </c>
      <c r="AO557" s="1" t="s">
        <v>941</v>
      </c>
      <c r="AP557" s="1">
        <v>63.54</v>
      </c>
      <c r="AQ557" s="1">
        <v>0</v>
      </c>
      <c r="AR557" s="1"/>
      <c r="AS557" s="1"/>
      <c r="AT557" s="1"/>
      <c r="AU557" s="1"/>
      <c r="AV557" s="1"/>
      <c r="AW557" s="1"/>
      <c r="AX557" s="1" t="s">
        <v>361</v>
      </c>
      <c r="AY557" s="1" t="s">
        <v>10532</v>
      </c>
      <c r="AZ557" s="1" t="s">
        <v>363</v>
      </c>
      <c r="BA557" s="1" t="s">
        <v>202</v>
      </c>
      <c r="BB557" s="1">
        <v>66</v>
      </c>
      <c r="BC557" s="1">
        <v>7.35</v>
      </c>
      <c r="BD557" s="1"/>
      <c r="BE557" s="1"/>
      <c r="BF557" s="1"/>
      <c r="BG557" s="1"/>
      <c r="BH557" s="1"/>
      <c r="BI557" s="1"/>
      <c r="BJ557" s="1" t="s">
        <v>364</v>
      </c>
      <c r="BK557" s="1"/>
      <c r="BL557" s="1"/>
      <c r="BM557" s="1" t="s">
        <v>10533</v>
      </c>
      <c r="BN557" s="1">
        <v>11</v>
      </c>
      <c r="BO557" s="1"/>
      <c r="BP557" s="1" t="str">
        <f>HYPERLINK("https://nconnect.nicmar.ac.in/storage/profile/ProfilePhoto_P25700515_823165.jpg","Download")</f>
        <v>0</v>
      </c>
      <c r="BQ557" s="3"/>
      <c r="BR557" s="3"/>
    </row>
    <row r="558" spans="1:70">
      <c r="A558" s="1" t="s">
        <v>70</v>
      </c>
      <c r="B558" s="1" t="s">
        <v>1269</v>
      </c>
      <c r="C558" s="1" t="s">
        <v>10534</v>
      </c>
      <c r="D558" s="1" t="s">
        <v>533</v>
      </c>
      <c r="E558" s="1" t="s">
        <v>756</v>
      </c>
      <c r="F558" s="1" t="s">
        <v>10535</v>
      </c>
      <c r="G558" s="1" t="s">
        <v>10536</v>
      </c>
      <c r="H558" s="1" t="s">
        <v>10537</v>
      </c>
      <c r="I558" s="1" t="s">
        <v>10538</v>
      </c>
      <c r="J558" s="1">
        <v>9307621134</v>
      </c>
      <c r="K558" s="1" t="s">
        <v>79</v>
      </c>
      <c r="L558" s="1" t="s">
        <v>10539</v>
      </c>
      <c r="M558" s="1" t="s">
        <v>81</v>
      </c>
      <c r="N558" s="1" t="s">
        <v>1418</v>
      </c>
      <c r="O558" s="1"/>
      <c r="P558" s="1" t="s">
        <v>1278</v>
      </c>
      <c r="Q558" s="1" t="s">
        <v>10540</v>
      </c>
      <c r="R558" s="1" t="s">
        <v>756</v>
      </c>
      <c r="S558" s="1">
        <v>9096785329</v>
      </c>
      <c r="T558" s="1" t="s">
        <v>120</v>
      </c>
      <c r="U558" s="1" t="s">
        <v>10541</v>
      </c>
      <c r="V558" s="1">
        <v>8788918431</v>
      </c>
      <c r="W558" s="1" t="s">
        <v>156</v>
      </c>
      <c r="X558" s="1" t="s">
        <v>10542</v>
      </c>
      <c r="Y558" s="1" t="s">
        <v>191</v>
      </c>
      <c r="Z558" s="1" t="s">
        <v>92</v>
      </c>
      <c r="AA558" s="1" t="s">
        <v>10543</v>
      </c>
      <c r="AB558" s="1" t="s">
        <v>4337</v>
      </c>
      <c r="AC558" s="1" t="s">
        <v>92</v>
      </c>
      <c r="AD558" s="1">
        <v>8.96</v>
      </c>
      <c r="AE558" s="1" t="s">
        <v>93</v>
      </c>
      <c r="AF558" s="1" t="s">
        <v>10544</v>
      </c>
      <c r="AG558" s="1" t="s">
        <v>160</v>
      </c>
      <c r="AH558" s="1" t="s">
        <v>161</v>
      </c>
      <c r="AI558" s="1" t="s">
        <v>162</v>
      </c>
      <c r="AJ558" s="1">
        <v>89.2</v>
      </c>
      <c r="AK558" s="1"/>
      <c r="AL558" s="1"/>
      <c r="AM558" s="1"/>
      <c r="AN558" s="1"/>
      <c r="AO558" s="1"/>
      <c r="AP558" s="1"/>
      <c r="AQ558" s="1"/>
      <c r="AR558" s="1" t="s">
        <v>98</v>
      </c>
      <c r="AS558" s="1" t="s">
        <v>10545</v>
      </c>
      <c r="AT558" s="1" t="s">
        <v>733</v>
      </c>
      <c r="AU558" s="1" t="s">
        <v>433</v>
      </c>
      <c r="AV558" s="1">
        <v>82.36</v>
      </c>
      <c r="AW558" s="1"/>
      <c r="AX558" s="1" t="s">
        <v>361</v>
      </c>
      <c r="AY558" s="1" t="s">
        <v>10546</v>
      </c>
      <c r="AZ558" s="1" t="s">
        <v>201</v>
      </c>
      <c r="BA558" s="1" t="s">
        <v>105</v>
      </c>
      <c r="BB558" s="1">
        <v>83.3</v>
      </c>
      <c r="BC558" s="1">
        <v>9.36</v>
      </c>
      <c r="BD558" s="1"/>
      <c r="BE558" s="1"/>
      <c r="BF558" s="1"/>
      <c r="BG558" s="1"/>
      <c r="BH558" s="1"/>
      <c r="BI558" s="1"/>
      <c r="BJ558" s="1" t="s">
        <v>10547</v>
      </c>
      <c r="BK558" s="1" t="s">
        <v>10548</v>
      </c>
      <c r="BL558" s="1" t="s">
        <v>1523</v>
      </c>
      <c r="BM558" s="1" t="s">
        <v>10549</v>
      </c>
      <c r="BN558" s="1">
        <v>8</v>
      </c>
      <c r="BO558" s="1"/>
      <c r="BP558" s="1" t="str">
        <f>HYPERLINK("https://nconnect.nicmar.ac.in/storage/profile/ProfilePhoto_P25700516_637824.jpg","Download")</f>
        <v>0</v>
      </c>
      <c r="BQ558" s="3"/>
      <c r="BR558" s="3"/>
    </row>
    <row r="559" spans="1:70">
      <c r="A559" s="1" t="s">
        <v>70</v>
      </c>
      <c r="B559" s="1" t="s">
        <v>1269</v>
      </c>
      <c r="C559" s="1" t="s">
        <v>10550</v>
      </c>
      <c r="D559" s="1" t="s">
        <v>3304</v>
      </c>
      <c r="E559" s="1" t="s">
        <v>10551</v>
      </c>
      <c r="F559" s="1" t="s">
        <v>10552</v>
      </c>
      <c r="G559" s="1" t="s">
        <v>10553</v>
      </c>
      <c r="H559" s="1" t="s">
        <v>10554</v>
      </c>
      <c r="I559" s="1" t="s">
        <v>10555</v>
      </c>
      <c r="J559" s="1">
        <v>9076063062</v>
      </c>
      <c r="K559" s="1" t="s">
        <v>79</v>
      </c>
      <c r="L559" s="1" t="s">
        <v>2434</v>
      </c>
      <c r="M559" s="1" t="s">
        <v>81</v>
      </c>
      <c r="N559" s="1" t="s">
        <v>10556</v>
      </c>
      <c r="O559" s="1"/>
      <c r="P559" s="1" t="s">
        <v>1323</v>
      </c>
      <c r="Q559" s="1" t="s">
        <v>10557</v>
      </c>
      <c r="R559" s="1" t="s">
        <v>10558</v>
      </c>
      <c r="S559" s="1">
        <v>9324239435</v>
      </c>
      <c r="T559" s="1" t="s">
        <v>10559</v>
      </c>
      <c r="U559" s="1" t="s">
        <v>10560</v>
      </c>
      <c r="V559" s="1">
        <v>9322753316</v>
      </c>
      <c r="W559" s="1" t="s">
        <v>156</v>
      </c>
      <c r="X559" s="1" t="s">
        <v>10561</v>
      </c>
      <c r="Y559" s="1" t="s">
        <v>766</v>
      </c>
      <c r="Z559" s="1" t="s">
        <v>92</v>
      </c>
      <c r="AA559" s="1" t="s">
        <v>10561</v>
      </c>
      <c r="AB559" s="1" t="s">
        <v>766</v>
      </c>
      <c r="AC559" s="1" t="s">
        <v>92</v>
      </c>
      <c r="AD559" s="1">
        <v>8.23</v>
      </c>
      <c r="AE559" s="1" t="s">
        <v>93</v>
      </c>
      <c r="AF559" s="1" t="s">
        <v>10562</v>
      </c>
      <c r="AG559" s="1" t="s">
        <v>476</v>
      </c>
      <c r="AH559" s="1" t="s">
        <v>162</v>
      </c>
      <c r="AI559" s="1" t="s">
        <v>195</v>
      </c>
      <c r="AJ559" s="1">
        <v>76.8</v>
      </c>
      <c r="AK559" s="1"/>
      <c r="AL559" s="1" t="s">
        <v>10563</v>
      </c>
      <c r="AM559" s="1" t="s">
        <v>476</v>
      </c>
      <c r="AN559" s="1" t="s">
        <v>383</v>
      </c>
      <c r="AO559" s="1" t="s">
        <v>198</v>
      </c>
      <c r="AP559" s="1">
        <v>66.31</v>
      </c>
      <c r="AQ559" s="1"/>
      <c r="AR559" s="1"/>
      <c r="AS559" s="1"/>
      <c r="AT559" s="1"/>
      <c r="AU559" s="1"/>
      <c r="AV559" s="1"/>
      <c r="AW559" s="1"/>
      <c r="AX559" s="1" t="s">
        <v>253</v>
      </c>
      <c r="AY559" s="1" t="s">
        <v>10564</v>
      </c>
      <c r="AZ559" s="1" t="s">
        <v>201</v>
      </c>
      <c r="BA559" s="1" t="s">
        <v>549</v>
      </c>
      <c r="BB559" s="1">
        <v>68.56</v>
      </c>
      <c r="BC559" s="1">
        <v>7.76</v>
      </c>
      <c r="BD559" s="1"/>
      <c r="BE559" s="1"/>
      <c r="BF559" s="1"/>
      <c r="BG559" s="1"/>
      <c r="BH559" s="1"/>
      <c r="BI559" s="1"/>
      <c r="BJ559" s="1" t="s">
        <v>10565</v>
      </c>
      <c r="BK559" s="1" t="s">
        <v>10566</v>
      </c>
      <c r="BL559" s="1" t="s">
        <v>1385</v>
      </c>
      <c r="BM559" s="1" t="s">
        <v>10567</v>
      </c>
      <c r="BN559" s="1">
        <v>10</v>
      </c>
      <c r="BO559" s="1" t="s">
        <v>10568</v>
      </c>
      <c r="BP559" s="1" t="str">
        <f>HYPERLINK("https://nconnect.nicmar.ac.in/storage/profile/ProfilePhoto_P25700518_691543.jpg","Download")</f>
        <v>0</v>
      </c>
      <c r="BQ559" s="3"/>
      <c r="BR559" s="3"/>
    </row>
    <row r="560" spans="1:70">
      <c r="A560" s="1" t="s">
        <v>70</v>
      </c>
      <c r="B560" s="1" t="s">
        <v>1269</v>
      </c>
      <c r="C560" s="1" t="s">
        <v>10569</v>
      </c>
      <c r="D560" s="1" t="s">
        <v>793</v>
      </c>
      <c r="E560" s="1" t="s">
        <v>10570</v>
      </c>
      <c r="F560" s="1" t="s">
        <v>10571</v>
      </c>
      <c r="G560" s="1" t="s">
        <v>10572</v>
      </c>
      <c r="H560" s="1" t="s">
        <v>10573</v>
      </c>
      <c r="I560" s="1" t="s">
        <v>10574</v>
      </c>
      <c r="J560" s="1">
        <v>9021176308</v>
      </c>
      <c r="K560" s="1" t="s">
        <v>79</v>
      </c>
      <c r="L560" s="1" t="s">
        <v>2113</v>
      </c>
      <c r="M560" s="1" t="s">
        <v>81</v>
      </c>
      <c r="N560" s="1" t="s">
        <v>10575</v>
      </c>
      <c r="O560" s="1"/>
      <c r="P560" s="1" t="s">
        <v>1323</v>
      </c>
      <c r="Q560" s="1" t="s">
        <v>10576</v>
      </c>
      <c r="R560" s="1" t="s">
        <v>10570</v>
      </c>
      <c r="S560" s="1">
        <v>8788024171</v>
      </c>
      <c r="T560" s="1" t="s">
        <v>9102</v>
      </c>
      <c r="U560" s="1" t="s">
        <v>10577</v>
      </c>
      <c r="V560" s="1">
        <v>8482965232</v>
      </c>
      <c r="W560" s="1" t="s">
        <v>89</v>
      </c>
      <c r="X560" s="1" t="s">
        <v>10578</v>
      </c>
      <c r="Y560" s="1" t="s">
        <v>191</v>
      </c>
      <c r="Z560" s="1" t="s">
        <v>92</v>
      </c>
      <c r="AA560" s="1" t="s">
        <v>10579</v>
      </c>
      <c r="AB560" s="1" t="s">
        <v>158</v>
      </c>
      <c r="AC560" s="1" t="s">
        <v>92</v>
      </c>
      <c r="AD560" s="1">
        <v>7.25</v>
      </c>
      <c r="AE560" s="1" t="s">
        <v>93</v>
      </c>
      <c r="AF560" s="1" t="s">
        <v>10580</v>
      </c>
      <c r="AG560" s="1" t="s">
        <v>10581</v>
      </c>
      <c r="AH560" s="1" t="s">
        <v>161</v>
      </c>
      <c r="AI560" s="1" t="s">
        <v>162</v>
      </c>
      <c r="AJ560" s="1">
        <v>70.4</v>
      </c>
      <c r="AK560" s="1"/>
      <c r="AL560" s="1"/>
      <c r="AM560" s="1"/>
      <c r="AN560" s="1"/>
      <c r="AO560" s="1"/>
      <c r="AP560" s="1"/>
      <c r="AQ560" s="1"/>
      <c r="AR560" s="1" t="s">
        <v>98</v>
      </c>
      <c r="AS560" s="1" t="s">
        <v>10582</v>
      </c>
      <c r="AT560" s="1" t="s">
        <v>162</v>
      </c>
      <c r="AU560" s="1" t="s">
        <v>433</v>
      </c>
      <c r="AV560" s="1">
        <v>70.61</v>
      </c>
      <c r="AW560" s="1"/>
      <c r="AX560" s="1" t="s">
        <v>5322</v>
      </c>
      <c r="AY560" s="1" t="s">
        <v>10583</v>
      </c>
      <c r="AZ560" s="1" t="s">
        <v>310</v>
      </c>
      <c r="BA560" s="1" t="s">
        <v>105</v>
      </c>
      <c r="BB560" s="1">
        <v>72.86</v>
      </c>
      <c r="BC560" s="1">
        <v>8.71</v>
      </c>
      <c r="BD560" s="1"/>
      <c r="BE560" s="1"/>
      <c r="BF560" s="1"/>
      <c r="BG560" s="1"/>
      <c r="BH560" s="1"/>
      <c r="BI560" s="1"/>
      <c r="BJ560" s="1" t="s">
        <v>10584</v>
      </c>
      <c r="BK560" s="1" t="s">
        <v>10585</v>
      </c>
      <c r="BL560" s="1" t="s">
        <v>2187</v>
      </c>
      <c r="BM560" s="1" t="s">
        <v>10586</v>
      </c>
      <c r="BN560" s="1">
        <v>33</v>
      </c>
      <c r="BO560" s="1" t="s">
        <v>10587</v>
      </c>
      <c r="BP560" s="1" t="str">
        <f>HYPERLINK("https://nconnect.nicmar.ac.in/storage/profile/ProfilePhoto_P25700519_691532.jpg","Download")</f>
        <v>0</v>
      </c>
      <c r="BQ560" s="3"/>
      <c r="BR560" s="3"/>
    </row>
    <row r="561" spans="1:70">
      <c r="A561" s="1" t="s">
        <v>70</v>
      </c>
      <c r="B561" s="1" t="s">
        <v>1269</v>
      </c>
      <c r="C561" s="1" t="s">
        <v>10588</v>
      </c>
      <c r="D561" s="1" t="s">
        <v>2024</v>
      </c>
      <c r="E561" s="1" t="s">
        <v>2252</v>
      </c>
      <c r="F561" s="1" t="s">
        <v>596</v>
      </c>
      <c r="G561" s="1" t="s">
        <v>10589</v>
      </c>
      <c r="H561" s="1" t="s">
        <v>10590</v>
      </c>
      <c r="I561" s="1" t="s">
        <v>10591</v>
      </c>
      <c r="J561" s="1">
        <v>7799077947</v>
      </c>
      <c r="K561" s="1" t="s">
        <v>79</v>
      </c>
      <c r="L561" s="1" t="s">
        <v>3098</v>
      </c>
      <c r="M561" s="1" t="s">
        <v>81</v>
      </c>
      <c r="N561" s="1" t="s">
        <v>10592</v>
      </c>
      <c r="O561" s="1"/>
      <c r="P561" s="1" t="s">
        <v>1278</v>
      </c>
      <c r="Q561" s="1" t="s">
        <v>10593</v>
      </c>
      <c r="R561" s="1" t="s">
        <v>10594</v>
      </c>
      <c r="S561" s="1">
        <v>9848182964</v>
      </c>
      <c r="T561" s="1" t="s">
        <v>10595</v>
      </c>
      <c r="U561" s="1" t="s">
        <v>10596</v>
      </c>
      <c r="V561" s="1">
        <v>8341872855</v>
      </c>
      <c r="W561" s="1" t="s">
        <v>156</v>
      </c>
      <c r="X561" s="1" t="s">
        <v>10597</v>
      </c>
      <c r="Y561" s="1" t="s">
        <v>4834</v>
      </c>
      <c r="Z561" s="1" t="s">
        <v>609</v>
      </c>
      <c r="AA561" s="1" t="s">
        <v>10597</v>
      </c>
      <c r="AB561" s="1" t="s">
        <v>4834</v>
      </c>
      <c r="AC561" s="1" t="s">
        <v>609</v>
      </c>
      <c r="AD561" s="1">
        <v>7.79</v>
      </c>
      <c r="AE561" s="1" t="s">
        <v>93</v>
      </c>
      <c r="AF561" s="1" t="s">
        <v>10598</v>
      </c>
      <c r="AG561" s="1" t="s">
        <v>1064</v>
      </c>
      <c r="AH561" s="1" t="s">
        <v>162</v>
      </c>
      <c r="AI561" s="1" t="s">
        <v>195</v>
      </c>
      <c r="AJ561" s="1">
        <v>88.35</v>
      </c>
      <c r="AK561" s="1">
        <v>9.3</v>
      </c>
      <c r="AL561" s="1" t="s">
        <v>10599</v>
      </c>
      <c r="AM561" s="1" t="s">
        <v>10600</v>
      </c>
      <c r="AN561" s="1" t="s">
        <v>165</v>
      </c>
      <c r="AO561" s="1" t="s">
        <v>409</v>
      </c>
      <c r="AP561" s="1">
        <v>92.6</v>
      </c>
      <c r="AQ561" s="1">
        <v>9.26</v>
      </c>
      <c r="AR561" s="1"/>
      <c r="AS561" s="1"/>
      <c r="AT561" s="1"/>
      <c r="AU561" s="1"/>
      <c r="AV561" s="1"/>
      <c r="AW561" s="1"/>
      <c r="AX561" s="1" t="s">
        <v>10601</v>
      </c>
      <c r="AY561" s="1" t="s">
        <v>10602</v>
      </c>
      <c r="AZ561" s="1" t="s">
        <v>310</v>
      </c>
      <c r="BA561" s="1" t="s">
        <v>1090</v>
      </c>
      <c r="BB561" s="1">
        <v>62.7</v>
      </c>
      <c r="BC561" s="1">
        <v>6.77</v>
      </c>
      <c r="BD561" s="1"/>
      <c r="BE561" s="1"/>
      <c r="BF561" s="1"/>
      <c r="BG561" s="1"/>
      <c r="BH561" s="1"/>
      <c r="BI561" s="1"/>
      <c r="BJ561" s="1" t="s">
        <v>364</v>
      </c>
      <c r="BK561" s="1" t="s">
        <v>10603</v>
      </c>
      <c r="BL561" s="1" t="s">
        <v>484</v>
      </c>
      <c r="BM561" s="1" t="s">
        <v>10604</v>
      </c>
      <c r="BN561" s="1">
        <v>34</v>
      </c>
      <c r="BO561" s="1" t="s">
        <v>10605</v>
      </c>
      <c r="BP561" s="1" t="str">
        <f>HYPERLINK("https://nconnect.nicmar.ac.in/storage/profile/ProfilePhoto_P25700520_925738.jpg","Download")</f>
        <v>0</v>
      </c>
      <c r="BQ561" s="3"/>
      <c r="BR561" s="3"/>
    </row>
    <row r="562" spans="1:70">
      <c r="A562" s="1" t="s">
        <v>70</v>
      </c>
      <c r="B562" s="1" t="s">
        <v>1269</v>
      </c>
      <c r="C562" s="1" t="s">
        <v>10606</v>
      </c>
      <c r="D562" s="1" t="s">
        <v>10607</v>
      </c>
      <c r="E562" s="1" t="s">
        <v>10608</v>
      </c>
      <c r="F562" s="1" t="s">
        <v>10609</v>
      </c>
      <c r="G562" s="1" t="s">
        <v>10610</v>
      </c>
      <c r="H562" s="1" t="s">
        <v>10611</v>
      </c>
      <c r="I562" s="1" t="s">
        <v>10612</v>
      </c>
      <c r="J562" s="1">
        <v>9767879369</v>
      </c>
      <c r="K562" s="1" t="s">
        <v>79</v>
      </c>
      <c r="L562" s="1" t="s">
        <v>10613</v>
      </c>
      <c r="M562" s="1" t="s">
        <v>81</v>
      </c>
      <c r="N562" s="1" t="s">
        <v>6122</v>
      </c>
      <c r="O562" s="1"/>
      <c r="P562" s="1" t="s">
        <v>1278</v>
      </c>
      <c r="Q562" s="1" t="s">
        <v>10614</v>
      </c>
      <c r="R562" s="1" t="s">
        <v>10615</v>
      </c>
      <c r="S562" s="1">
        <v>9422360231</v>
      </c>
      <c r="T562" s="1" t="s">
        <v>10616</v>
      </c>
      <c r="U562" s="1" t="s">
        <v>10617</v>
      </c>
      <c r="V562" s="1">
        <v>9421931938</v>
      </c>
      <c r="W562" s="1" t="s">
        <v>156</v>
      </c>
      <c r="X562" s="1" t="s">
        <v>10618</v>
      </c>
      <c r="Y562" s="1" t="s">
        <v>8391</v>
      </c>
      <c r="Z562" s="1" t="s">
        <v>92</v>
      </c>
      <c r="AA562" s="1" t="s">
        <v>10618</v>
      </c>
      <c r="AB562" s="1" t="s">
        <v>8391</v>
      </c>
      <c r="AC562" s="1" t="s">
        <v>92</v>
      </c>
      <c r="AD562" s="1">
        <v>7.51</v>
      </c>
      <c r="AE562" s="1" t="s">
        <v>93</v>
      </c>
      <c r="AF562" s="1" t="s">
        <v>10619</v>
      </c>
      <c r="AG562" s="1" t="s">
        <v>10620</v>
      </c>
      <c r="AH562" s="1" t="s">
        <v>131</v>
      </c>
      <c r="AI562" s="1" t="s">
        <v>527</v>
      </c>
      <c r="AJ562" s="1">
        <v>71.2</v>
      </c>
      <c r="AK562" s="1">
        <v>7.8</v>
      </c>
      <c r="AL562" s="1" t="s">
        <v>10621</v>
      </c>
      <c r="AM562" s="1" t="s">
        <v>10622</v>
      </c>
      <c r="AN562" s="1" t="s">
        <v>733</v>
      </c>
      <c r="AO562" s="1" t="s">
        <v>101</v>
      </c>
      <c r="AP562" s="1">
        <v>60.31</v>
      </c>
      <c r="AQ562" s="1"/>
      <c r="AR562" s="1"/>
      <c r="AS562" s="1"/>
      <c r="AT562" s="1"/>
      <c r="AU562" s="1"/>
      <c r="AV562" s="1"/>
      <c r="AW562" s="1"/>
      <c r="AX562" s="1" t="s">
        <v>361</v>
      </c>
      <c r="AY562" s="1" t="s">
        <v>10623</v>
      </c>
      <c r="AZ562" s="1" t="s">
        <v>636</v>
      </c>
      <c r="BA562" s="1" t="s">
        <v>174</v>
      </c>
      <c r="BB562" s="1">
        <v>64.1</v>
      </c>
      <c r="BC562" s="1">
        <v>7.16</v>
      </c>
      <c r="BD562" s="1"/>
      <c r="BE562" s="1"/>
      <c r="BF562" s="1"/>
      <c r="BG562" s="1"/>
      <c r="BH562" s="1"/>
      <c r="BI562" s="1"/>
      <c r="BJ562" s="1" t="s">
        <v>4112</v>
      </c>
      <c r="BK562" s="1" t="s">
        <v>10624</v>
      </c>
      <c r="BL562" s="1" t="s">
        <v>484</v>
      </c>
      <c r="BM562" s="1" t="s">
        <v>10625</v>
      </c>
      <c r="BN562" s="1">
        <v>8</v>
      </c>
      <c r="BO562" s="1"/>
      <c r="BP562" s="1" t="str">
        <f>HYPERLINK("https://nconnect.nicmar.ac.in/storage/profile/ProfilePhoto_P25700521_734961.jpg","Download")</f>
        <v>0</v>
      </c>
      <c r="BQ562" s="3"/>
      <c r="BR562" s="3"/>
    </row>
    <row r="563" spans="1:70">
      <c r="A563" s="1" t="s">
        <v>70</v>
      </c>
      <c r="B563" s="1" t="s">
        <v>1269</v>
      </c>
      <c r="C563" s="1" t="s">
        <v>10626</v>
      </c>
      <c r="D563" s="1" t="s">
        <v>10627</v>
      </c>
      <c r="E563" s="1"/>
      <c r="F563" s="1" t="s">
        <v>10628</v>
      </c>
      <c r="G563" s="1" t="s">
        <v>10629</v>
      </c>
      <c r="H563" s="1" t="s">
        <v>10630</v>
      </c>
      <c r="I563" s="1" t="s">
        <v>10631</v>
      </c>
      <c r="J563" s="1">
        <v>7001957741</v>
      </c>
      <c r="K563" s="1" t="s">
        <v>79</v>
      </c>
      <c r="L563" s="1" t="s">
        <v>10632</v>
      </c>
      <c r="M563" s="1" t="s">
        <v>81</v>
      </c>
      <c r="N563" s="1" t="s">
        <v>4410</v>
      </c>
      <c r="O563" s="1"/>
      <c r="P563" s="1" t="s">
        <v>1323</v>
      </c>
      <c r="Q563" s="1" t="s">
        <v>10633</v>
      </c>
      <c r="R563" s="1" t="s">
        <v>10634</v>
      </c>
      <c r="S563" s="1">
        <v>9475017404</v>
      </c>
      <c r="T563" s="1" t="s">
        <v>10635</v>
      </c>
      <c r="U563" s="1" t="s">
        <v>10636</v>
      </c>
      <c r="V563" s="1">
        <v>9474400329</v>
      </c>
      <c r="W563" s="1" t="s">
        <v>273</v>
      </c>
      <c r="X563" s="1" t="s">
        <v>10637</v>
      </c>
      <c r="Y563" s="1" t="s">
        <v>2072</v>
      </c>
      <c r="Z563" s="1" t="s">
        <v>783</v>
      </c>
      <c r="AA563" s="1" t="s">
        <v>10637</v>
      </c>
      <c r="AB563" s="1" t="s">
        <v>2072</v>
      </c>
      <c r="AC563" s="1" t="s">
        <v>783</v>
      </c>
      <c r="AD563" s="1">
        <v>7.48</v>
      </c>
      <c r="AE563" s="1" t="s">
        <v>93</v>
      </c>
      <c r="AF563" s="1" t="s">
        <v>10638</v>
      </c>
      <c r="AG563" s="1" t="s">
        <v>785</v>
      </c>
      <c r="AH563" s="1" t="s">
        <v>477</v>
      </c>
      <c r="AI563" s="1" t="s">
        <v>131</v>
      </c>
      <c r="AJ563" s="1">
        <v>84.71</v>
      </c>
      <c r="AK563" s="1"/>
      <c r="AL563" s="1" t="s">
        <v>10639</v>
      </c>
      <c r="AM563" s="1" t="s">
        <v>4091</v>
      </c>
      <c r="AN563" s="1" t="s">
        <v>527</v>
      </c>
      <c r="AO563" s="1" t="s">
        <v>479</v>
      </c>
      <c r="AP563" s="1">
        <v>70.6</v>
      </c>
      <c r="AQ563" s="1"/>
      <c r="AR563" s="1"/>
      <c r="AS563" s="1"/>
      <c r="AT563" s="1"/>
      <c r="AU563" s="1"/>
      <c r="AV563" s="1"/>
      <c r="AW563" s="1"/>
      <c r="AX563" s="1" t="s">
        <v>10640</v>
      </c>
      <c r="AY563" s="1" t="s">
        <v>10641</v>
      </c>
      <c r="AZ563" s="1" t="s">
        <v>383</v>
      </c>
      <c r="BA563" s="1" t="s">
        <v>506</v>
      </c>
      <c r="BB563" s="1">
        <v>69.8</v>
      </c>
      <c r="BC563" s="1"/>
      <c r="BD563" s="1"/>
      <c r="BE563" s="1"/>
      <c r="BF563" s="1"/>
      <c r="BG563" s="1"/>
      <c r="BH563" s="1"/>
      <c r="BI563" s="1"/>
      <c r="BJ563" s="1" t="s">
        <v>1383</v>
      </c>
      <c r="BK563" s="1" t="s">
        <v>10642</v>
      </c>
      <c r="BL563" s="1" t="s">
        <v>8700</v>
      </c>
      <c r="BM563" s="1" t="s">
        <v>10643</v>
      </c>
      <c r="BN563" s="1">
        <v>9</v>
      </c>
      <c r="BO563" s="1" t="s">
        <v>10644</v>
      </c>
      <c r="BP563" s="1" t="str">
        <f>HYPERLINK("https://nconnect.nicmar.ac.in/storage/profile/ProfilePhoto_P25700522_658429.jpg","Download")</f>
        <v>0</v>
      </c>
      <c r="BQ563" s="3"/>
      <c r="BR563" s="3"/>
    </row>
    <row r="564" spans="1:70">
      <c r="A564" s="1" t="s">
        <v>70</v>
      </c>
      <c r="B564" s="1" t="s">
        <v>1269</v>
      </c>
      <c r="C564" s="1" t="s">
        <v>10645</v>
      </c>
      <c r="D564" s="1" t="s">
        <v>10646</v>
      </c>
      <c r="E564" s="1"/>
      <c r="F564" s="1" t="s">
        <v>10647</v>
      </c>
      <c r="G564" s="1" t="s">
        <v>10648</v>
      </c>
      <c r="H564" s="1" t="s">
        <v>10649</v>
      </c>
      <c r="I564" s="1" t="s">
        <v>10650</v>
      </c>
      <c r="J564" s="1">
        <v>9495201735</v>
      </c>
      <c r="K564" s="1" t="s">
        <v>79</v>
      </c>
      <c r="L564" s="1" t="s">
        <v>2028</v>
      </c>
      <c r="M564" s="1" t="s">
        <v>81</v>
      </c>
      <c r="N564" s="1" t="s">
        <v>10651</v>
      </c>
      <c r="O564" s="1"/>
      <c r="P564" s="1" t="s">
        <v>1278</v>
      </c>
      <c r="Q564" s="1" t="s">
        <v>10652</v>
      </c>
      <c r="R564" s="1" t="s">
        <v>10653</v>
      </c>
      <c r="S564" s="1">
        <v>9447053735</v>
      </c>
      <c r="T564" s="1" t="s">
        <v>120</v>
      </c>
      <c r="U564" s="1" t="s">
        <v>10654</v>
      </c>
      <c r="V564" s="1">
        <v>9497091530</v>
      </c>
      <c r="W564" s="1" t="s">
        <v>122</v>
      </c>
      <c r="X564" s="1" t="s">
        <v>10655</v>
      </c>
      <c r="Y564" s="1" t="s">
        <v>3330</v>
      </c>
      <c r="Z564" s="1" t="s">
        <v>125</v>
      </c>
      <c r="AA564" s="1" t="s">
        <v>10655</v>
      </c>
      <c r="AB564" s="1" t="s">
        <v>3330</v>
      </c>
      <c r="AC564" s="1" t="s">
        <v>125</v>
      </c>
      <c r="AD564" s="1">
        <v>8.69</v>
      </c>
      <c r="AE564" s="1" t="s">
        <v>93</v>
      </c>
      <c r="AF564" s="1" t="s">
        <v>10656</v>
      </c>
      <c r="AG564" s="1" t="s">
        <v>10657</v>
      </c>
      <c r="AH564" s="1" t="s">
        <v>101</v>
      </c>
      <c r="AI564" s="1" t="s">
        <v>308</v>
      </c>
      <c r="AJ564" s="1">
        <v>82.6</v>
      </c>
      <c r="AK564" s="1"/>
      <c r="AL564" s="1" t="s">
        <v>10658</v>
      </c>
      <c r="AM564" s="1" t="s">
        <v>10659</v>
      </c>
      <c r="AN564" s="1" t="s">
        <v>699</v>
      </c>
      <c r="AO564" s="1" t="s">
        <v>506</v>
      </c>
      <c r="AP564" s="1">
        <v>96.9</v>
      </c>
      <c r="AQ564" s="1"/>
      <c r="AR564" s="1"/>
      <c r="AS564" s="1"/>
      <c r="AT564" s="1"/>
      <c r="AU564" s="1"/>
      <c r="AV564" s="1"/>
      <c r="AW564" s="1"/>
      <c r="AX564" s="1" t="s">
        <v>1405</v>
      </c>
      <c r="AY564" s="1" t="s">
        <v>10660</v>
      </c>
      <c r="AZ564" s="1" t="s">
        <v>1407</v>
      </c>
      <c r="BA564" s="1" t="s">
        <v>1361</v>
      </c>
      <c r="BB564" s="1">
        <v>72.17</v>
      </c>
      <c r="BC564" s="1">
        <v>7.36</v>
      </c>
      <c r="BD564" s="1"/>
      <c r="BE564" s="1"/>
      <c r="BF564" s="1"/>
      <c r="BG564" s="1"/>
      <c r="BH564" s="1"/>
      <c r="BI564" s="1"/>
      <c r="BJ564" s="1" t="s">
        <v>10661</v>
      </c>
      <c r="BK564" s="1"/>
      <c r="BL564" s="1"/>
      <c r="BM564" s="1" t="s">
        <v>10662</v>
      </c>
      <c r="BN564" s="1">
        <v>12</v>
      </c>
      <c r="BO564" s="1" t="s">
        <v>10663</v>
      </c>
      <c r="BP564" s="1" t="str">
        <f>HYPERLINK("https://nconnect.nicmar.ac.in/storage/profile/ProfilePhoto_P25700524_859374.jpg","Download")</f>
        <v>0</v>
      </c>
      <c r="BQ564" s="3"/>
      <c r="BR564" s="3"/>
    </row>
    <row r="565" spans="1:70">
      <c r="A565" s="1" t="s">
        <v>70</v>
      </c>
      <c r="B565" s="1" t="s">
        <v>1269</v>
      </c>
      <c r="C565" s="1" t="s">
        <v>10664</v>
      </c>
      <c r="D565" s="1" t="s">
        <v>7453</v>
      </c>
      <c r="E565" s="1" t="s">
        <v>5088</v>
      </c>
      <c r="F565" s="1" t="s">
        <v>10665</v>
      </c>
      <c r="G565" s="1" t="s">
        <v>10666</v>
      </c>
      <c r="H565" s="1" t="s">
        <v>10667</v>
      </c>
      <c r="I565" s="1" t="s">
        <v>10668</v>
      </c>
      <c r="J565" s="1">
        <v>9820589566</v>
      </c>
      <c r="K565" s="1" t="s">
        <v>79</v>
      </c>
      <c r="L565" s="1" t="s">
        <v>10669</v>
      </c>
      <c r="M565" s="1" t="s">
        <v>81</v>
      </c>
      <c r="N565" s="1" t="s">
        <v>1418</v>
      </c>
      <c r="O565" s="1"/>
      <c r="P565" s="1" t="s">
        <v>1278</v>
      </c>
      <c r="Q565" s="1" t="s">
        <v>10670</v>
      </c>
      <c r="R565" s="1" t="s">
        <v>10671</v>
      </c>
      <c r="S565" s="1">
        <v>9833060168</v>
      </c>
      <c r="T565" s="1" t="s">
        <v>496</v>
      </c>
      <c r="U565" s="1" t="s">
        <v>10672</v>
      </c>
      <c r="V565" s="1">
        <v>9769471340</v>
      </c>
      <c r="W565" s="1" t="s">
        <v>156</v>
      </c>
      <c r="X565" s="1" t="s">
        <v>10673</v>
      </c>
      <c r="Y565" s="1" t="s">
        <v>1623</v>
      </c>
      <c r="Z565" s="1" t="s">
        <v>92</v>
      </c>
      <c r="AA565" s="1" t="s">
        <v>10673</v>
      </c>
      <c r="AB565" s="1" t="s">
        <v>1623</v>
      </c>
      <c r="AC565" s="1" t="s">
        <v>92</v>
      </c>
      <c r="AD565" s="1">
        <v>7.83</v>
      </c>
      <c r="AE565" s="1" t="s">
        <v>93</v>
      </c>
      <c r="AF565" s="1" t="s">
        <v>10674</v>
      </c>
      <c r="AG565" s="1" t="s">
        <v>476</v>
      </c>
      <c r="AH565" s="1" t="s">
        <v>161</v>
      </c>
      <c r="AI565" s="1" t="s">
        <v>162</v>
      </c>
      <c r="AJ565" s="1">
        <v>80.4</v>
      </c>
      <c r="AK565" s="1"/>
      <c r="AL565" s="1" t="s">
        <v>3048</v>
      </c>
      <c r="AM565" s="1" t="s">
        <v>476</v>
      </c>
      <c r="AN565" s="1" t="s">
        <v>165</v>
      </c>
      <c r="AO565" s="1" t="s">
        <v>166</v>
      </c>
      <c r="AP565" s="1">
        <v>67.23</v>
      </c>
      <c r="AQ565" s="1"/>
      <c r="AR565" s="1"/>
      <c r="AS565" s="1"/>
      <c r="AT565" s="1"/>
      <c r="AU565" s="1"/>
      <c r="AV565" s="1"/>
      <c r="AW565" s="1"/>
      <c r="AX565" s="1" t="s">
        <v>253</v>
      </c>
      <c r="AY565" s="1" t="s">
        <v>10675</v>
      </c>
      <c r="AZ565" s="1" t="s">
        <v>169</v>
      </c>
      <c r="BA565" s="1" t="s">
        <v>284</v>
      </c>
      <c r="BB565" s="1">
        <v>75.27</v>
      </c>
      <c r="BC565" s="1"/>
      <c r="BD565" s="1"/>
      <c r="BE565" s="1"/>
      <c r="BF565" s="1"/>
      <c r="BG565" s="1"/>
      <c r="BH565" s="1"/>
      <c r="BI565" s="1"/>
      <c r="BJ565" s="1" t="s">
        <v>1383</v>
      </c>
      <c r="BK565" s="1" t="s">
        <v>10676</v>
      </c>
      <c r="BL565" s="1" t="s">
        <v>138</v>
      </c>
      <c r="BM565" s="1" t="s">
        <v>10677</v>
      </c>
      <c r="BN565" s="1">
        <v>17</v>
      </c>
      <c r="BO565" s="1" t="s">
        <v>10678</v>
      </c>
      <c r="BP565" s="1" t="str">
        <f>HYPERLINK("https://nconnect.nicmar.ac.in/storage/profile/ProfilePhoto_P25700525_376924.jpg","Download")</f>
        <v>0</v>
      </c>
      <c r="BQ565" s="3"/>
      <c r="BR565" s="3"/>
    </row>
    <row r="566" spans="1:70">
      <c r="A566" s="1" t="s">
        <v>70</v>
      </c>
      <c r="B566" s="1" t="s">
        <v>1269</v>
      </c>
      <c r="C566" s="1" t="s">
        <v>10679</v>
      </c>
      <c r="D566" s="1" t="s">
        <v>10680</v>
      </c>
      <c r="E566" s="1" t="s">
        <v>5393</v>
      </c>
      <c r="F566" s="1" t="s">
        <v>10681</v>
      </c>
      <c r="G566" s="1" t="s">
        <v>10682</v>
      </c>
      <c r="H566" s="1" t="s">
        <v>10683</v>
      </c>
      <c r="I566" s="1" t="s">
        <v>10684</v>
      </c>
      <c r="J566" s="1">
        <v>9370261603</v>
      </c>
      <c r="K566" s="1" t="s">
        <v>148</v>
      </c>
      <c r="L566" s="1" t="s">
        <v>8565</v>
      </c>
      <c r="M566" s="1" t="s">
        <v>81</v>
      </c>
      <c r="N566" s="1" t="s">
        <v>1418</v>
      </c>
      <c r="O566" s="1"/>
      <c r="P566" s="1" t="s">
        <v>1278</v>
      </c>
      <c r="Q566" s="1" t="s">
        <v>10685</v>
      </c>
      <c r="R566" s="1" t="s">
        <v>10686</v>
      </c>
      <c r="S566" s="1">
        <v>9370646504</v>
      </c>
      <c r="T566" s="1" t="s">
        <v>7444</v>
      </c>
      <c r="U566" s="1" t="s">
        <v>10687</v>
      </c>
      <c r="V566" s="1">
        <v>9370646504</v>
      </c>
      <c r="W566" s="1" t="s">
        <v>273</v>
      </c>
      <c r="X566" s="1" t="s">
        <v>10688</v>
      </c>
      <c r="Y566" s="1" t="s">
        <v>5840</v>
      </c>
      <c r="Z566" s="1" t="s">
        <v>92</v>
      </c>
      <c r="AA566" s="1" t="s">
        <v>10688</v>
      </c>
      <c r="AB566" s="1" t="s">
        <v>5840</v>
      </c>
      <c r="AC566" s="1" t="s">
        <v>92</v>
      </c>
      <c r="AD566" s="1">
        <v>7.57</v>
      </c>
      <c r="AE566" s="1" t="s">
        <v>93</v>
      </c>
      <c r="AF566" s="1" t="s">
        <v>10689</v>
      </c>
      <c r="AG566" s="1" t="s">
        <v>160</v>
      </c>
      <c r="AH566" s="1" t="s">
        <v>165</v>
      </c>
      <c r="AI566" s="1" t="s">
        <v>308</v>
      </c>
      <c r="AJ566" s="1">
        <v>84.2</v>
      </c>
      <c r="AK566" s="1"/>
      <c r="AL566" s="1" t="s">
        <v>10690</v>
      </c>
      <c r="AM566" s="1" t="s">
        <v>160</v>
      </c>
      <c r="AN566" s="1" t="s">
        <v>433</v>
      </c>
      <c r="AO566" s="1" t="s">
        <v>1131</v>
      </c>
      <c r="AP566" s="1">
        <v>92.33</v>
      </c>
      <c r="AQ566" s="1"/>
      <c r="AR566" s="1"/>
      <c r="AS566" s="1"/>
      <c r="AT566" s="1"/>
      <c r="AU566" s="1"/>
      <c r="AV566" s="1"/>
      <c r="AW566" s="1"/>
      <c r="AX566" s="1" t="s">
        <v>361</v>
      </c>
      <c r="AY566" s="1" t="s">
        <v>10691</v>
      </c>
      <c r="AZ566" s="1" t="s">
        <v>436</v>
      </c>
      <c r="BA566" s="1" t="s">
        <v>1361</v>
      </c>
      <c r="BB566" s="1">
        <v>66</v>
      </c>
      <c r="BC566" s="1">
        <v>7.35</v>
      </c>
      <c r="BD566" s="1"/>
      <c r="BE566" s="1"/>
      <c r="BF566" s="1"/>
      <c r="BG566" s="1"/>
      <c r="BH566" s="1"/>
      <c r="BI566" s="1"/>
      <c r="BJ566" s="1" t="s">
        <v>2080</v>
      </c>
      <c r="BK566" s="1"/>
      <c r="BL566" s="1"/>
      <c r="BM566" s="1" t="s">
        <v>10692</v>
      </c>
      <c r="BN566" s="1">
        <v>4</v>
      </c>
      <c r="BO566" s="1" t="s">
        <v>10693</v>
      </c>
      <c r="BP566" s="1" t="str">
        <f>HYPERLINK("https://nconnect.nicmar.ac.in/storage/profile/ProfilePhoto_P25700526_147892.jpg","Download")</f>
        <v>0</v>
      </c>
      <c r="BQ566" s="3"/>
      <c r="BR566" s="3"/>
    </row>
    <row r="567" spans="1:70">
      <c r="A567" s="1" t="s">
        <v>70</v>
      </c>
      <c r="B567" s="1" t="s">
        <v>1269</v>
      </c>
      <c r="C567" s="1" t="s">
        <v>10694</v>
      </c>
      <c r="D567" s="1" t="s">
        <v>10695</v>
      </c>
      <c r="E567" s="1" t="s">
        <v>1465</v>
      </c>
      <c r="F567" s="1" t="s">
        <v>10696</v>
      </c>
      <c r="G567" s="1" t="s">
        <v>10697</v>
      </c>
      <c r="H567" s="1" t="s">
        <v>10698</v>
      </c>
      <c r="I567" s="1" t="s">
        <v>10699</v>
      </c>
      <c r="J567" s="1">
        <v>9014703535</v>
      </c>
      <c r="K567" s="1" t="s">
        <v>148</v>
      </c>
      <c r="L567" s="1" t="s">
        <v>10700</v>
      </c>
      <c r="M567" s="1" t="s">
        <v>81</v>
      </c>
      <c r="N567" s="1" t="s">
        <v>7921</v>
      </c>
      <c r="O567" s="1"/>
      <c r="P567" s="1" t="s">
        <v>1323</v>
      </c>
      <c r="Q567" s="1" t="s">
        <v>10701</v>
      </c>
      <c r="R567" s="1" t="s">
        <v>10702</v>
      </c>
      <c r="S567" s="1">
        <v>9985438447</v>
      </c>
      <c r="T567" s="1" t="s">
        <v>1351</v>
      </c>
      <c r="U567" s="1" t="s">
        <v>10703</v>
      </c>
      <c r="V567" s="1">
        <v>9642174648</v>
      </c>
      <c r="W567" s="1" t="s">
        <v>674</v>
      </c>
      <c r="X567" s="1" t="s">
        <v>10704</v>
      </c>
      <c r="Y567" s="1" t="s">
        <v>9671</v>
      </c>
      <c r="Z567" s="1" t="s">
        <v>609</v>
      </c>
      <c r="AA567" s="1" t="s">
        <v>10704</v>
      </c>
      <c r="AB567" s="1" t="s">
        <v>9671</v>
      </c>
      <c r="AC567" s="1" t="s">
        <v>609</v>
      </c>
      <c r="AD567" s="1">
        <v>8.0</v>
      </c>
      <c r="AE567" s="1" t="s">
        <v>93</v>
      </c>
      <c r="AF567" s="1" t="s">
        <v>10705</v>
      </c>
      <c r="AG567" s="1" t="s">
        <v>10706</v>
      </c>
      <c r="AH567" s="1" t="s">
        <v>101</v>
      </c>
      <c r="AI567" s="1" t="s">
        <v>409</v>
      </c>
      <c r="AJ567" s="1">
        <v>85.5</v>
      </c>
      <c r="AK567" s="1">
        <v>9</v>
      </c>
      <c r="AL567" s="1"/>
      <c r="AM567" s="1"/>
      <c r="AN567" s="1"/>
      <c r="AO567" s="1"/>
      <c r="AP567" s="1"/>
      <c r="AQ567" s="1"/>
      <c r="AR567" s="1" t="s">
        <v>434</v>
      </c>
      <c r="AS567" s="1" t="s">
        <v>10707</v>
      </c>
      <c r="AT567" s="1" t="s">
        <v>433</v>
      </c>
      <c r="AU567" s="1" t="s">
        <v>105</v>
      </c>
      <c r="AV567" s="1">
        <v>81.5</v>
      </c>
      <c r="AW567" s="1">
        <v>8.6</v>
      </c>
      <c r="AX567" s="1" t="s">
        <v>4929</v>
      </c>
      <c r="AY567" s="1" t="s">
        <v>10708</v>
      </c>
      <c r="AZ567" s="1" t="s">
        <v>874</v>
      </c>
      <c r="BA567" s="1" t="s">
        <v>1361</v>
      </c>
      <c r="BB567" s="1">
        <v>67.7</v>
      </c>
      <c r="BC567" s="1">
        <v>7.27</v>
      </c>
      <c r="BD567" s="1"/>
      <c r="BE567" s="1"/>
      <c r="BF567" s="1"/>
      <c r="BG567" s="1"/>
      <c r="BH567" s="1"/>
      <c r="BI567" s="1"/>
      <c r="BJ567" s="1" t="s">
        <v>10709</v>
      </c>
      <c r="BK567" s="1"/>
      <c r="BL567" s="1"/>
      <c r="BM567" s="1" t="s">
        <v>10710</v>
      </c>
      <c r="BN567" s="1">
        <v>14</v>
      </c>
      <c r="BO567" s="1"/>
      <c r="BP567" s="1" t="str">
        <f>HYPERLINK("https://nconnect.nicmar.ac.in/storage/profile/ProfilePhoto_P25700527_758192.jpg","Download")</f>
        <v>0</v>
      </c>
      <c r="BQ567" s="3"/>
      <c r="BR567" s="3"/>
    </row>
    <row r="568" spans="1:70">
      <c r="A568" s="1" t="s">
        <v>70</v>
      </c>
      <c r="B568" s="1" t="s">
        <v>1269</v>
      </c>
      <c r="C568" s="1" t="s">
        <v>10711</v>
      </c>
      <c r="D568" s="1" t="s">
        <v>5530</v>
      </c>
      <c r="E568" s="1"/>
      <c r="F568" s="1" t="s">
        <v>10712</v>
      </c>
      <c r="G568" s="1" t="s">
        <v>10713</v>
      </c>
      <c r="H568" s="1" t="s">
        <v>10714</v>
      </c>
      <c r="I568" s="1" t="s">
        <v>10715</v>
      </c>
      <c r="J568" s="1">
        <v>8788155243</v>
      </c>
      <c r="K568" s="1" t="s">
        <v>148</v>
      </c>
      <c r="L568" s="1" t="s">
        <v>3443</v>
      </c>
      <c r="M568" s="1" t="s">
        <v>81</v>
      </c>
      <c r="N568" s="1" t="s">
        <v>5056</v>
      </c>
      <c r="O568" s="1"/>
      <c r="P568" s="1"/>
      <c r="Q568" s="1" t="s">
        <v>10716</v>
      </c>
      <c r="R568" s="1" t="s">
        <v>10717</v>
      </c>
      <c r="S568" s="1">
        <v>7876884559</v>
      </c>
      <c r="T568" s="1" t="s">
        <v>120</v>
      </c>
      <c r="U568" s="1" t="s">
        <v>10718</v>
      </c>
      <c r="V568" s="1">
        <v>8975577221</v>
      </c>
      <c r="W568" s="1" t="s">
        <v>273</v>
      </c>
      <c r="X568" s="1" t="s">
        <v>10719</v>
      </c>
      <c r="Y568" s="1" t="s">
        <v>191</v>
      </c>
      <c r="Z568" s="1" t="s">
        <v>92</v>
      </c>
      <c r="AA568" s="1" t="s">
        <v>10719</v>
      </c>
      <c r="AB568" s="1" t="s">
        <v>191</v>
      </c>
      <c r="AC568" s="1" t="s">
        <v>92</v>
      </c>
      <c r="AD568" s="1">
        <v>8.75</v>
      </c>
      <c r="AE568" s="1" t="s">
        <v>93</v>
      </c>
      <c r="AF568" s="1" t="s">
        <v>10720</v>
      </c>
      <c r="AG568" s="1" t="s">
        <v>1665</v>
      </c>
      <c r="AH568" s="1" t="s">
        <v>166</v>
      </c>
      <c r="AI568" s="1" t="s">
        <v>308</v>
      </c>
      <c r="AJ568" s="1">
        <v>95.2</v>
      </c>
      <c r="AK568" s="1"/>
      <c r="AL568" s="1" t="s">
        <v>10721</v>
      </c>
      <c r="AM568" s="1" t="s">
        <v>1665</v>
      </c>
      <c r="AN568" s="1" t="s">
        <v>1834</v>
      </c>
      <c r="AO568" s="1" t="s">
        <v>506</v>
      </c>
      <c r="AP568" s="1">
        <v>80</v>
      </c>
      <c r="AQ568" s="1"/>
      <c r="AR568" s="1"/>
      <c r="AS568" s="1"/>
      <c r="AT568" s="1"/>
      <c r="AU568" s="1"/>
      <c r="AV568" s="1"/>
      <c r="AW568" s="1"/>
      <c r="AX568" s="1" t="s">
        <v>8123</v>
      </c>
      <c r="AY568" s="1" t="s">
        <v>10722</v>
      </c>
      <c r="AZ568" s="1" t="s">
        <v>1051</v>
      </c>
      <c r="BA568" s="1" t="s">
        <v>1714</v>
      </c>
      <c r="BB568" s="1">
        <v>74.2</v>
      </c>
      <c r="BC568" s="1">
        <v>7.42</v>
      </c>
      <c r="BD568" s="1"/>
      <c r="BE568" s="1"/>
      <c r="BF568" s="1"/>
      <c r="BG568" s="1"/>
      <c r="BH568" s="1"/>
      <c r="BI568" s="1"/>
      <c r="BJ568" s="1" t="s">
        <v>255</v>
      </c>
      <c r="BK568" s="1"/>
      <c r="BL568" s="1"/>
      <c r="BM568" s="1" t="s">
        <v>10723</v>
      </c>
      <c r="BN568" s="1">
        <v>29</v>
      </c>
      <c r="BO568" s="1" t="s">
        <v>10724</v>
      </c>
      <c r="BP568" s="1" t="str">
        <f>HYPERLINK("https://nconnect.nicmar.ac.in/storage/profile/ProfilePhoto_P25700528_814675.jpg","Download")</f>
        <v>0</v>
      </c>
      <c r="BQ568" s="3"/>
      <c r="BR568" s="3"/>
    </row>
    <row r="569" spans="1:70">
      <c r="A569" s="1" t="s">
        <v>70</v>
      </c>
      <c r="B569" s="1" t="s">
        <v>1269</v>
      </c>
      <c r="C569" s="1" t="s">
        <v>10725</v>
      </c>
      <c r="D569" s="1" t="s">
        <v>512</v>
      </c>
      <c r="E569" s="1" t="s">
        <v>392</v>
      </c>
      <c r="F569" s="1" t="s">
        <v>2024</v>
      </c>
      <c r="G569" s="1" t="s">
        <v>10726</v>
      </c>
      <c r="H569" s="1" t="s">
        <v>10727</v>
      </c>
      <c r="I569" s="1" t="s">
        <v>10728</v>
      </c>
      <c r="J569" s="1">
        <v>7038343990</v>
      </c>
      <c r="K569" s="1" t="s">
        <v>148</v>
      </c>
      <c r="L569" s="1" t="s">
        <v>10729</v>
      </c>
      <c r="M569" s="1" t="s">
        <v>81</v>
      </c>
      <c r="N569" s="1" t="s">
        <v>1418</v>
      </c>
      <c r="O569" s="1"/>
      <c r="P569" s="1" t="s">
        <v>1323</v>
      </c>
      <c r="Q569" s="1" t="s">
        <v>10730</v>
      </c>
      <c r="R569" s="1" t="s">
        <v>10731</v>
      </c>
      <c r="S569" s="1">
        <v>9850396810</v>
      </c>
      <c r="T569" s="1" t="s">
        <v>10732</v>
      </c>
      <c r="U569" s="1" t="s">
        <v>10733</v>
      </c>
      <c r="V569" s="1">
        <v>9921816810</v>
      </c>
      <c r="W569" s="1" t="s">
        <v>7444</v>
      </c>
      <c r="X569" s="1" t="s">
        <v>10734</v>
      </c>
      <c r="Y569" s="1" t="s">
        <v>191</v>
      </c>
      <c r="Z569" s="1" t="s">
        <v>92</v>
      </c>
      <c r="AA569" s="1" t="s">
        <v>10734</v>
      </c>
      <c r="AB569" s="1" t="s">
        <v>191</v>
      </c>
      <c r="AC569" s="1" t="s">
        <v>92</v>
      </c>
      <c r="AD569" s="1">
        <v>9.32</v>
      </c>
      <c r="AE569" s="1" t="s">
        <v>93</v>
      </c>
      <c r="AF569" s="1" t="s">
        <v>10464</v>
      </c>
      <c r="AG569" s="1" t="s">
        <v>307</v>
      </c>
      <c r="AH569" s="1" t="s">
        <v>129</v>
      </c>
      <c r="AI569" s="1" t="s">
        <v>1197</v>
      </c>
      <c r="AJ569" s="1">
        <v>89.3</v>
      </c>
      <c r="AK569" s="1">
        <v>9.4</v>
      </c>
      <c r="AL569" s="1" t="s">
        <v>10464</v>
      </c>
      <c r="AM569" s="1" t="s">
        <v>307</v>
      </c>
      <c r="AN569" s="1" t="s">
        <v>131</v>
      </c>
      <c r="AO569" s="1" t="s">
        <v>527</v>
      </c>
      <c r="AP569" s="1">
        <v>82.2</v>
      </c>
      <c r="AQ569" s="1"/>
      <c r="AR569" s="1"/>
      <c r="AS569" s="1"/>
      <c r="AT569" s="1"/>
      <c r="AU569" s="1"/>
      <c r="AV569" s="1"/>
      <c r="AW569" s="1"/>
      <c r="AX569" s="1" t="s">
        <v>361</v>
      </c>
      <c r="AY569" s="1" t="s">
        <v>10735</v>
      </c>
      <c r="AZ569" s="1" t="s">
        <v>733</v>
      </c>
      <c r="BA569" s="1" t="s">
        <v>1834</v>
      </c>
      <c r="BB569" s="1">
        <v>74.9</v>
      </c>
      <c r="BC569" s="1">
        <v>8.24</v>
      </c>
      <c r="BD569" s="1"/>
      <c r="BE569" s="1"/>
      <c r="BF569" s="1"/>
      <c r="BG569" s="1"/>
      <c r="BH569" s="1"/>
      <c r="BI569" s="1"/>
      <c r="BJ569" s="1" t="s">
        <v>10736</v>
      </c>
      <c r="BK569" s="1" t="s">
        <v>10737</v>
      </c>
      <c r="BL569" s="1" t="s">
        <v>340</v>
      </c>
      <c r="BM569" s="1" t="s">
        <v>10738</v>
      </c>
      <c r="BN569" s="1">
        <v>8</v>
      </c>
      <c r="BO569" s="1" t="s">
        <v>10739</v>
      </c>
      <c r="BP569" s="1" t="str">
        <f>HYPERLINK("https://nconnect.nicmar.ac.in/storage/profile/ProfilePhoto_P25700529_642317.jpg","Download")</f>
        <v>0</v>
      </c>
      <c r="BQ569" s="3"/>
      <c r="BR569" s="3"/>
    </row>
    <row r="570" spans="1:70">
      <c r="A570" s="1" t="s">
        <v>70</v>
      </c>
      <c r="B570" s="1" t="s">
        <v>1269</v>
      </c>
      <c r="C570" s="1" t="s">
        <v>10740</v>
      </c>
      <c r="D570" s="1" t="s">
        <v>10741</v>
      </c>
      <c r="E570" s="1" t="s">
        <v>10742</v>
      </c>
      <c r="F570" s="1" t="s">
        <v>10743</v>
      </c>
      <c r="G570" s="1" t="s">
        <v>10744</v>
      </c>
      <c r="H570" s="1" t="s">
        <v>10745</v>
      </c>
      <c r="I570" s="1" t="s">
        <v>10746</v>
      </c>
      <c r="J570" s="1">
        <v>7777971746</v>
      </c>
      <c r="K570" s="1" t="s">
        <v>148</v>
      </c>
      <c r="L570" s="1" t="s">
        <v>10747</v>
      </c>
      <c r="M570" s="1" t="s">
        <v>81</v>
      </c>
      <c r="N570" s="1" t="s">
        <v>7887</v>
      </c>
      <c r="O570" s="1"/>
      <c r="P570" s="1" t="s">
        <v>1462</v>
      </c>
      <c r="Q570" s="1" t="s">
        <v>10748</v>
      </c>
      <c r="R570" s="1" t="s">
        <v>10749</v>
      </c>
      <c r="S570" s="1">
        <v>9904020358</v>
      </c>
      <c r="T570" s="1" t="s">
        <v>122</v>
      </c>
      <c r="U570" s="1" t="s">
        <v>10750</v>
      </c>
      <c r="V570" s="1">
        <v>8780051606</v>
      </c>
      <c r="W570" s="1" t="s">
        <v>156</v>
      </c>
      <c r="X570" s="1" t="s">
        <v>10751</v>
      </c>
      <c r="Y570" s="1" t="s">
        <v>10752</v>
      </c>
      <c r="Z570" s="1" t="s">
        <v>1468</v>
      </c>
      <c r="AA570" s="1" t="s">
        <v>10751</v>
      </c>
      <c r="AB570" s="1" t="s">
        <v>10752</v>
      </c>
      <c r="AC570" s="1" t="s">
        <v>1468</v>
      </c>
      <c r="AD570" s="1">
        <v>7.88</v>
      </c>
      <c r="AE570" s="1" t="s">
        <v>93</v>
      </c>
      <c r="AF570" s="1" t="s">
        <v>10753</v>
      </c>
      <c r="AG570" s="1" t="s">
        <v>10754</v>
      </c>
      <c r="AH570" s="1" t="s">
        <v>166</v>
      </c>
      <c r="AI570" s="1" t="s">
        <v>409</v>
      </c>
      <c r="AJ570" s="1">
        <v>82.66</v>
      </c>
      <c r="AK570" s="1"/>
      <c r="AL570" s="1" t="s">
        <v>10755</v>
      </c>
      <c r="AM570" s="1" t="s">
        <v>10754</v>
      </c>
      <c r="AN570" s="1" t="s">
        <v>433</v>
      </c>
      <c r="AO570" s="1" t="s">
        <v>506</v>
      </c>
      <c r="AP570" s="1">
        <v>88.15</v>
      </c>
      <c r="AQ570" s="1"/>
      <c r="AR570" s="1"/>
      <c r="AS570" s="1"/>
      <c r="AT570" s="1"/>
      <c r="AU570" s="1"/>
      <c r="AV570" s="1"/>
      <c r="AW570" s="1"/>
      <c r="AX570" s="1" t="s">
        <v>5997</v>
      </c>
      <c r="AY570" s="1" t="s">
        <v>10756</v>
      </c>
      <c r="AZ570" s="1" t="s">
        <v>436</v>
      </c>
      <c r="BA570" s="1" t="s">
        <v>1361</v>
      </c>
      <c r="BB570" s="1">
        <v>69.9</v>
      </c>
      <c r="BC570" s="1"/>
      <c r="BD570" s="1"/>
      <c r="BE570" s="1"/>
      <c r="BF570" s="1"/>
      <c r="BG570" s="1"/>
      <c r="BH570" s="1"/>
      <c r="BI570" s="1"/>
      <c r="BJ570" s="1" t="s">
        <v>10757</v>
      </c>
      <c r="BK570" s="1"/>
      <c r="BL570" s="1"/>
      <c r="BM570" s="1" t="s">
        <v>10758</v>
      </c>
      <c r="BN570" s="1">
        <v>21</v>
      </c>
      <c r="BO570" s="1"/>
      <c r="BP570" s="1" t="str">
        <f>HYPERLINK("https://nconnect.nicmar.ac.in/storage/profile/ProfilePhoto_P25700530_647152.jpg","Download")</f>
        <v>0</v>
      </c>
      <c r="BQ570" s="3"/>
      <c r="BR570" s="3"/>
    </row>
    <row r="571" spans="1:70">
      <c r="A571" s="1" t="s">
        <v>70</v>
      </c>
      <c r="B571" s="1" t="s">
        <v>1269</v>
      </c>
      <c r="C571" s="1" t="s">
        <v>10759</v>
      </c>
      <c r="D571" s="1" t="s">
        <v>10760</v>
      </c>
      <c r="E571" s="1" t="s">
        <v>10761</v>
      </c>
      <c r="F571" s="1" t="s">
        <v>10309</v>
      </c>
      <c r="G571" s="1" t="s">
        <v>10762</v>
      </c>
      <c r="H571" s="1" t="s">
        <v>10763</v>
      </c>
      <c r="I571" s="1" t="s">
        <v>10764</v>
      </c>
      <c r="J571" s="1">
        <v>9890252449</v>
      </c>
      <c r="K571" s="1" t="s">
        <v>148</v>
      </c>
      <c r="L571" s="1" t="s">
        <v>10765</v>
      </c>
      <c r="M571" s="1" t="s">
        <v>81</v>
      </c>
      <c r="N571" s="1" t="s">
        <v>10766</v>
      </c>
      <c r="O571" s="1"/>
      <c r="P571" s="1" t="s">
        <v>1278</v>
      </c>
      <c r="Q571" s="1" t="s">
        <v>10767</v>
      </c>
      <c r="R571" s="1" t="s">
        <v>10768</v>
      </c>
      <c r="S571" s="1">
        <v>9890776481</v>
      </c>
      <c r="T571" s="1" t="s">
        <v>496</v>
      </c>
      <c r="U571" s="1" t="s">
        <v>10769</v>
      </c>
      <c r="V571" s="1">
        <v>8329400140</v>
      </c>
      <c r="W571" s="1" t="s">
        <v>651</v>
      </c>
      <c r="X571" s="1" t="s">
        <v>10770</v>
      </c>
      <c r="Y571" s="1" t="s">
        <v>158</v>
      </c>
      <c r="Z571" s="1" t="s">
        <v>92</v>
      </c>
      <c r="AA571" s="1" t="s">
        <v>10770</v>
      </c>
      <c r="AB571" s="1" t="s">
        <v>158</v>
      </c>
      <c r="AC571" s="1" t="s">
        <v>92</v>
      </c>
      <c r="AD571" s="1">
        <v>7.92</v>
      </c>
      <c r="AE571" s="1" t="s">
        <v>93</v>
      </c>
      <c r="AF571" s="1" t="s">
        <v>10771</v>
      </c>
      <c r="AG571" s="1" t="s">
        <v>160</v>
      </c>
      <c r="AH571" s="1" t="s">
        <v>101</v>
      </c>
      <c r="AI571" s="1" t="s">
        <v>409</v>
      </c>
      <c r="AJ571" s="1">
        <v>75.2</v>
      </c>
      <c r="AK571" s="1"/>
      <c r="AL571" s="1" t="s">
        <v>10772</v>
      </c>
      <c r="AM571" s="1" t="s">
        <v>160</v>
      </c>
      <c r="AN571" s="1" t="s">
        <v>310</v>
      </c>
      <c r="AO571" s="1" t="s">
        <v>504</v>
      </c>
      <c r="AP571" s="1">
        <v>85.5</v>
      </c>
      <c r="AQ571" s="1"/>
      <c r="AR571" s="1"/>
      <c r="AS571" s="1"/>
      <c r="AT571" s="1"/>
      <c r="AU571" s="1"/>
      <c r="AV571" s="1"/>
      <c r="AW571" s="1"/>
      <c r="AX571" s="1" t="s">
        <v>9001</v>
      </c>
      <c r="AY571" s="1" t="s">
        <v>10773</v>
      </c>
      <c r="AZ571" s="1" t="s">
        <v>897</v>
      </c>
      <c r="BA571" s="1" t="s">
        <v>6092</v>
      </c>
      <c r="BB571" s="1">
        <v>68.3</v>
      </c>
      <c r="BC571" s="1">
        <v>7.33</v>
      </c>
      <c r="BD571" s="1"/>
      <c r="BE571" s="1"/>
      <c r="BF571" s="1"/>
      <c r="BG571" s="1"/>
      <c r="BH571" s="1"/>
      <c r="BI571" s="1"/>
      <c r="BJ571" s="1" t="s">
        <v>2146</v>
      </c>
      <c r="BK571" s="1"/>
      <c r="BL571" s="1"/>
      <c r="BM571" s="1" t="s">
        <v>10774</v>
      </c>
      <c r="BN571" s="1">
        <v>19</v>
      </c>
      <c r="BO571" s="1" t="s">
        <v>10775</v>
      </c>
      <c r="BP571" s="1" t="str">
        <f>HYPERLINK("https://nconnect.nicmar.ac.in/storage/profile/ProfilePhoto_P25700531_843916.jpg","Download")</f>
        <v>0</v>
      </c>
      <c r="BQ571" s="3"/>
      <c r="BR571" s="3"/>
    </row>
    <row r="572" spans="1:70">
      <c r="A572" s="1" t="s">
        <v>70</v>
      </c>
      <c r="B572" s="1" t="s">
        <v>1269</v>
      </c>
      <c r="C572" s="1" t="s">
        <v>10776</v>
      </c>
      <c r="D572" s="1" t="s">
        <v>10777</v>
      </c>
      <c r="E572" s="1" t="s">
        <v>10778</v>
      </c>
      <c r="F572" s="1" t="s">
        <v>10779</v>
      </c>
      <c r="G572" s="1" t="s">
        <v>10780</v>
      </c>
      <c r="H572" s="1" t="s">
        <v>10781</v>
      </c>
      <c r="I572" s="1" t="s">
        <v>10782</v>
      </c>
      <c r="J572" s="1">
        <v>8861370552</v>
      </c>
      <c r="K572" s="1" t="s">
        <v>148</v>
      </c>
      <c r="L572" s="1" t="s">
        <v>10783</v>
      </c>
      <c r="M572" s="1" t="s">
        <v>81</v>
      </c>
      <c r="N572" s="1" t="s">
        <v>10784</v>
      </c>
      <c r="O572" s="1"/>
      <c r="P572" s="1" t="s">
        <v>1278</v>
      </c>
      <c r="Q572" s="1" t="s">
        <v>10785</v>
      </c>
      <c r="R572" s="1" t="s">
        <v>10786</v>
      </c>
      <c r="S572" s="1">
        <v>9448543807</v>
      </c>
      <c r="T572" s="1" t="s">
        <v>674</v>
      </c>
      <c r="U572" s="1" t="s">
        <v>10787</v>
      </c>
      <c r="V572" s="1">
        <v>7204840063</v>
      </c>
      <c r="W572" s="1" t="s">
        <v>156</v>
      </c>
      <c r="X572" s="1" t="s">
        <v>10788</v>
      </c>
      <c r="Y572" s="1" t="s">
        <v>3827</v>
      </c>
      <c r="Z572" s="1" t="s">
        <v>1084</v>
      </c>
      <c r="AA572" s="1" t="s">
        <v>10788</v>
      </c>
      <c r="AB572" s="1" t="s">
        <v>3827</v>
      </c>
      <c r="AC572" s="1" t="s">
        <v>1084</v>
      </c>
      <c r="AD572" s="1">
        <v>8.64</v>
      </c>
      <c r="AE572" s="1" t="s">
        <v>93</v>
      </c>
      <c r="AF572" s="1" t="s">
        <v>10789</v>
      </c>
      <c r="AG572" s="1" t="s">
        <v>10790</v>
      </c>
      <c r="AH572" s="1" t="s">
        <v>2420</v>
      </c>
      <c r="AI572" s="1" t="s">
        <v>2830</v>
      </c>
      <c r="AJ572" s="1">
        <v>74.6</v>
      </c>
      <c r="AK572" s="1">
        <v>0</v>
      </c>
      <c r="AL572" s="1" t="s">
        <v>10791</v>
      </c>
      <c r="AM572" s="1" t="s">
        <v>10792</v>
      </c>
      <c r="AN572" s="1" t="s">
        <v>4587</v>
      </c>
      <c r="AO572" s="1" t="s">
        <v>10793</v>
      </c>
      <c r="AP572" s="1">
        <v>86.5</v>
      </c>
      <c r="AQ572" s="1"/>
      <c r="AR572" s="1"/>
      <c r="AS572" s="1"/>
      <c r="AT572" s="1"/>
      <c r="AU572" s="1"/>
      <c r="AV572" s="1"/>
      <c r="AW572" s="1"/>
      <c r="AX572" s="1" t="s">
        <v>10794</v>
      </c>
      <c r="AY572" s="1" t="s">
        <v>10795</v>
      </c>
      <c r="AZ572" s="1" t="s">
        <v>10796</v>
      </c>
      <c r="BA572" s="1" t="s">
        <v>128</v>
      </c>
      <c r="BB572" s="1">
        <v>75</v>
      </c>
      <c r="BC572" s="1">
        <v>8.25</v>
      </c>
      <c r="BD572" s="1" t="s">
        <v>10794</v>
      </c>
      <c r="BE572" s="1" t="s">
        <v>2405</v>
      </c>
      <c r="BF572" s="1" t="s">
        <v>10797</v>
      </c>
      <c r="BG572" s="1" t="s">
        <v>10798</v>
      </c>
      <c r="BH572" s="1">
        <v>69.79</v>
      </c>
      <c r="BI572" s="1"/>
      <c r="BJ572" s="1" t="s">
        <v>10799</v>
      </c>
      <c r="BK572" s="1" t="s">
        <v>10800</v>
      </c>
      <c r="BL572" s="1" t="s">
        <v>10801</v>
      </c>
      <c r="BM572" s="1" t="s">
        <v>10802</v>
      </c>
      <c r="BN572" s="1">
        <v>8</v>
      </c>
      <c r="BO572" s="1" t="s">
        <v>10803</v>
      </c>
      <c r="BP572" s="1" t="str">
        <f>HYPERLINK("https://nconnect.nicmar.ac.in/storage/profile/ProfilePhoto_P25700532_741398.jpg","Download")</f>
        <v>0</v>
      </c>
      <c r="BQ572" s="3"/>
      <c r="BR572" s="3"/>
    </row>
    <row r="573" spans="1:70">
      <c r="A573" s="1" t="s">
        <v>70</v>
      </c>
      <c r="B573" s="1" t="s">
        <v>1269</v>
      </c>
      <c r="C573" s="1" t="s">
        <v>10804</v>
      </c>
      <c r="D573" s="1" t="s">
        <v>10805</v>
      </c>
      <c r="E573" s="1" t="s">
        <v>2766</v>
      </c>
      <c r="F573" s="1" t="s">
        <v>10806</v>
      </c>
      <c r="G573" s="1" t="s">
        <v>10807</v>
      </c>
      <c r="H573" s="1" t="s">
        <v>10808</v>
      </c>
      <c r="I573" s="1" t="s">
        <v>10809</v>
      </c>
      <c r="J573" s="1">
        <v>9145752292</v>
      </c>
      <c r="K573" s="1" t="s">
        <v>148</v>
      </c>
      <c r="L573" s="1" t="s">
        <v>6340</v>
      </c>
      <c r="M573" s="1" t="s">
        <v>81</v>
      </c>
      <c r="N573" s="1" t="s">
        <v>2008</v>
      </c>
      <c r="O573" s="1"/>
      <c r="P573" s="1" t="s">
        <v>1278</v>
      </c>
      <c r="Q573" s="1" t="s">
        <v>10810</v>
      </c>
      <c r="R573" s="1" t="s">
        <v>10811</v>
      </c>
      <c r="S573" s="1">
        <v>9270415260</v>
      </c>
      <c r="T573" s="1" t="s">
        <v>154</v>
      </c>
      <c r="U573" s="1" t="s">
        <v>10812</v>
      </c>
      <c r="V573" s="1">
        <v>9270415260</v>
      </c>
      <c r="W573" s="1" t="s">
        <v>273</v>
      </c>
      <c r="X573" s="1" t="s">
        <v>10813</v>
      </c>
      <c r="Y573" s="1" t="s">
        <v>405</v>
      </c>
      <c r="Z573" s="1" t="s">
        <v>92</v>
      </c>
      <c r="AA573" s="1" t="s">
        <v>10813</v>
      </c>
      <c r="AB573" s="1" t="s">
        <v>405</v>
      </c>
      <c r="AC573" s="1" t="s">
        <v>92</v>
      </c>
      <c r="AD573" s="1">
        <v>7.41</v>
      </c>
      <c r="AE573" s="1" t="s">
        <v>93</v>
      </c>
      <c r="AF573" s="1" t="s">
        <v>10814</v>
      </c>
      <c r="AG573" s="1" t="s">
        <v>10815</v>
      </c>
      <c r="AH573" s="1" t="s">
        <v>161</v>
      </c>
      <c r="AI573" s="1" t="s">
        <v>527</v>
      </c>
      <c r="AJ573" s="1">
        <v>73.2</v>
      </c>
      <c r="AK573" s="1"/>
      <c r="AL573" s="1"/>
      <c r="AM573" s="1"/>
      <c r="AN573" s="1"/>
      <c r="AO573" s="1"/>
      <c r="AP573" s="1"/>
      <c r="AQ573" s="1"/>
      <c r="AR573" s="1" t="s">
        <v>434</v>
      </c>
      <c r="AS573" s="1" t="s">
        <v>10816</v>
      </c>
      <c r="AT573" s="1" t="s">
        <v>225</v>
      </c>
      <c r="AU573" s="1" t="s">
        <v>412</v>
      </c>
      <c r="AV573" s="1">
        <v>70.13</v>
      </c>
      <c r="AW573" s="1"/>
      <c r="AX573" s="1" t="s">
        <v>1853</v>
      </c>
      <c r="AY573" s="1" t="s">
        <v>10817</v>
      </c>
      <c r="AZ573" s="1" t="s">
        <v>681</v>
      </c>
      <c r="BA573" s="1" t="s">
        <v>682</v>
      </c>
      <c r="BB573" s="1">
        <v>72.21</v>
      </c>
      <c r="BC573" s="1">
        <v>7.13</v>
      </c>
      <c r="BD573" s="1"/>
      <c r="BE573" s="1"/>
      <c r="BF573" s="1"/>
      <c r="BG573" s="1"/>
      <c r="BH573" s="1"/>
      <c r="BI573" s="1"/>
      <c r="BJ573" s="1" t="s">
        <v>10818</v>
      </c>
      <c r="BK573" s="1"/>
      <c r="BL573" s="1"/>
      <c r="BM573" s="1" t="s">
        <v>10819</v>
      </c>
      <c r="BN573" s="1">
        <v>69</v>
      </c>
      <c r="BO573" s="1" t="s">
        <v>10820</v>
      </c>
      <c r="BP573" s="1" t="str">
        <f>HYPERLINK("https://nconnect.nicmar.ac.in/storage/profile/ProfilePhoto_P25700533_726583.jpg","Download")</f>
        <v>0</v>
      </c>
      <c r="BQ573" s="3"/>
      <c r="BR573" s="3"/>
    </row>
    <row r="574" spans="1:70">
      <c r="A574" s="1" t="s">
        <v>70</v>
      </c>
      <c r="B574" s="1" t="s">
        <v>1269</v>
      </c>
      <c r="C574" s="1" t="s">
        <v>10821</v>
      </c>
      <c r="D574" s="1" t="s">
        <v>10822</v>
      </c>
      <c r="E574" s="1" t="s">
        <v>10823</v>
      </c>
      <c r="F574" s="1" t="s">
        <v>10824</v>
      </c>
      <c r="G574" s="1" t="s">
        <v>10825</v>
      </c>
      <c r="H574" s="1" t="s">
        <v>10826</v>
      </c>
      <c r="I574" s="1" t="s">
        <v>10827</v>
      </c>
      <c r="J574" s="1">
        <v>8007720746</v>
      </c>
      <c r="K574" s="1" t="s">
        <v>148</v>
      </c>
      <c r="L574" s="1" t="s">
        <v>4501</v>
      </c>
      <c r="M574" s="1" t="s">
        <v>81</v>
      </c>
      <c r="N574" s="1" t="s">
        <v>1418</v>
      </c>
      <c r="O574" s="1"/>
      <c r="P574" s="1" t="s">
        <v>1766</v>
      </c>
      <c r="Q574" s="1" t="s">
        <v>10828</v>
      </c>
      <c r="R574" s="1" t="s">
        <v>10829</v>
      </c>
      <c r="S574" s="1">
        <v>9923400172</v>
      </c>
      <c r="T574" s="1" t="s">
        <v>10830</v>
      </c>
      <c r="U574" s="1" t="s">
        <v>10831</v>
      </c>
      <c r="V574" s="1">
        <v>7020796760</v>
      </c>
      <c r="W574" s="1" t="s">
        <v>273</v>
      </c>
      <c r="X574" s="1" t="s">
        <v>10832</v>
      </c>
      <c r="Y574" s="1" t="s">
        <v>1424</v>
      </c>
      <c r="Z574" s="1" t="s">
        <v>92</v>
      </c>
      <c r="AA574" s="1" t="s">
        <v>10832</v>
      </c>
      <c r="AB574" s="1" t="s">
        <v>1424</v>
      </c>
      <c r="AC574" s="1" t="s">
        <v>92</v>
      </c>
      <c r="AD574" s="1">
        <v>8.49</v>
      </c>
      <c r="AE574" s="1" t="s">
        <v>93</v>
      </c>
      <c r="AF574" s="1" t="s">
        <v>2357</v>
      </c>
      <c r="AG574" s="1" t="s">
        <v>10833</v>
      </c>
      <c r="AH574" s="1" t="s">
        <v>101</v>
      </c>
      <c r="AI574" s="1" t="s">
        <v>308</v>
      </c>
      <c r="AJ574" s="1">
        <v>88.2</v>
      </c>
      <c r="AK574" s="1"/>
      <c r="AL574" s="1" t="s">
        <v>2357</v>
      </c>
      <c r="AM574" s="1" t="s">
        <v>307</v>
      </c>
      <c r="AN574" s="1" t="s">
        <v>433</v>
      </c>
      <c r="AO574" s="1" t="s">
        <v>1712</v>
      </c>
      <c r="AP574" s="1">
        <v>85</v>
      </c>
      <c r="AQ574" s="1"/>
      <c r="AR574" s="1"/>
      <c r="AS574" s="1"/>
      <c r="AT574" s="1"/>
      <c r="AU574" s="1"/>
      <c r="AV574" s="1"/>
      <c r="AW574" s="1"/>
      <c r="AX574" s="1" t="s">
        <v>10834</v>
      </c>
      <c r="AY574" s="1" t="s">
        <v>10835</v>
      </c>
      <c r="AZ574" s="1" t="s">
        <v>506</v>
      </c>
      <c r="BA574" s="1" t="s">
        <v>1361</v>
      </c>
      <c r="BB574" s="1">
        <v>69.78</v>
      </c>
      <c r="BC574" s="1">
        <v>7.3</v>
      </c>
      <c r="BD574" s="1"/>
      <c r="BE574" s="1"/>
      <c r="BF574" s="1"/>
      <c r="BG574" s="1"/>
      <c r="BH574" s="1"/>
      <c r="BI574" s="1"/>
      <c r="BJ574" s="1" t="s">
        <v>255</v>
      </c>
      <c r="BK574" s="1"/>
      <c r="BL574" s="1"/>
      <c r="BM574" s="1" t="s">
        <v>10836</v>
      </c>
      <c r="BN574" s="1">
        <v>12</v>
      </c>
      <c r="BO574" s="1" t="s">
        <v>10837</v>
      </c>
      <c r="BP574" s="1" t="str">
        <f>HYPERLINK("https://nconnect.nicmar.ac.in/storage/profile/ProfilePhoto_P25700534_342198.jpg","Download")</f>
        <v>0</v>
      </c>
      <c r="BQ574" s="3"/>
      <c r="BR574" s="3"/>
    </row>
    <row r="575" spans="1:70">
      <c r="A575" s="1" t="s">
        <v>70</v>
      </c>
      <c r="B575" s="1" t="s">
        <v>1269</v>
      </c>
      <c r="C575" s="1" t="s">
        <v>10838</v>
      </c>
      <c r="D575" s="1" t="s">
        <v>10839</v>
      </c>
      <c r="E575" s="1" t="s">
        <v>1316</v>
      </c>
      <c r="F575" s="1" t="s">
        <v>5928</v>
      </c>
      <c r="G575" s="1" t="s">
        <v>10840</v>
      </c>
      <c r="H575" s="1" t="s">
        <v>10841</v>
      </c>
      <c r="I575" s="1" t="s">
        <v>10842</v>
      </c>
      <c r="J575" s="1">
        <v>7738609236</v>
      </c>
      <c r="K575" s="1" t="s">
        <v>148</v>
      </c>
      <c r="L575" s="1" t="s">
        <v>10843</v>
      </c>
      <c r="M575" s="1" t="s">
        <v>81</v>
      </c>
      <c r="N575" s="1" t="s">
        <v>10844</v>
      </c>
      <c r="O575" s="1"/>
      <c r="P575" s="1" t="s">
        <v>1278</v>
      </c>
      <c r="Q575" s="1" t="s">
        <v>10845</v>
      </c>
      <c r="R575" s="1" t="s">
        <v>10846</v>
      </c>
      <c r="S575" s="1">
        <v>9869929529</v>
      </c>
      <c r="T575" s="1" t="s">
        <v>763</v>
      </c>
      <c r="U575" s="1" t="s">
        <v>10847</v>
      </c>
      <c r="V575" s="1">
        <v>9969553067</v>
      </c>
      <c r="W575" s="1" t="s">
        <v>89</v>
      </c>
      <c r="X575" s="1" t="s">
        <v>10848</v>
      </c>
      <c r="Y575" s="1" t="s">
        <v>766</v>
      </c>
      <c r="Z575" s="1" t="s">
        <v>92</v>
      </c>
      <c r="AA575" s="1" t="s">
        <v>10848</v>
      </c>
      <c r="AB575" s="1" t="s">
        <v>766</v>
      </c>
      <c r="AC575" s="1" t="s">
        <v>92</v>
      </c>
      <c r="AD575" s="1" t="s">
        <v>93</v>
      </c>
      <c r="AE575" s="1" t="s">
        <v>93</v>
      </c>
      <c r="AF575" s="1" t="s">
        <v>10849</v>
      </c>
      <c r="AG575" s="1" t="s">
        <v>455</v>
      </c>
      <c r="AH575" s="1" t="s">
        <v>101</v>
      </c>
      <c r="AI575" s="1" t="s">
        <v>409</v>
      </c>
      <c r="AJ575" s="1">
        <v>71.6</v>
      </c>
      <c r="AK575" s="1">
        <v>0</v>
      </c>
      <c r="AL575" s="1"/>
      <c r="AM575" s="1"/>
      <c r="AN575" s="1"/>
      <c r="AO575" s="1"/>
      <c r="AP575" s="1"/>
      <c r="AQ575" s="1"/>
      <c r="AR575" s="1" t="s">
        <v>434</v>
      </c>
      <c r="AS575" s="1" t="s">
        <v>10850</v>
      </c>
      <c r="AT575" s="1" t="s">
        <v>310</v>
      </c>
      <c r="AU575" s="1" t="s">
        <v>481</v>
      </c>
      <c r="AV575" s="1">
        <v>80.21</v>
      </c>
      <c r="AW575" s="1">
        <v>0</v>
      </c>
      <c r="AX575" s="1" t="s">
        <v>1024</v>
      </c>
      <c r="AY575" s="1" t="s">
        <v>10851</v>
      </c>
      <c r="AZ575" s="1" t="s">
        <v>874</v>
      </c>
      <c r="BA575" s="1" t="s">
        <v>1361</v>
      </c>
      <c r="BB575" s="1">
        <v>66.87</v>
      </c>
      <c r="BC575" s="1">
        <v>8.05</v>
      </c>
      <c r="BD575" s="1"/>
      <c r="BE575" s="1"/>
      <c r="BF575" s="1"/>
      <c r="BG575" s="1"/>
      <c r="BH575" s="1"/>
      <c r="BI575" s="1"/>
      <c r="BJ575" s="1" t="s">
        <v>10852</v>
      </c>
      <c r="BK575" s="1"/>
      <c r="BL575" s="1"/>
      <c r="BM575" s="1" t="s">
        <v>10853</v>
      </c>
      <c r="BN575" s="1">
        <v>12</v>
      </c>
      <c r="BO575" s="1"/>
      <c r="BP575" s="1" t="str">
        <f>HYPERLINK("https://nconnect.nicmar.ac.in/storage/profile/ProfilePhoto_P25700535_218456.jpg","Download")</f>
        <v>0</v>
      </c>
      <c r="BQ575" s="3"/>
      <c r="BR575" s="3"/>
    </row>
    <row r="576" spans="1:70">
      <c r="A576" s="1" t="s">
        <v>70</v>
      </c>
      <c r="B576" s="1" t="s">
        <v>1269</v>
      </c>
      <c r="C576" s="1" t="s">
        <v>10854</v>
      </c>
      <c r="D576" s="1" t="s">
        <v>10855</v>
      </c>
      <c r="E576" s="1"/>
      <c r="F576" s="1" t="s">
        <v>10856</v>
      </c>
      <c r="G576" s="1" t="s">
        <v>10857</v>
      </c>
      <c r="H576" s="1" t="s">
        <v>10858</v>
      </c>
      <c r="I576" s="1" t="s">
        <v>10859</v>
      </c>
      <c r="J576" s="1">
        <v>9560890504</v>
      </c>
      <c r="K576" s="1" t="s">
        <v>148</v>
      </c>
      <c r="L576" s="1" t="s">
        <v>10860</v>
      </c>
      <c r="M576" s="1" t="s">
        <v>81</v>
      </c>
      <c r="N576" s="1" t="s">
        <v>241</v>
      </c>
      <c r="O576" s="1" t="s">
        <v>10861</v>
      </c>
      <c r="P576" s="1" t="s">
        <v>117</v>
      </c>
      <c r="Q576" s="1" t="s">
        <v>10862</v>
      </c>
      <c r="R576" s="1" t="s">
        <v>10863</v>
      </c>
      <c r="S576" s="1">
        <v>9955933782</v>
      </c>
      <c r="T576" s="1" t="s">
        <v>10864</v>
      </c>
      <c r="U576" s="1" t="s">
        <v>10865</v>
      </c>
      <c r="V576" s="1">
        <v>9113156060</v>
      </c>
      <c r="W576" s="1" t="s">
        <v>10866</v>
      </c>
      <c r="X576" s="1" t="s">
        <v>10867</v>
      </c>
      <c r="Y576" s="1" t="s">
        <v>1957</v>
      </c>
      <c r="Z576" s="1" t="s">
        <v>1355</v>
      </c>
      <c r="AA576" s="1" t="s">
        <v>10867</v>
      </c>
      <c r="AB576" s="1" t="s">
        <v>1957</v>
      </c>
      <c r="AC576" s="1" t="s">
        <v>1355</v>
      </c>
      <c r="AD576" s="1">
        <v>9.13</v>
      </c>
      <c r="AE576" s="1" t="s">
        <v>93</v>
      </c>
      <c r="AF576" s="1" t="s">
        <v>10868</v>
      </c>
      <c r="AG576" s="1" t="s">
        <v>2951</v>
      </c>
      <c r="AH576" s="1" t="s">
        <v>4712</v>
      </c>
      <c r="AI576" s="1" t="s">
        <v>727</v>
      </c>
      <c r="AJ576" s="1">
        <v>95</v>
      </c>
      <c r="AK576" s="1">
        <v>10</v>
      </c>
      <c r="AL576" s="1" t="s">
        <v>10868</v>
      </c>
      <c r="AM576" s="1" t="s">
        <v>2951</v>
      </c>
      <c r="AN576" s="1" t="s">
        <v>2403</v>
      </c>
      <c r="AO576" s="1" t="s">
        <v>999</v>
      </c>
      <c r="AP576" s="1">
        <v>91</v>
      </c>
      <c r="AQ576" s="1"/>
      <c r="AR576" s="1"/>
      <c r="AS576" s="1"/>
      <c r="AT576" s="1"/>
      <c r="AU576" s="1"/>
      <c r="AV576" s="1"/>
      <c r="AW576" s="1"/>
      <c r="AX576" s="1" t="s">
        <v>10869</v>
      </c>
      <c r="AY576" s="1" t="s">
        <v>10870</v>
      </c>
      <c r="AZ576" s="1" t="s">
        <v>100</v>
      </c>
      <c r="BA576" s="1" t="s">
        <v>173</v>
      </c>
      <c r="BB576" s="1">
        <v>80.42</v>
      </c>
      <c r="BC576" s="1"/>
      <c r="BD576" s="1"/>
      <c r="BE576" s="1"/>
      <c r="BF576" s="1"/>
      <c r="BG576" s="1"/>
      <c r="BH576" s="1"/>
      <c r="BI576" s="1"/>
      <c r="BJ576" s="1" t="s">
        <v>10871</v>
      </c>
      <c r="BK576" s="1"/>
      <c r="BL576" s="1"/>
      <c r="BM576" s="1" t="s">
        <v>10872</v>
      </c>
      <c r="BN576" s="1">
        <v>32</v>
      </c>
      <c r="BO576" s="1" t="s">
        <v>10873</v>
      </c>
      <c r="BP576" s="1" t="str">
        <f>HYPERLINK("https://nconnect.nicmar.ac.in/storage/profile/ProfilePhoto_P25700536_349728.jpg","Download")</f>
        <v>0</v>
      </c>
      <c r="BQ576" s="3"/>
      <c r="BR576" s="3"/>
    </row>
    <row r="577" spans="1:70">
      <c r="A577" s="1" t="s">
        <v>70</v>
      </c>
      <c r="B577" s="1" t="s">
        <v>1269</v>
      </c>
      <c r="C577" s="1" t="s">
        <v>10874</v>
      </c>
      <c r="D577" s="1" t="s">
        <v>10875</v>
      </c>
      <c r="E577" s="1"/>
      <c r="F577" s="1" t="s">
        <v>1653</v>
      </c>
      <c r="G577" s="1" t="s">
        <v>10876</v>
      </c>
      <c r="H577" s="1" t="s">
        <v>10877</v>
      </c>
      <c r="I577" s="1" t="s">
        <v>10878</v>
      </c>
      <c r="J577" s="1">
        <v>9072871323</v>
      </c>
      <c r="K577" s="1" t="s">
        <v>148</v>
      </c>
      <c r="L577" s="1" t="s">
        <v>1785</v>
      </c>
      <c r="M577" s="1" t="s">
        <v>81</v>
      </c>
      <c r="N577" s="1" t="s">
        <v>10146</v>
      </c>
      <c r="O577" s="1"/>
      <c r="P577" s="1" t="s">
        <v>1323</v>
      </c>
      <c r="Q577" s="1" t="s">
        <v>10879</v>
      </c>
      <c r="R577" s="1" t="s">
        <v>10880</v>
      </c>
      <c r="S577" s="1">
        <v>9446771323</v>
      </c>
      <c r="T577" s="1" t="s">
        <v>10881</v>
      </c>
      <c r="U577" s="1" t="s">
        <v>10882</v>
      </c>
      <c r="V577" s="1">
        <v>9495082521</v>
      </c>
      <c r="W577" s="1" t="s">
        <v>10883</v>
      </c>
      <c r="X577" s="1" t="s">
        <v>10884</v>
      </c>
      <c r="Y577" s="1" t="s">
        <v>891</v>
      </c>
      <c r="Z577" s="1" t="s">
        <v>125</v>
      </c>
      <c r="AA577" s="1" t="s">
        <v>10884</v>
      </c>
      <c r="AB577" s="1" t="s">
        <v>891</v>
      </c>
      <c r="AC577" s="1" t="s">
        <v>125</v>
      </c>
      <c r="AD577" s="1">
        <v>8.82</v>
      </c>
      <c r="AE577" s="1" t="s">
        <v>93</v>
      </c>
      <c r="AF577" s="1" t="s">
        <v>10885</v>
      </c>
      <c r="AG577" s="1" t="s">
        <v>1086</v>
      </c>
      <c r="AH577" s="1" t="s">
        <v>165</v>
      </c>
      <c r="AI577" s="1" t="s">
        <v>166</v>
      </c>
      <c r="AJ577" s="1">
        <v>88.4</v>
      </c>
      <c r="AK577" s="1"/>
      <c r="AL577" s="1" t="s">
        <v>10885</v>
      </c>
      <c r="AM577" s="1" t="s">
        <v>6312</v>
      </c>
      <c r="AN577" s="1" t="s">
        <v>433</v>
      </c>
      <c r="AO577" s="1" t="s">
        <v>173</v>
      </c>
      <c r="AP577" s="1">
        <v>81.25</v>
      </c>
      <c r="AQ577" s="1"/>
      <c r="AR577" s="1"/>
      <c r="AS577" s="1"/>
      <c r="AT577" s="1"/>
      <c r="AU577" s="1"/>
      <c r="AV577" s="1"/>
      <c r="AW577" s="1"/>
      <c r="AX577" s="1" t="s">
        <v>132</v>
      </c>
      <c r="AY577" s="1" t="s">
        <v>10886</v>
      </c>
      <c r="AZ577" s="1" t="s">
        <v>170</v>
      </c>
      <c r="BA577" s="1" t="s">
        <v>2103</v>
      </c>
      <c r="BB577" s="1">
        <v>70.6</v>
      </c>
      <c r="BC577" s="1">
        <v>7.06</v>
      </c>
      <c r="BD577" s="1"/>
      <c r="BE577" s="1"/>
      <c r="BF577" s="1"/>
      <c r="BG577" s="1"/>
      <c r="BH577" s="1"/>
      <c r="BI577" s="1"/>
      <c r="BJ577" s="1" t="s">
        <v>1383</v>
      </c>
      <c r="BK577" s="1"/>
      <c r="BL577" s="1"/>
      <c r="BM577" s="1" t="s">
        <v>10887</v>
      </c>
      <c r="BN577" s="1">
        <v>8</v>
      </c>
      <c r="BO577" s="1"/>
      <c r="BP577" s="1" t="str">
        <f>HYPERLINK("https://nconnect.nicmar.ac.in/storage/profile/ProfilePhoto_P25700537_596821.jpg","Download")</f>
        <v>0</v>
      </c>
      <c r="BQ577" s="3"/>
      <c r="BR577" s="3"/>
    </row>
    <row r="578" spans="1:70">
      <c r="A578" s="1" t="s">
        <v>70</v>
      </c>
      <c r="B578" s="1" t="s">
        <v>1269</v>
      </c>
      <c r="C578" s="1" t="s">
        <v>10888</v>
      </c>
      <c r="D578" s="1" t="s">
        <v>10889</v>
      </c>
      <c r="E578" s="1"/>
      <c r="F578" s="1" t="s">
        <v>1653</v>
      </c>
      <c r="G578" s="1" t="s">
        <v>10890</v>
      </c>
      <c r="H578" s="1" t="s">
        <v>10891</v>
      </c>
      <c r="I578" s="1" t="s">
        <v>10892</v>
      </c>
      <c r="J578" s="1">
        <v>8301069860</v>
      </c>
      <c r="K578" s="1" t="s">
        <v>148</v>
      </c>
      <c r="L578" s="1" t="s">
        <v>10893</v>
      </c>
      <c r="M578" s="1" t="s">
        <v>81</v>
      </c>
      <c r="N578" s="1" t="s">
        <v>5673</v>
      </c>
      <c r="O578" s="1"/>
      <c r="P578" s="1" t="s">
        <v>1278</v>
      </c>
      <c r="Q578" s="1" t="s">
        <v>10894</v>
      </c>
      <c r="R578" s="1" t="s">
        <v>10895</v>
      </c>
      <c r="S578" s="1">
        <v>9496149860</v>
      </c>
      <c r="T578" s="1" t="s">
        <v>10896</v>
      </c>
      <c r="U578" s="1" t="s">
        <v>10897</v>
      </c>
      <c r="V578" s="1">
        <v>9544329170</v>
      </c>
      <c r="W578" s="1" t="s">
        <v>156</v>
      </c>
      <c r="X578" s="1" t="s">
        <v>10898</v>
      </c>
      <c r="Y578" s="1" t="s">
        <v>6067</v>
      </c>
      <c r="Z578" s="1" t="s">
        <v>125</v>
      </c>
      <c r="AA578" s="1" t="s">
        <v>10898</v>
      </c>
      <c r="AB578" s="1" t="s">
        <v>6067</v>
      </c>
      <c r="AC578" s="1" t="s">
        <v>125</v>
      </c>
      <c r="AD578" s="1">
        <v>8.7</v>
      </c>
      <c r="AE578" s="1" t="s">
        <v>93</v>
      </c>
      <c r="AF578" s="1" t="s">
        <v>10899</v>
      </c>
      <c r="AG578" s="1" t="s">
        <v>307</v>
      </c>
      <c r="AH578" s="1" t="s">
        <v>162</v>
      </c>
      <c r="AI578" s="1" t="s">
        <v>195</v>
      </c>
      <c r="AJ578" s="1">
        <v>95</v>
      </c>
      <c r="AK578" s="1">
        <v>10</v>
      </c>
      <c r="AL578" s="1" t="s">
        <v>10900</v>
      </c>
      <c r="AM578" s="1" t="s">
        <v>10901</v>
      </c>
      <c r="AN578" s="1" t="s">
        <v>101</v>
      </c>
      <c r="AO578" s="1" t="s">
        <v>409</v>
      </c>
      <c r="AP578" s="1">
        <v>90.41</v>
      </c>
      <c r="AQ578" s="1"/>
      <c r="AR578" s="1"/>
      <c r="AS578" s="1"/>
      <c r="AT578" s="1"/>
      <c r="AU578" s="1"/>
      <c r="AV578" s="1"/>
      <c r="AW578" s="1"/>
      <c r="AX578" s="1" t="s">
        <v>132</v>
      </c>
      <c r="AY578" s="1" t="s">
        <v>6707</v>
      </c>
      <c r="AZ578" s="1" t="s">
        <v>681</v>
      </c>
      <c r="BA578" s="1" t="s">
        <v>202</v>
      </c>
      <c r="BB578" s="1">
        <v>77.2</v>
      </c>
      <c r="BC578" s="1">
        <v>7.72</v>
      </c>
      <c r="BD578" s="1"/>
      <c r="BE578" s="1"/>
      <c r="BF578" s="1"/>
      <c r="BG578" s="1"/>
      <c r="BH578" s="1"/>
      <c r="BI578" s="1"/>
      <c r="BJ578" s="1" t="s">
        <v>10902</v>
      </c>
      <c r="BK578" s="1"/>
      <c r="BL578" s="1"/>
      <c r="BM578" s="1" t="s">
        <v>10903</v>
      </c>
      <c r="BN578" s="1">
        <v>34</v>
      </c>
      <c r="BO578" s="1" t="s">
        <v>10904</v>
      </c>
      <c r="BP578" s="1" t="str">
        <f>HYPERLINK("https://nconnect.nicmar.ac.in/storage/profile/ProfilePhoto_P25700538_648517.jpg","Download")</f>
        <v>0</v>
      </c>
      <c r="BQ578" s="3"/>
      <c r="BR578" s="3"/>
    </row>
    <row r="579" spans="1:70">
      <c r="A579" s="1" t="s">
        <v>70</v>
      </c>
      <c r="B579" s="1" t="s">
        <v>1269</v>
      </c>
      <c r="C579" s="1" t="s">
        <v>10905</v>
      </c>
      <c r="D579" s="1" t="s">
        <v>10906</v>
      </c>
      <c r="E579" s="1"/>
      <c r="F579" s="1" t="s">
        <v>10907</v>
      </c>
      <c r="G579" s="1" t="s">
        <v>10908</v>
      </c>
      <c r="H579" s="1" t="s">
        <v>10909</v>
      </c>
      <c r="I579" s="1" t="s">
        <v>10910</v>
      </c>
      <c r="J579" s="1">
        <v>7987506803</v>
      </c>
      <c r="K579" s="1" t="s">
        <v>148</v>
      </c>
      <c r="L579" s="1" t="s">
        <v>10911</v>
      </c>
      <c r="M579" s="1" t="s">
        <v>81</v>
      </c>
      <c r="N579" s="1" t="s">
        <v>10912</v>
      </c>
      <c r="O579" s="1"/>
      <c r="P579" s="1" t="s">
        <v>1323</v>
      </c>
      <c r="Q579" s="1" t="s">
        <v>10913</v>
      </c>
      <c r="R579" s="1" t="s">
        <v>10914</v>
      </c>
      <c r="S579" s="1">
        <v>9826698890</v>
      </c>
      <c r="T579" s="1" t="s">
        <v>842</v>
      </c>
      <c r="U579" s="1" t="s">
        <v>10915</v>
      </c>
      <c r="V579" s="1">
        <v>8435027464</v>
      </c>
      <c r="W579" s="1" t="s">
        <v>89</v>
      </c>
      <c r="X579" s="1" t="s">
        <v>10916</v>
      </c>
      <c r="Y579" s="1" t="s">
        <v>191</v>
      </c>
      <c r="Z579" s="1" t="s">
        <v>92</v>
      </c>
      <c r="AA579" s="1" t="s">
        <v>10917</v>
      </c>
      <c r="AB579" s="1" t="s">
        <v>10918</v>
      </c>
      <c r="AC579" s="1" t="s">
        <v>936</v>
      </c>
      <c r="AD579" s="1">
        <v>8.57</v>
      </c>
      <c r="AE579" s="1" t="s">
        <v>93</v>
      </c>
      <c r="AF579" s="1" t="s">
        <v>10919</v>
      </c>
      <c r="AG579" s="1" t="s">
        <v>939</v>
      </c>
      <c r="AH579" s="1" t="s">
        <v>4223</v>
      </c>
      <c r="AI579" s="1" t="s">
        <v>1197</v>
      </c>
      <c r="AJ579" s="1">
        <v>81.7</v>
      </c>
      <c r="AK579" s="1">
        <v>8.6</v>
      </c>
      <c r="AL579" s="1" t="s">
        <v>10919</v>
      </c>
      <c r="AM579" s="1" t="s">
        <v>939</v>
      </c>
      <c r="AN579" s="1" t="s">
        <v>503</v>
      </c>
      <c r="AO579" s="1" t="s">
        <v>527</v>
      </c>
      <c r="AP579" s="1">
        <v>64.8</v>
      </c>
      <c r="AQ579" s="1">
        <v>0</v>
      </c>
      <c r="AR579" s="1"/>
      <c r="AS579" s="1"/>
      <c r="AT579" s="1"/>
      <c r="AU579" s="1"/>
      <c r="AV579" s="1"/>
      <c r="AW579" s="1"/>
      <c r="AX579" s="1" t="s">
        <v>361</v>
      </c>
      <c r="AY579" s="1" t="s">
        <v>10920</v>
      </c>
      <c r="AZ579" s="1" t="s">
        <v>225</v>
      </c>
      <c r="BA579" s="1" t="s">
        <v>481</v>
      </c>
      <c r="BB579" s="1">
        <v>70.5</v>
      </c>
      <c r="BC579" s="1">
        <v>7.8</v>
      </c>
      <c r="BD579" s="1"/>
      <c r="BE579" s="1"/>
      <c r="BF579" s="1"/>
      <c r="BG579" s="1"/>
      <c r="BH579" s="1"/>
      <c r="BI579" s="1"/>
      <c r="BJ579" s="1" t="s">
        <v>10921</v>
      </c>
      <c r="BK579" s="1" t="s">
        <v>10922</v>
      </c>
      <c r="BL579" s="1" t="s">
        <v>1629</v>
      </c>
      <c r="BM579" s="1" t="s">
        <v>10923</v>
      </c>
      <c r="BN579" s="1">
        <v>29</v>
      </c>
      <c r="BO579" s="1" t="s">
        <v>10924</v>
      </c>
      <c r="BP579" s="1" t="str">
        <f>HYPERLINK("https://nconnect.nicmar.ac.in/storage/profile/ProfilePhoto_P25700539_189627.jpg","Download")</f>
        <v>0</v>
      </c>
      <c r="BQ579" s="3"/>
      <c r="BR579" s="3"/>
    </row>
    <row r="580" spans="1:70">
      <c r="A580" s="1" t="s">
        <v>70</v>
      </c>
      <c r="B580" s="1" t="s">
        <v>1269</v>
      </c>
      <c r="C580" s="1" t="s">
        <v>10925</v>
      </c>
      <c r="D580" s="1" t="s">
        <v>10926</v>
      </c>
      <c r="E580" s="1" t="s">
        <v>465</v>
      </c>
      <c r="F580" s="1" t="s">
        <v>10927</v>
      </c>
      <c r="G580" s="1" t="s">
        <v>10928</v>
      </c>
      <c r="H580" s="1" t="s">
        <v>10929</v>
      </c>
      <c r="I580" s="1" t="s">
        <v>10930</v>
      </c>
      <c r="J580" s="1">
        <v>7248976751</v>
      </c>
      <c r="K580" s="1" t="s">
        <v>79</v>
      </c>
      <c r="L580" s="1" t="s">
        <v>10613</v>
      </c>
      <c r="M580" s="1" t="s">
        <v>81</v>
      </c>
      <c r="N580" s="1" t="s">
        <v>1618</v>
      </c>
      <c r="O580" s="1"/>
      <c r="P580" s="1" t="s">
        <v>1323</v>
      </c>
      <c r="Q580" s="1" t="s">
        <v>10931</v>
      </c>
      <c r="R580" s="1" t="s">
        <v>10932</v>
      </c>
      <c r="S580" s="1">
        <v>9850209913</v>
      </c>
      <c r="T580" s="1" t="s">
        <v>120</v>
      </c>
      <c r="U580" s="1" t="s">
        <v>10933</v>
      </c>
      <c r="V580" s="1">
        <v>9970937262</v>
      </c>
      <c r="W580" s="1" t="s">
        <v>120</v>
      </c>
      <c r="X580" s="1" t="s">
        <v>10934</v>
      </c>
      <c r="Y580" s="1" t="s">
        <v>191</v>
      </c>
      <c r="Z580" s="1" t="s">
        <v>92</v>
      </c>
      <c r="AA580" s="1" t="s">
        <v>10935</v>
      </c>
      <c r="AB580" s="1" t="s">
        <v>405</v>
      </c>
      <c r="AC580" s="1" t="s">
        <v>92</v>
      </c>
      <c r="AD580" s="1">
        <v>8.75</v>
      </c>
      <c r="AE580" s="1" t="s">
        <v>93</v>
      </c>
      <c r="AF580" s="1" t="s">
        <v>10936</v>
      </c>
      <c r="AG580" s="1" t="s">
        <v>307</v>
      </c>
      <c r="AH580" s="1" t="s">
        <v>161</v>
      </c>
      <c r="AI580" s="1" t="s">
        <v>527</v>
      </c>
      <c r="AJ580" s="1">
        <v>93.1</v>
      </c>
      <c r="AK580" s="1">
        <v>9.8</v>
      </c>
      <c r="AL580" s="1" t="s">
        <v>10937</v>
      </c>
      <c r="AM580" s="1" t="s">
        <v>4453</v>
      </c>
      <c r="AN580" s="1" t="s">
        <v>162</v>
      </c>
      <c r="AO580" s="1" t="s">
        <v>166</v>
      </c>
      <c r="AP580" s="1">
        <v>74.62</v>
      </c>
      <c r="AQ580" s="1"/>
      <c r="AR580" s="1"/>
      <c r="AS580" s="1"/>
      <c r="AT580" s="1"/>
      <c r="AU580" s="1"/>
      <c r="AV580" s="1"/>
      <c r="AW580" s="1"/>
      <c r="AX580" s="1" t="s">
        <v>10938</v>
      </c>
      <c r="AY580" s="1" t="s">
        <v>10100</v>
      </c>
      <c r="AZ580" s="1" t="s">
        <v>636</v>
      </c>
      <c r="BA580" s="1" t="s">
        <v>1003</v>
      </c>
      <c r="BB580" s="1">
        <v>81.8</v>
      </c>
      <c r="BC580" s="1">
        <v>8.18</v>
      </c>
      <c r="BD580" s="1"/>
      <c r="BE580" s="1"/>
      <c r="BF580" s="1"/>
      <c r="BG580" s="1"/>
      <c r="BH580" s="1"/>
      <c r="BI580" s="1"/>
      <c r="BJ580" s="1" t="s">
        <v>10939</v>
      </c>
      <c r="BK580" s="1" t="s">
        <v>10940</v>
      </c>
      <c r="BL580" s="1" t="s">
        <v>1385</v>
      </c>
      <c r="BM580" s="1" t="s">
        <v>10941</v>
      </c>
      <c r="BN580" s="1">
        <v>14</v>
      </c>
      <c r="BO580" s="1" t="s">
        <v>10942</v>
      </c>
      <c r="BP580" s="1" t="str">
        <f>HYPERLINK("https://nconnect.nicmar.ac.in/storage/profile/ProfilePhoto_P25700540_731968.jpg","Download")</f>
        <v>0</v>
      </c>
      <c r="BQ580" s="3"/>
      <c r="BR580" s="3"/>
    </row>
    <row r="581" spans="1:70">
      <c r="A581" s="1" t="s">
        <v>70</v>
      </c>
      <c r="B581" s="1" t="s">
        <v>1269</v>
      </c>
      <c r="C581" s="1" t="s">
        <v>10943</v>
      </c>
      <c r="D581" s="1" t="s">
        <v>10944</v>
      </c>
      <c r="E581" s="1" t="s">
        <v>2023</v>
      </c>
      <c r="F581" s="1" t="s">
        <v>10945</v>
      </c>
      <c r="G581" s="1" t="s">
        <v>10946</v>
      </c>
      <c r="H581" s="1" t="s">
        <v>10947</v>
      </c>
      <c r="I581" s="1" t="s">
        <v>10948</v>
      </c>
      <c r="J581" s="1">
        <v>8855884281</v>
      </c>
      <c r="K581" s="1" t="s">
        <v>79</v>
      </c>
      <c r="L581" s="1" t="s">
        <v>2506</v>
      </c>
      <c r="M581" s="1" t="s">
        <v>81</v>
      </c>
      <c r="N581" s="1" t="s">
        <v>1765</v>
      </c>
      <c r="O581" s="1"/>
      <c r="P581" s="1" t="s">
        <v>1323</v>
      </c>
      <c r="Q581" s="1" t="s">
        <v>10949</v>
      </c>
      <c r="R581" s="1" t="s">
        <v>2023</v>
      </c>
      <c r="S581" s="1">
        <v>8668505500</v>
      </c>
      <c r="T581" s="1" t="s">
        <v>5459</v>
      </c>
      <c r="U581" s="1" t="s">
        <v>693</v>
      </c>
      <c r="V581" s="1">
        <v>9284724442</v>
      </c>
      <c r="W581" s="1" t="s">
        <v>122</v>
      </c>
      <c r="X581" s="1" t="s">
        <v>10950</v>
      </c>
      <c r="Y581" s="1" t="s">
        <v>523</v>
      </c>
      <c r="Z581" s="1" t="s">
        <v>92</v>
      </c>
      <c r="AA581" s="1" t="s">
        <v>10950</v>
      </c>
      <c r="AB581" s="1" t="s">
        <v>523</v>
      </c>
      <c r="AC581" s="1" t="s">
        <v>92</v>
      </c>
      <c r="AD581" s="1">
        <v>8.07</v>
      </c>
      <c r="AE581" s="1" t="s">
        <v>93</v>
      </c>
      <c r="AF581" s="1" t="s">
        <v>10951</v>
      </c>
      <c r="AG581" s="1" t="s">
        <v>455</v>
      </c>
      <c r="AH581" s="1" t="s">
        <v>456</v>
      </c>
      <c r="AI581" s="1" t="s">
        <v>195</v>
      </c>
      <c r="AJ581" s="1">
        <v>81</v>
      </c>
      <c r="AK581" s="1"/>
      <c r="AL581" s="1" t="s">
        <v>10952</v>
      </c>
      <c r="AM581" s="1" t="s">
        <v>455</v>
      </c>
      <c r="AN581" s="1" t="s">
        <v>1307</v>
      </c>
      <c r="AO581" s="1" t="s">
        <v>198</v>
      </c>
      <c r="AP581" s="1">
        <v>63.54</v>
      </c>
      <c r="AQ581" s="1"/>
      <c r="AR581" s="1"/>
      <c r="AS581" s="1"/>
      <c r="AT581" s="1"/>
      <c r="AU581" s="1"/>
      <c r="AV581" s="1"/>
      <c r="AW581" s="1"/>
      <c r="AX581" s="1" t="s">
        <v>8589</v>
      </c>
      <c r="AY581" s="1" t="s">
        <v>10953</v>
      </c>
      <c r="AZ581" s="1" t="s">
        <v>201</v>
      </c>
      <c r="BA581" s="1" t="s">
        <v>174</v>
      </c>
      <c r="BB581" s="1">
        <v>70.5</v>
      </c>
      <c r="BC581" s="1">
        <v>7.8</v>
      </c>
      <c r="BD581" s="1"/>
      <c r="BE581" s="1"/>
      <c r="BF581" s="1"/>
      <c r="BG581" s="1"/>
      <c r="BH581" s="1"/>
      <c r="BI581" s="1"/>
      <c r="BJ581" s="1" t="s">
        <v>364</v>
      </c>
      <c r="BK581" s="1"/>
      <c r="BL581" s="1"/>
      <c r="BM581" s="1" t="s">
        <v>10954</v>
      </c>
      <c r="BN581" s="1">
        <v>38</v>
      </c>
      <c r="BO581" s="1" t="s">
        <v>10955</v>
      </c>
      <c r="BP581" s="1" t="str">
        <f>HYPERLINK("https://nconnect.nicmar.ac.in/storage/profile/ProfilePhoto_P25700541_148765.jpg","Download")</f>
        <v>0</v>
      </c>
      <c r="BQ581" s="3"/>
      <c r="BR581" s="3"/>
    </row>
    <row r="582" spans="1:70">
      <c r="A582" s="1" t="s">
        <v>70</v>
      </c>
      <c r="B582" s="1" t="s">
        <v>1269</v>
      </c>
      <c r="C582" s="1" t="s">
        <v>10956</v>
      </c>
      <c r="D582" s="1" t="s">
        <v>10957</v>
      </c>
      <c r="E582" s="1" t="s">
        <v>3208</v>
      </c>
      <c r="F582" s="1" t="s">
        <v>2677</v>
      </c>
      <c r="G582" s="1" t="s">
        <v>10958</v>
      </c>
      <c r="H582" s="1" t="s">
        <v>10959</v>
      </c>
      <c r="I582" s="1" t="s">
        <v>10960</v>
      </c>
      <c r="J582" s="1">
        <v>9021666927</v>
      </c>
      <c r="K582" s="1" t="s">
        <v>79</v>
      </c>
      <c r="L582" s="1" t="s">
        <v>9045</v>
      </c>
      <c r="M582" s="1" t="s">
        <v>81</v>
      </c>
      <c r="N582" s="1" t="s">
        <v>1418</v>
      </c>
      <c r="O582" s="1"/>
      <c r="P582" s="1" t="s">
        <v>1323</v>
      </c>
      <c r="Q582" s="1" t="s">
        <v>10961</v>
      </c>
      <c r="R582" s="1" t="s">
        <v>10962</v>
      </c>
      <c r="S582" s="1">
        <v>9422258357</v>
      </c>
      <c r="T582" s="1" t="s">
        <v>3197</v>
      </c>
      <c r="U582" s="1" t="s">
        <v>10963</v>
      </c>
      <c r="V582" s="1">
        <v>9423972867</v>
      </c>
      <c r="W582" s="1" t="s">
        <v>156</v>
      </c>
      <c r="X582" s="1" t="s">
        <v>10964</v>
      </c>
      <c r="Y582" s="1" t="s">
        <v>1174</v>
      </c>
      <c r="Z582" s="1" t="s">
        <v>92</v>
      </c>
      <c r="AA582" s="1" t="s">
        <v>10964</v>
      </c>
      <c r="AB582" s="1" t="s">
        <v>1174</v>
      </c>
      <c r="AC582" s="1" t="s">
        <v>92</v>
      </c>
      <c r="AD582" s="1">
        <v>9.05</v>
      </c>
      <c r="AE582" s="1" t="s">
        <v>93</v>
      </c>
      <c r="AF582" s="1" t="s">
        <v>10965</v>
      </c>
      <c r="AG582" s="1" t="s">
        <v>160</v>
      </c>
      <c r="AH582" s="1" t="s">
        <v>165</v>
      </c>
      <c r="AI582" s="1" t="s">
        <v>101</v>
      </c>
      <c r="AJ582" s="1">
        <v>94.8</v>
      </c>
      <c r="AK582" s="1"/>
      <c r="AL582" s="1" t="s">
        <v>10966</v>
      </c>
      <c r="AM582" s="1" t="s">
        <v>160</v>
      </c>
      <c r="AN582" s="1" t="s">
        <v>310</v>
      </c>
      <c r="AO582" s="1" t="s">
        <v>681</v>
      </c>
      <c r="AP582" s="1">
        <v>79.38</v>
      </c>
      <c r="AQ582" s="1"/>
      <c r="AR582" s="1"/>
      <c r="AS582" s="1"/>
      <c r="AT582" s="1"/>
      <c r="AU582" s="1"/>
      <c r="AV582" s="1"/>
      <c r="AW582" s="1"/>
      <c r="AX582" s="1" t="s">
        <v>361</v>
      </c>
      <c r="AY582" s="1" t="s">
        <v>10967</v>
      </c>
      <c r="AZ582" s="1" t="s">
        <v>363</v>
      </c>
      <c r="BA582" s="1" t="s">
        <v>202</v>
      </c>
      <c r="BB582" s="1">
        <v>74.9</v>
      </c>
      <c r="BC582" s="1">
        <v>7.99</v>
      </c>
      <c r="BD582" s="1"/>
      <c r="BE582" s="1"/>
      <c r="BF582" s="1"/>
      <c r="BG582" s="1"/>
      <c r="BH582" s="1"/>
      <c r="BI582" s="1"/>
      <c r="BJ582" s="1" t="s">
        <v>10968</v>
      </c>
      <c r="BK582" s="1"/>
      <c r="BL582" s="1"/>
      <c r="BM582" s="1" t="s">
        <v>10969</v>
      </c>
      <c r="BN582" s="1">
        <v>47</v>
      </c>
      <c r="BO582" s="1" t="s">
        <v>10970</v>
      </c>
      <c r="BP582" s="1" t="str">
        <f>HYPERLINK("https://nconnect.nicmar.ac.in/storage/profile/ProfilePhoto_P25700542_891354.jpg","Download")</f>
        <v>0</v>
      </c>
      <c r="BQ582" s="3"/>
      <c r="BR582" s="3"/>
    </row>
    <row r="583" spans="1:70">
      <c r="A583" s="1" t="s">
        <v>70</v>
      </c>
      <c r="B583" s="1" t="s">
        <v>1269</v>
      </c>
      <c r="C583" s="1" t="s">
        <v>10971</v>
      </c>
      <c r="D583" s="1" t="s">
        <v>10972</v>
      </c>
      <c r="E583" s="1"/>
      <c r="F583" s="1" t="s">
        <v>10973</v>
      </c>
      <c r="G583" s="1" t="s">
        <v>10974</v>
      </c>
      <c r="H583" s="1" t="s">
        <v>10975</v>
      </c>
      <c r="I583" s="1" t="s">
        <v>10976</v>
      </c>
      <c r="J583" s="1">
        <v>9895721858</v>
      </c>
      <c r="K583" s="1" t="s">
        <v>79</v>
      </c>
      <c r="L583" s="1" t="s">
        <v>10977</v>
      </c>
      <c r="M583" s="1" t="s">
        <v>81</v>
      </c>
      <c r="N583" s="1" t="s">
        <v>5950</v>
      </c>
      <c r="O583" s="1"/>
      <c r="P583" s="1" t="s">
        <v>1766</v>
      </c>
      <c r="Q583" s="1" t="s">
        <v>10978</v>
      </c>
      <c r="R583" s="1" t="s">
        <v>10979</v>
      </c>
      <c r="S583" s="1">
        <v>9895379454</v>
      </c>
      <c r="T583" s="1" t="s">
        <v>5823</v>
      </c>
      <c r="U583" s="1" t="s">
        <v>10980</v>
      </c>
      <c r="V583" s="1">
        <v>9895569453</v>
      </c>
      <c r="W583" s="1" t="s">
        <v>5823</v>
      </c>
      <c r="X583" s="1" t="s">
        <v>10981</v>
      </c>
      <c r="Y583" s="1" t="s">
        <v>1491</v>
      </c>
      <c r="Z583" s="1" t="s">
        <v>125</v>
      </c>
      <c r="AA583" s="1" t="s">
        <v>10981</v>
      </c>
      <c r="AB583" s="1" t="s">
        <v>1491</v>
      </c>
      <c r="AC583" s="1" t="s">
        <v>125</v>
      </c>
      <c r="AD583" s="1">
        <v>9.02</v>
      </c>
      <c r="AE583" s="1" t="s">
        <v>93</v>
      </c>
      <c r="AF583" s="1" t="s">
        <v>10982</v>
      </c>
      <c r="AG583" s="1" t="s">
        <v>939</v>
      </c>
      <c r="AH583" s="1" t="s">
        <v>96</v>
      </c>
      <c r="AI583" s="1" t="s">
        <v>131</v>
      </c>
      <c r="AJ583" s="1">
        <v>95</v>
      </c>
      <c r="AK583" s="1">
        <v>10</v>
      </c>
      <c r="AL583" s="1" t="s">
        <v>10982</v>
      </c>
      <c r="AM583" s="1" t="s">
        <v>939</v>
      </c>
      <c r="AN583" s="1" t="s">
        <v>162</v>
      </c>
      <c r="AO583" s="1" t="s">
        <v>479</v>
      </c>
      <c r="AP583" s="1">
        <v>76</v>
      </c>
      <c r="AQ583" s="1">
        <v>0</v>
      </c>
      <c r="AR583" s="1"/>
      <c r="AS583" s="1"/>
      <c r="AT583" s="1"/>
      <c r="AU583" s="1"/>
      <c r="AV583" s="1"/>
      <c r="AW583" s="1"/>
      <c r="AX583" s="1" t="s">
        <v>7909</v>
      </c>
      <c r="AY583" s="1" t="s">
        <v>10983</v>
      </c>
      <c r="AZ583" s="1" t="s">
        <v>383</v>
      </c>
      <c r="BA583" s="1" t="s">
        <v>3088</v>
      </c>
      <c r="BB583" s="1">
        <v>77.9</v>
      </c>
      <c r="BC583" s="1">
        <v>8.59</v>
      </c>
      <c r="BD583" s="1"/>
      <c r="BE583" s="1"/>
      <c r="BF583" s="1"/>
      <c r="BG583" s="1"/>
      <c r="BH583" s="1"/>
      <c r="BI583" s="1"/>
      <c r="BJ583" s="1" t="s">
        <v>10984</v>
      </c>
      <c r="BK583" s="1" t="s">
        <v>10985</v>
      </c>
      <c r="BL583" s="1" t="s">
        <v>4933</v>
      </c>
      <c r="BM583" s="1" t="s">
        <v>10986</v>
      </c>
      <c r="BN583" s="1">
        <v>9</v>
      </c>
      <c r="BO583" s="1" t="s">
        <v>10987</v>
      </c>
      <c r="BP583" s="1" t="str">
        <f>HYPERLINK("https://nconnect.nicmar.ac.in/storage/profile/ProfilePhoto_P25700543_269387.jpg","Download")</f>
        <v>0</v>
      </c>
      <c r="BQ583" s="3"/>
      <c r="BR583" s="3"/>
    </row>
    <row r="584" spans="1:70">
      <c r="A584" s="1" t="s">
        <v>70</v>
      </c>
      <c r="B584" s="1" t="s">
        <v>1269</v>
      </c>
      <c r="C584" s="1" t="s">
        <v>10988</v>
      </c>
      <c r="D584" s="1" t="s">
        <v>10989</v>
      </c>
      <c r="E584" s="1" t="s">
        <v>10990</v>
      </c>
      <c r="F584" s="1" t="s">
        <v>1875</v>
      </c>
      <c r="G584" s="1" t="s">
        <v>10991</v>
      </c>
      <c r="H584" s="1" t="s">
        <v>10992</v>
      </c>
      <c r="I584" s="1" t="s">
        <v>10993</v>
      </c>
      <c r="J584" s="1">
        <v>9949296219</v>
      </c>
      <c r="K584" s="1" t="s">
        <v>79</v>
      </c>
      <c r="L584" s="1" t="s">
        <v>10994</v>
      </c>
      <c r="M584" s="1" t="s">
        <v>81</v>
      </c>
      <c r="N584" s="1" t="s">
        <v>10995</v>
      </c>
      <c r="O584" s="1"/>
      <c r="P584" s="1" t="s">
        <v>1298</v>
      </c>
      <c r="Q584" s="1" t="s">
        <v>10996</v>
      </c>
      <c r="R584" s="1" t="s">
        <v>10997</v>
      </c>
      <c r="S584" s="1">
        <v>9963214083</v>
      </c>
      <c r="T584" s="1" t="s">
        <v>496</v>
      </c>
      <c r="U584" s="1" t="s">
        <v>10998</v>
      </c>
      <c r="V584" s="1">
        <v>9966388020</v>
      </c>
      <c r="W584" s="1" t="s">
        <v>156</v>
      </c>
      <c r="X584" s="1" t="s">
        <v>10999</v>
      </c>
      <c r="Y584" s="1" t="s">
        <v>1513</v>
      </c>
      <c r="Z584" s="1" t="s">
        <v>276</v>
      </c>
      <c r="AA584" s="1" t="s">
        <v>10999</v>
      </c>
      <c r="AB584" s="1" t="s">
        <v>1513</v>
      </c>
      <c r="AC584" s="1" t="s">
        <v>276</v>
      </c>
      <c r="AD584" s="1">
        <v>9.34</v>
      </c>
      <c r="AE584" s="1" t="s">
        <v>93</v>
      </c>
      <c r="AF584" s="1" t="s">
        <v>9033</v>
      </c>
      <c r="AG584" s="1" t="s">
        <v>11000</v>
      </c>
      <c r="AH584" s="1" t="s">
        <v>97</v>
      </c>
      <c r="AI584" s="1" t="s">
        <v>456</v>
      </c>
      <c r="AJ584" s="1">
        <v>98</v>
      </c>
      <c r="AK584" s="1">
        <v>9.8</v>
      </c>
      <c r="AL584" s="1" t="s">
        <v>11001</v>
      </c>
      <c r="AM584" s="1" t="s">
        <v>11002</v>
      </c>
      <c r="AN584" s="1" t="s">
        <v>279</v>
      </c>
      <c r="AO584" s="1" t="s">
        <v>1307</v>
      </c>
      <c r="AP584" s="1">
        <v>97.6</v>
      </c>
      <c r="AQ584" s="1"/>
      <c r="AR584" s="1"/>
      <c r="AS584" s="1"/>
      <c r="AT584" s="1"/>
      <c r="AU584" s="1"/>
      <c r="AV584" s="1"/>
      <c r="AW584" s="1"/>
      <c r="AX584" s="1" t="s">
        <v>1359</v>
      </c>
      <c r="AY584" s="1" t="s">
        <v>1359</v>
      </c>
      <c r="AZ584" s="1" t="s">
        <v>166</v>
      </c>
      <c r="BA584" s="1" t="s">
        <v>1003</v>
      </c>
      <c r="BB584" s="1">
        <v>77.2</v>
      </c>
      <c r="BC584" s="1">
        <v>7.72</v>
      </c>
      <c r="BD584" s="1"/>
      <c r="BE584" s="1"/>
      <c r="BF584" s="1"/>
      <c r="BG584" s="1"/>
      <c r="BH584" s="1"/>
      <c r="BI584" s="1"/>
      <c r="BJ584" s="1" t="s">
        <v>11003</v>
      </c>
      <c r="BK584" s="1" t="s">
        <v>11004</v>
      </c>
      <c r="BL584" s="1" t="s">
        <v>138</v>
      </c>
      <c r="BM584" s="1" t="s">
        <v>11005</v>
      </c>
      <c r="BN584" s="1">
        <v>8</v>
      </c>
      <c r="BO584" s="1" t="s">
        <v>11006</v>
      </c>
      <c r="BP584" s="1" t="str">
        <f>HYPERLINK("https://nconnect.nicmar.ac.in/storage/profile/ProfilePhoto_P25700544_418352.jpg","Download")</f>
        <v>0</v>
      </c>
      <c r="BQ584" s="3"/>
      <c r="BR584" s="3"/>
    </row>
    <row r="585" spans="1:70">
      <c r="A585" s="1" t="s">
        <v>70</v>
      </c>
      <c r="B585" s="1" t="s">
        <v>1269</v>
      </c>
      <c r="C585" s="1" t="s">
        <v>11007</v>
      </c>
      <c r="D585" s="1" t="s">
        <v>11008</v>
      </c>
      <c r="E585" s="1"/>
      <c r="F585" s="1" t="s">
        <v>11009</v>
      </c>
      <c r="G585" s="1" t="s">
        <v>11010</v>
      </c>
      <c r="H585" s="1" t="s">
        <v>11011</v>
      </c>
      <c r="I585" s="1" t="s">
        <v>11012</v>
      </c>
      <c r="J585" s="1">
        <v>9347790600</v>
      </c>
      <c r="K585" s="1" t="s">
        <v>79</v>
      </c>
      <c r="L585" s="1" t="s">
        <v>11013</v>
      </c>
      <c r="M585" s="1" t="s">
        <v>81</v>
      </c>
      <c r="N585" s="1" t="s">
        <v>2276</v>
      </c>
      <c r="O585" s="1"/>
      <c r="P585" s="1" t="s">
        <v>1278</v>
      </c>
      <c r="Q585" s="1" t="s">
        <v>11014</v>
      </c>
      <c r="R585" s="1" t="s">
        <v>11015</v>
      </c>
      <c r="S585" s="1">
        <v>9010536977</v>
      </c>
      <c r="T585" s="1" t="s">
        <v>2335</v>
      </c>
      <c r="U585" s="1" t="s">
        <v>11016</v>
      </c>
      <c r="V585" s="1">
        <v>8712387199</v>
      </c>
      <c r="W585" s="1" t="s">
        <v>2335</v>
      </c>
      <c r="X585" s="1" t="s">
        <v>11017</v>
      </c>
      <c r="Y585" s="1" t="s">
        <v>191</v>
      </c>
      <c r="Z585" s="1" t="s">
        <v>92</v>
      </c>
      <c r="AA585" s="1" t="s">
        <v>11018</v>
      </c>
      <c r="AB585" s="1" t="s">
        <v>11019</v>
      </c>
      <c r="AC585" s="1" t="s">
        <v>276</v>
      </c>
      <c r="AD585" s="1">
        <v>8.56</v>
      </c>
      <c r="AE585" s="1" t="s">
        <v>93</v>
      </c>
      <c r="AF585" s="1" t="s">
        <v>9033</v>
      </c>
      <c r="AG585" s="1" t="s">
        <v>2245</v>
      </c>
      <c r="AH585" s="1" t="s">
        <v>165</v>
      </c>
      <c r="AI585" s="1" t="s">
        <v>281</v>
      </c>
      <c r="AJ585" s="1">
        <v>90</v>
      </c>
      <c r="AK585" s="1">
        <v>9</v>
      </c>
      <c r="AL585" s="1" t="s">
        <v>11020</v>
      </c>
      <c r="AM585" s="1" t="s">
        <v>11021</v>
      </c>
      <c r="AN585" s="1" t="s">
        <v>169</v>
      </c>
      <c r="AO585" s="1" t="s">
        <v>941</v>
      </c>
      <c r="AP585" s="1">
        <v>81.03</v>
      </c>
      <c r="AQ585" s="1">
        <v>8.53</v>
      </c>
      <c r="AR585" s="1"/>
      <c r="AS585" s="1"/>
      <c r="AT585" s="1"/>
      <c r="AU585" s="1"/>
      <c r="AV585" s="1"/>
      <c r="AW585" s="1"/>
      <c r="AX585" s="1" t="s">
        <v>3468</v>
      </c>
      <c r="AY585" s="1" t="s">
        <v>11022</v>
      </c>
      <c r="AZ585" s="1" t="s">
        <v>363</v>
      </c>
      <c r="BA585" s="1" t="s">
        <v>702</v>
      </c>
      <c r="BB585" s="1">
        <v>73.7</v>
      </c>
      <c r="BC585" s="1">
        <v>8.12</v>
      </c>
      <c r="BD585" s="1"/>
      <c r="BE585" s="1"/>
      <c r="BF585" s="1"/>
      <c r="BG585" s="1"/>
      <c r="BH585" s="1"/>
      <c r="BI585" s="1"/>
      <c r="BJ585" s="1" t="s">
        <v>5466</v>
      </c>
      <c r="BK585" s="1" t="s">
        <v>11023</v>
      </c>
      <c r="BL585" s="1" t="s">
        <v>287</v>
      </c>
      <c r="BM585" s="1" t="s">
        <v>11024</v>
      </c>
      <c r="BN585" s="1">
        <v>14</v>
      </c>
      <c r="BO585" s="1"/>
      <c r="BP585" s="1" t="str">
        <f>HYPERLINK("https://nconnect.nicmar.ac.in/storage/profile/ProfilePhoto_P25700545_567941.jpg","Download")</f>
        <v>0</v>
      </c>
      <c r="BQ585" s="3"/>
      <c r="BR585" s="3"/>
    </row>
    <row r="586" spans="1:70">
      <c r="A586" s="1" t="s">
        <v>70</v>
      </c>
      <c r="B586" s="1" t="s">
        <v>1269</v>
      </c>
      <c r="C586" s="1" t="s">
        <v>11025</v>
      </c>
      <c r="D586" s="1" t="s">
        <v>11026</v>
      </c>
      <c r="E586" s="1" t="s">
        <v>11027</v>
      </c>
      <c r="F586" s="1" t="s">
        <v>596</v>
      </c>
      <c r="G586" s="1" t="s">
        <v>11028</v>
      </c>
      <c r="H586" s="1" t="s">
        <v>11029</v>
      </c>
      <c r="I586" s="1" t="s">
        <v>11030</v>
      </c>
      <c r="J586" s="1">
        <v>7260815833</v>
      </c>
      <c r="K586" s="1" t="s">
        <v>79</v>
      </c>
      <c r="L586" s="1" t="s">
        <v>11031</v>
      </c>
      <c r="M586" s="1" t="s">
        <v>81</v>
      </c>
      <c r="N586" s="1" t="s">
        <v>1951</v>
      </c>
      <c r="O586" s="1"/>
      <c r="P586" s="1" t="s">
        <v>1323</v>
      </c>
      <c r="Q586" s="1" t="s">
        <v>11032</v>
      </c>
      <c r="R586" s="1" t="s">
        <v>11033</v>
      </c>
      <c r="S586" s="1">
        <v>8210560486</v>
      </c>
      <c r="T586" s="1" t="s">
        <v>496</v>
      </c>
      <c r="U586" s="1" t="s">
        <v>11034</v>
      </c>
      <c r="V586" s="1">
        <v>9934148311</v>
      </c>
      <c r="W586" s="1" t="s">
        <v>273</v>
      </c>
      <c r="X586" s="1" t="s">
        <v>11035</v>
      </c>
      <c r="Y586" s="1" t="s">
        <v>3773</v>
      </c>
      <c r="Z586" s="1" t="s">
        <v>3774</v>
      </c>
      <c r="AA586" s="1" t="s">
        <v>11035</v>
      </c>
      <c r="AB586" s="1" t="s">
        <v>3773</v>
      </c>
      <c r="AC586" s="1" t="s">
        <v>3774</v>
      </c>
      <c r="AD586" s="1">
        <v>7.96</v>
      </c>
      <c r="AE586" s="1" t="s">
        <v>93</v>
      </c>
      <c r="AF586" s="1" t="s">
        <v>11036</v>
      </c>
      <c r="AG586" s="1" t="s">
        <v>11037</v>
      </c>
      <c r="AH586" s="1" t="s">
        <v>1307</v>
      </c>
      <c r="AI586" s="1" t="s">
        <v>308</v>
      </c>
      <c r="AJ586" s="1">
        <v>85.83</v>
      </c>
      <c r="AK586" s="1">
        <v>9.03</v>
      </c>
      <c r="AL586" s="1" t="s">
        <v>11036</v>
      </c>
      <c r="AM586" s="1" t="s">
        <v>11037</v>
      </c>
      <c r="AN586" s="1" t="s">
        <v>412</v>
      </c>
      <c r="AO586" s="1" t="s">
        <v>506</v>
      </c>
      <c r="AP586" s="1">
        <v>81.33</v>
      </c>
      <c r="AQ586" s="1">
        <v>8.56</v>
      </c>
      <c r="AR586" s="1"/>
      <c r="AS586" s="1"/>
      <c r="AT586" s="1"/>
      <c r="AU586" s="1"/>
      <c r="AV586" s="1"/>
      <c r="AW586" s="1"/>
      <c r="AX586" s="1" t="s">
        <v>11038</v>
      </c>
      <c r="AY586" s="1" t="s">
        <v>11039</v>
      </c>
      <c r="AZ586" s="1" t="s">
        <v>1131</v>
      </c>
      <c r="BA586" s="1" t="s">
        <v>1714</v>
      </c>
      <c r="BB586" s="1">
        <v>75.24</v>
      </c>
      <c r="BC586" s="1">
        <v>7.92</v>
      </c>
      <c r="BD586" s="1"/>
      <c r="BE586" s="1"/>
      <c r="BF586" s="1"/>
      <c r="BG586" s="1"/>
      <c r="BH586" s="1"/>
      <c r="BI586" s="1"/>
      <c r="BJ586" s="1" t="s">
        <v>11040</v>
      </c>
      <c r="BK586" s="1"/>
      <c r="BL586" s="1"/>
      <c r="BM586" s="1" t="s">
        <v>11041</v>
      </c>
      <c r="BN586" s="1">
        <v>17</v>
      </c>
      <c r="BO586" s="1" t="s">
        <v>11042</v>
      </c>
      <c r="BP586" s="1" t="str">
        <f>HYPERLINK("https://nconnect.nicmar.ac.in/storage/profile/ProfilePhoto_P25700546_862451.jpg","Download")</f>
        <v>0</v>
      </c>
      <c r="BQ586" s="3"/>
      <c r="BR586" s="3"/>
    </row>
    <row r="587" spans="1:70">
      <c r="A587" s="1" t="s">
        <v>70</v>
      </c>
      <c r="B587" s="1" t="s">
        <v>1269</v>
      </c>
      <c r="C587" s="1" t="s">
        <v>11043</v>
      </c>
      <c r="D587" s="1" t="s">
        <v>11044</v>
      </c>
      <c r="E587" s="1"/>
      <c r="F587" s="1" t="s">
        <v>11045</v>
      </c>
      <c r="G587" s="1" t="s">
        <v>11046</v>
      </c>
      <c r="H587" s="1" t="s">
        <v>11047</v>
      </c>
      <c r="I587" s="1" t="s">
        <v>11048</v>
      </c>
      <c r="J587" s="1">
        <v>7076151515</v>
      </c>
      <c r="K587" s="1" t="s">
        <v>79</v>
      </c>
      <c r="L587" s="1" t="s">
        <v>11049</v>
      </c>
      <c r="M587" s="1" t="s">
        <v>81</v>
      </c>
      <c r="N587" s="1" t="s">
        <v>11050</v>
      </c>
      <c r="O587" s="1"/>
      <c r="P587" s="1" t="s">
        <v>1323</v>
      </c>
      <c r="Q587" s="1" t="s">
        <v>11051</v>
      </c>
      <c r="R587" s="1" t="s">
        <v>11052</v>
      </c>
      <c r="S587" s="1">
        <v>9292151515</v>
      </c>
      <c r="T587" s="1" t="s">
        <v>910</v>
      </c>
      <c r="U587" s="1" t="s">
        <v>11053</v>
      </c>
      <c r="V587" s="1">
        <v>9963045945</v>
      </c>
      <c r="W587" s="1" t="s">
        <v>651</v>
      </c>
      <c r="X587" s="1" t="s">
        <v>11054</v>
      </c>
      <c r="Y587" s="1" t="s">
        <v>1150</v>
      </c>
      <c r="Z587" s="1" t="s">
        <v>276</v>
      </c>
      <c r="AA587" s="1" t="s">
        <v>11054</v>
      </c>
      <c r="AB587" s="1" t="s">
        <v>1150</v>
      </c>
      <c r="AC587" s="1" t="s">
        <v>276</v>
      </c>
      <c r="AD587" s="1">
        <v>9.18</v>
      </c>
      <c r="AE587" s="1" t="s">
        <v>93</v>
      </c>
      <c r="AF587" s="1" t="s">
        <v>11055</v>
      </c>
      <c r="AG587" s="1" t="s">
        <v>11056</v>
      </c>
      <c r="AH587" s="1" t="s">
        <v>166</v>
      </c>
      <c r="AI587" s="1" t="s">
        <v>308</v>
      </c>
      <c r="AJ587" s="1">
        <v>86.8</v>
      </c>
      <c r="AK587" s="1"/>
      <c r="AL587" s="1" t="s">
        <v>11057</v>
      </c>
      <c r="AM587" s="1" t="s">
        <v>11058</v>
      </c>
      <c r="AN587" s="1" t="s">
        <v>433</v>
      </c>
      <c r="AO587" s="1" t="s">
        <v>506</v>
      </c>
      <c r="AP587" s="1">
        <v>91.1</v>
      </c>
      <c r="AQ587" s="1"/>
      <c r="AR587" s="1"/>
      <c r="AS587" s="1"/>
      <c r="AT587" s="1"/>
      <c r="AU587" s="1"/>
      <c r="AV587" s="1"/>
      <c r="AW587" s="1"/>
      <c r="AX587" s="1" t="s">
        <v>7648</v>
      </c>
      <c r="AY587" s="1" t="s">
        <v>11059</v>
      </c>
      <c r="AZ587" s="1" t="s">
        <v>1051</v>
      </c>
      <c r="BA587" s="1" t="s">
        <v>1714</v>
      </c>
      <c r="BB587" s="1">
        <v>85.5</v>
      </c>
      <c r="BC587" s="1">
        <v>8.55</v>
      </c>
      <c r="BD587" s="1"/>
      <c r="BE587" s="1"/>
      <c r="BF587" s="1"/>
      <c r="BG587" s="1"/>
      <c r="BH587" s="1"/>
      <c r="BI587" s="1"/>
      <c r="BJ587" s="1" t="s">
        <v>11060</v>
      </c>
      <c r="BK587" s="1"/>
      <c r="BL587" s="1"/>
      <c r="BM587" s="1" t="s">
        <v>11061</v>
      </c>
      <c r="BN587" s="1">
        <v>28</v>
      </c>
      <c r="BO587" s="1" t="s">
        <v>11062</v>
      </c>
      <c r="BP587" s="1" t="str">
        <f>HYPERLINK("https://nconnect.nicmar.ac.in/storage/profile/ProfilePhoto_P25700547_673924.jpg","Download")</f>
        <v>0</v>
      </c>
      <c r="BQ587" s="3"/>
      <c r="BR587" s="3"/>
    </row>
    <row r="588" spans="1:70">
      <c r="A588" s="1" t="s">
        <v>70</v>
      </c>
      <c r="B588" s="1" t="s">
        <v>1269</v>
      </c>
      <c r="C588" s="1" t="s">
        <v>11063</v>
      </c>
      <c r="D588" s="1" t="s">
        <v>11064</v>
      </c>
      <c r="E588" s="1" t="s">
        <v>2766</v>
      </c>
      <c r="F588" s="1" t="s">
        <v>11065</v>
      </c>
      <c r="G588" s="1" t="s">
        <v>11066</v>
      </c>
      <c r="H588" s="1" t="s">
        <v>11067</v>
      </c>
      <c r="I588" s="1" t="s">
        <v>11068</v>
      </c>
      <c r="J588" s="1">
        <v>9082488472</v>
      </c>
      <c r="K588" s="1" t="s">
        <v>79</v>
      </c>
      <c r="L588" s="1" t="s">
        <v>4980</v>
      </c>
      <c r="M588" s="1" t="s">
        <v>81</v>
      </c>
      <c r="N588" s="1" t="s">
        <v>1418</v>
      </c>
      <c r="O588" s="1"/>
      <c r="P588" s="1" t="s">
        <v>1323</v>
      </c>
      <c r="Q588" s="1" t="s">
        <v>11069</v>
      </c>
      <c r="R588" s="1" t="s">
        <v>2766</v>
      </c>
      <c r="S588" s="1">
        <v>9082692343</v>
      </c>
      <c r="T588" s="1" t="s">
        <v>120</v>
      </c>
      <c r="U588" s="1" t="s">
        <v>10095</v>
      </c>
      <c r="V588" s="1">
        <v>9757399588</v>
      </c>
      <c r="W588" s="1" t="s">
        <v>156</v>
      </c>
      <c r="X588" s="1" t="s">
        <v>11070</v>
      </c>
      <c r="Y588" s="1" t="s">
        <v>766</v>
      </c>
      <c r="Z588" s="1" t="s">
        <v>92</v>
      </c>
      <c r="AA588" s="1" t="s">
        <v>11070</v>
      </c>
      <c r="AB588" s="1" t="s">
        <v>766</v>
      </c>
      <c r="AC588" s="1" t="s">
        <v>92</v>
      </c>
      <c r="AD588" s="1">
        <v>8.19</v>
      </c>
      <c r="AE588" s="1" t="s">
        <v>93</v>
      </c>
      <c r="AF588" s="1" t="s">
        <v>11071</v>
      </c>
      <c r="AG588" s="1" t="s">
        <v>160</v>
      </c>
      <c r="AH588" s="1" t="s">
        <v>456</v>
      </c>
      <c r="AI588" s="1" t="s">
        <v>195</v>
      </c>
      <c r="AJ588" s="1">
        <v>81</v>
      </c>
      <c r="AK588" s="1"/>
      <c r="AL588" s="1" t="s">
        <v>11072</v>
      </c>
      <c r="AM588" s="1" t="s">
        <v>160</v>
      </c>
      <c r="AN588" s="1" t="s">
        <v>457</v>
      </c>
      <c r="AO588" s="1" t="s">
        <v>198</v>
      </c>
      <c r="AP588" s="1">
        <v>59.38</v>
      </c>
      <c r="AQ588" s="1"/>
      <c r="AR588" s="1" t="s">
        <v>11073</v>
      </c>
      <c r="AS588" s="1" t="s">
        <v>11074</v>
      </c>
      <c r="AT588" s="1" t="s">
        <v>681</v>
      </c>
      <c r="AU588" s="1" t="s">
        <v>436</v>
      </c>
      <c r="AV588" s="1">
        <v>88.53</v>
      </c>
      <c r="AW588" s="1"/>
      <c r="AX588" s="1" t="s">
        <v>253</v>
      </c>
      <c r="AY588" s="1" t="s">
        <v>11075</v>
      </c>
      <c r="AZ588" s="1" t="s">
        <v>413</v>
      </c>
      <c r="BA588" s="1" t="s">
        <v>413</v>
      </c>
      <c r="BB588" s="1">
        <v>66.28</v>
      </c>
      <c r="BC588" s="1">
        <v>7.3</v>
      </c>
      <c r="BD588" s="1"/>
      <c r="BE588" s="1"/>
      <c r="BF588" s="1"/>
      <c r="BG588" s="1"/>
      <c r="BH588" s="1"/>
      <c r="BI588" s="1"/>
      <c r="BJ588" s="1" t="s">
        <v>11076</v>
      </c>
      <c r="BK588" s="1"/>
      <c r="BL588" s="1"/>
      <c r="BM588" s="1" t="s">
        <v>11077</v>
      </c>
      <c r="BN588" s="1">
        <v>12</v>
      </c>
      <c r="BO588" s="1"/>
      <c r="BP588" s="1" t="str">
        <f>HYPERLINK("https://nconnect.nicmar.ac.in/storage/profile/ProfilePhoto_P25700548_318946.jpg","Download")</f>
        <v>0</v>
      </c>
      <c r="BQ588" s="3"/>
      <c r="BR588" s="3"/>
    </row>
    <row r="589" spans="1:70">
      <c r="A589" s="1" t="s">
        <v>70</v>
      </c>
      <c r="B589" s="1" t="s">
        <v>1269</v>
      </c>
      <c r="C589" s="1" t="s">
        <v>11078</v>
      </c>
      <c r="D589" s="1" t="s">
        <v>11079</v>
      </c>
      <c r="E589" s="1"/>
      <c r="F589" s="1" t="s">
        <v>10552</v>
      </c>
      <c r="G589" s="1" t="s">
        <v>11080</v>
      </c>
      <c r="H589" s="1" t="s">
        <v>11081</v>
      </c>
      <c r="I589" s="1" t="s">
        <v>11082</v>
      </c>
      <c r="J589" s="1">
        <v>9829976330</v>
      </c>
      <c r="K589" s="1" t="s">
        <v>79</v>
      </c>
      <c r="L589" s="1" t="s">
        <v>11083</v>
      </c>
      <c r="M589" s="1" t="s">
        <v>81</v>
      </c>
      <c r="N589" s="1" t="s">
        <v>538</v>
      </c>
      <c r="O589" s="1"/>
      <c r="P589" s="1" t="s">
        <v>1766</v>
      </c>
      <c r="Q589" s="1" t="s">
        <v>11084</v>
      </c>
      <c r="R589" s="1" t="s">
        <v>11085</v>
      </c>
      <c r="S589" s="1">
        <v>9462561600</v>
      </c>
      <c r="T589" s="1" t="s">
        <v>1351</v>
      </c>
      <c r="U589" s="1" t="s">
        <v>11086</v>
      </c>
      <c r="V589" s="1">
        <v>8210374937</v>
      </c>
      <c r="W589" s="1" t="s">
        <v>273</v>
      </c>
      <c r="X589" s="1" t="s">
        <v>11087</v>
      </c>
      <c r="Y589" s="1" t="s">
        <v>2096</v>
      </c>
      <c r="Z589" s="1" t="s">
        <v>1731</v>
      </c>
      <c r="AA589" s="1" t="s">
        <v>11088</v>
      </c>
      <c r="AB589" s="1" t="s">
        <v>3773</v>
      </c>
      <c r="AC589" s="1" t="s">
        <v>3774</v>
      </c>
      <c r="AD589" s="1">
        <v>8.83</v>
      </c>
      <c r="AE589" s="1" t="s">
        <v>93</v>
      </c>
      <c r="AF589" s="1" t="s">
        <v>11089</v>
      </c>
      <c r="AG589" s="1" t="s">
        <v>11090</v>
      </c>
      <c r="AH589" s="1" t="s">
        <v>503</v>
      </c>
      <c r="AI589" s="1" t="s">
        <v>527</v>
      </c>
      <c r="AJ589" s="1">
        <v>95</v>
      </c>
      <c r="AK589" s="1">
        <v>10</v>
      </c>
      <c r="AL589" s="1" t="s">
        <v>11091</v>
      </c>
      <c r="AM589" s="1" t="s">
        <v>11092</v>
      </c>
      <c r="AN589" s="1" t="s">
        <v>678</v>
      </c>
      <c r="AO589" s="1" t="s">
        <v>166</v>
      </c>
      <c r="AP589" s="1">
        <v>66</v>
      </c>
      <c r="AQ589" s="1"/>
      <c r="AR589" s="1"/>
      <c r="AS589" s="1"/>
      <c r="AT589" s="1"/>
      <c r="AU589" s="1"/>
      <c r="AV589" s="1"/>
      <c r="AW589" s="1"/>
      <c r="AX589" s="1" t="s">
        <v>7700</v>
      </c>
      <c r="AY589" s="1" t="s">
        <v>11093</v>
      </c>
      <c r="AZ589" s="1" t="s">
        <v>169</v>
      </c>
      <c r="BA589" s="1" t="s">
        <v>481</v>
      </c>
      <c r="BB589" s="1">
        <v>73</v>
      </c>
      <c r="BC589" s="1">
        <v>7.3</v>
      </c>
      <c r="BD589" s="1"/>
      <c r="BE589" s="1"/>
      <c r="BF589" s="1"/>
      <c r="BG589" s="1"/>
      <c r="BH589" s="1"/>
      <c r="BI589" s="1"/>
      <c r="BJ589" s="1" t="s">
        <v>8037</v>
      </c>
      <c r="BK589" s="1" t="s">
        <v>11094</v>
      </c>
      <c r="BL589" s="1" t="s">
        <v>287</v>
      </c>
      <c r="BM589" s="1" t="s">
        <v>11095</v>
      </c>
      <c r="BN589" s="1">
        <v>28</v>
      </c>
      <c r="BO589" s="1" t="s">
        <v>11096</v>
      </c>
      <c r="BP589" s="1" t="str">
        <f>HYPERLINK("https://nconnect.nicmar.ac.in/storage/profile/ProfilePhoto_P25700549_864517.jpg","Download")</f>
        <v>0</v>
      </c>
      <c r="BQ589" s="3"/>
      <c r="BR589" s="3"/>
    </row>
    <row r="590" spans="1:70">
      <c r="A590" s="1" t="s">
        <v>70</v>
      </c>
      <c r="B590" s="1" t="s">
        <v>1269</v>
      </c>
      <c r="C590" s="1" t="s">
        <v>11097</v>
      </c>
      <c r="D590" s="1" t="s">
        <v>1875</v>
      </c>
      <c r="E590" s="1" t="s">
        <v>11098</v>
      </c>
      <c r="F590" s="1" t="s">
        <v>11099</v>
      </c>
      <c r="G590" s="1" t="s">
        <v>11100</v>
      </c>
      <c r="H590" s="1" t="s">
        <v>11101</v>
      </c>
      <c r="I590" s="1" t="s">
        <v>11102</v>
      </c>
      <c r="J590" s="1">
        <v>7058471744</v>
      </c>
      <c r="K590" s="1" t="s">
        <v>79</v>
      </c>
      <c r="L590" s="1" t="s">
        <v>11103</v>
      </c>
      <c r="M590" s="1" t="s">
        <v>81</v>
      </c>
      <c r="N590" s="1" t="s">
        <v>11104</v>
      </c>
      <c r="O590" s="1"/>
      <c r="P590" s="1" t="s">
        <v>1323</v>
      </c>
      <c r="Q590" s="1" t="s">
        <v>11105</v>
      </c>
      <c r="R590" s="1" t="s">
        <v>11106</v>
      </c>
      <c r="S590" s="1">
        <v>9823062444</v>
      </c>
      <c r="T590" s="1" t="s">
        <v>496</v>
      </c>
      <c r="U590" s="1" t="s">
        <v>11107</v>
      </c>
      <c r="V590" s="1">
        <v>9834920243</v>
      </c>
      <c r="W590" s="1" t="s">
        <v>273</v>
      </c>
      <c r="X590" s="1" t="s">
        <v>11108</v>
      </c>
      <c r="Y590" s="1" t="s">
        <v>191</v>
      </c>
      <c r="Z590" s="1" t="s">
        <v>92</v>
      </c>
      <c r="AA590" s="1" t="s">
        <v>11109</v>
      </c>
      <c r="AB590" s="1" t="s">
        <v>219</v>
      </c>
      <c r="AC590" s="1" t="s">
        <v>92</v>
      </c>
      <c r="AD590" s="1">
        <v>8.01</v>
      </c>
      <c r="AE590" s="1" t="s">
        <v>93</v>
      </c>
      <c r="AF590" s="1" t="s">
        <v>11110</v>
      </c>
      <c r="AG590" s="1" t="s">
        <v>3161</v>
      </c>
      <c r="AH590" s="1" t="s">
        <v>101</v>
      </c>
      <c r="AI590" s="1" t="s">
        <v>433</v>
      </c>
      <c r="AJ590" s="1">
        <v>75.8</v>
      </c>
      <c r="AK590" s="1"/>
      <c r="AL590" s="1" t="s">
        <v>11111</v>
      </c>
      <c r="AM590" s="1" t="s">
        <v>11112</v>
      </c>
      <c r="AN590" s="1" t="s">
        <v>2463</v>
      </c>
      <c r="AO590" s="1" t="s">
        <v>436</v>
      </c>
      <c r="AP590" s="1">
        <v>83.4</v>
      </c>
      <c r="AQ590" s="1"/>
      <c r="AR590" s="1"/>
      <c r="AS590" s="1"/>
      <c r="AT590" s="1"/>
      <c r="AU590" s="1"/>
      <c r="AV590" s="1"/>
      <c r="AW590" s="1"/>
      <c r="AX590" s="1" t="s">
        <v>11113</v>
      </c>
      <c r="AY590" s="1" t="s">
        <v>11114</v>
      </c>
      <c r="AZ590" s="1" t="s">
        <v>897</v>
      </c>
      <c r="BA590" s="1" t="s">
        <v>1714</v>
      </c>
      <c r="BB590" s="1">
        <v>66.57</v>
      </c>
      <c r="BC590" s="1">
        <v>7.48</v>
      </c>
      <c r="BD590" s="1"/>
      <c r="BE590" s="1"/>
      <c r="BF590" s="1"/>
      <c r="BG590" s="1"/>
      <c r="BH590" s="1"/>
      <c r="BI590" s="1"/>
      <c r="BJ590" s="1" t="s">
        <v>11115</v>
      </c>
      <c r="BK590" s="1"/>
      <c r="BL590" s="1"/>
      <c r="BM590" s="1" t="s">
        <v>11116</v>
      </c>
      <c r="BN590" s="1">
        <v>12</v>
      </c>
      <c r="BO590" s="1" t="s">
        <v>11117</v>
      </c>
      <c r="BP590" s="1" t="str">
        <f>HYPERLINK("https://nconnect.nicmar.ac.in/storage/profile/ProfilePhoto_P25700550_952413.jpg","Download")</f>
        <v>0</v>
      </c>
      <c r="BQ590" s="3"/>
      <c r="BR590" s="3"/>
    </row>
    <row r="591" spans="1:70">
      <c r="A591" s="1" t="s">
        <v>70</v>
      </c>
      <c r="B591" s="1" t="s">
        <v>1269</v>
      </c>
      <c r="C591" s="1" t="s">
        <v>11118</v>
      </c>
      <c r="D591" s="1" t="s">
        <v>3187</v>
      </c>
      <c r="E591" s="1" t="s">
        <v>1566</v>
      </c>
      <c r="F591" s="1" t="s">
        <v>11119</v>
      </c>
      <c r="G591" s="1" t="s">
        <v>11120</v>
      </c>
      <c r="H591" s="1" t="s">
        <v>11121</v>
      </c>
      <c r="I591" s="1" t="s">
        <v>11122</v>
      </c>
      <c r="J591" s="1">
        <v>8999282756</v>
      </c>
      <c r="K591" s="1" t="s">
        <v>79</v>
      </c>
      <c r="L591" s="1" t="s">
        <v>3213</v>
      </c>
      <c r="M591" s="1" t="s">
        <v>81</v>
      </c>
      <c r="N591" s="1" t="s">
        <v>11123</v>
      </c>
      <c r="O591" s="1"/>
      <c r="P591" s="1" t="s">
        <v>1298</v>
      </c>
      <c r="Q591" s="1" t="s">
        <v>11124</v>
      </c>
      <c r="R591" s="1" t="s">
        <v>11125</v>
      </c>
      <c r="S591" s="1">
        <v>9607402310</v>
      </c>
      <c r="T591" s="1" t="s">
        <v>120</v>
      </c>
      <c r="U591" s="1" t="s">
        <v>11126</v>
      </c>
      <c r="V591" s="1">
        <v>9607402310</v>
      </c>
      <c r="W591" s="1" t="s">
        <v>10510</v>
      </c>
      <c r="X591" s="1" t="s">
        <v>11127</v>
      </c>
      <c r="Y591" s="1" t="s">
        <v>1887</v>
      </c>
      <c r="Z591" s="1" t="s">
        <v>92</v>
      </c>
      <c r="AA591" s="1" t="s">
        <v>11127</v>
      </c>
      <c r="AB591" s="1" t="s">
        <v>1887</v>
      </c>
      <c r="AC591" s="1" t="s">
        <v>92</v>
      </c>
      <c r="AD591" s="1">
        <v>8.42</v>
      </c>
      <c r="AE591" s="1" t="s">
        <v>93</v>
      </c>
      <c r="AF591" s="1" t="s">
        <v>11128</v>
      </c>
      <c r="AG591" s="1" t="s">
        <v>160</v>
      </c>
      <c r="AH591" s="1" t="s">
        <v>655</v>
      </c>
      <c r="AI591" s="1" t="s">
        <v>281</v>
      </c>
      <c r="AJ591" s="1">
        <v>82.4</v>
      </c>
      <c r="AK591" s="1">
        <v>8.67</v>
      </c>
      <c r="AL591" s="1" t="s">
        <v>11129</v>
      </c>
      <c r="AM591" s="1" t="s">
        <v>544</v>
      </c>
      <c r="AN591" s="1" t="s">
        <v>101</v>
      </c>
      <c r="AO591" s="1" t="s">
        <v>173</v>
      </c>
      <c r="AP591" s="1">
        <v>64.62</v>
      </c>
      <c r="AQ591" s="1">
        <v>6.8</v>
      </c>
      <c r="AR591" s="1"/>
      <c r="AS591" s="1"/>
      <c r="AT591" s="1"/>
      <c r="AU591" s="1"/>
      <c r="AV591" s="1"/>
      <c r="AW591" s="1"/>
      <c r="AX591" s="1" t="s">
        <v>102</v>
      </c>
      <c r="AY591" s="1" t="s">
        <v>11130</v>
      </c>
      <c r="AZ591" s="1" t="s">
        <v>699</v>
      </c>
      <c r="BA591" s="1" t="s">
        <v>1939</v>
      </c>
      <c r="BB591" s="1">
        <v>61.5</v>
      </c>
      <c r="BC591" s="1">
        <v>6.65</v>
      </c>
      <c r="BD591" s="1"/>
      <c r="BE591" s="1"/>
      <c r="BF591" s="1"/>
      <c r="BG591" s="1"/>
      <c r="BH591" s="1"/>
      <c r="BI591" s="1"/>
      <c r="BJ591" s="1" t="s">
        <v>11131</v>
      </c>
      <c r="BK591" s="1"/>
      <c r="BL591" s="1"/>
      <c r="BM591" s="1" t="s">
        <v>11132</v>
      </c>
      <c r="BN591" s="1">
        <v>61</v>
      </c>
      <c r="BO591" s="1"/>
      <c r="BP591" s="1" t="str">
        <f>HYPERLINK("https://nconnect.nicmar.ac.in/storage/profile/ProfilePhoto_P25700551_586341.jpg","Download")</f>
        <v>0</v>
      </c>
      <c r="BQ591" s="3"/>
      <c r="BR591" s="3"/>
    </row>
    <row r="592" spans="1:70">
      <c r="A592" s="1" t="s">
        <v>70</v>
      </c>
      <c r="B592" s="1" t="s">
        <v>1269</v>
      </c>
      <c r="C592" s="1" t="s">
        <v>11133</v>
      </c>
      <c r="D592" s="1" t="s">
        <v>11134</v>
      </c>
      <c r="E592" s="1" t="s">
        <v>11135</v>
      </c>
      <c r="F592" s="1" t="s">
        <v>11136</v>
      </c>
      <c r="G592" s="1" t="s">
        <v>11137</v>
      </c>
      <c r="H592" s="1" t="s">
        <v>11138</v>
      </c>
      <c r="I592" s="1" t="s">
        <v>11139</v>
      </c>
      <c r="J592" s="1">
        <v>9763220545</v>
      </c>
      <c r="K592" s="1" t="s">
        <v>79</v>
      </c>
      <c r="L592" s="1" t="s">
        <v>11140</v>
      </c>
      <c r="M592" s="1" t="s">
        <v>81</v>
      </c>
      <c r="N592" s="1" t="s">
        <v>2008</v>
      </c>
      <c r="O592" s="1"/>
      <c r="P592" s="1" t="s">
        <v>1766</v>
      </c>
      <c r="Q592" s="1" t="s">
        <v>11141</v>
      </c>
      <c r="R592" s="1" t="s">
        <v>11142</v>
      </c>
      <c r="S592" s="1">
        <v>7721992367</v>
      </c>
      <c r="T592" s="1" t="s">
        <v>2240</v>
      </c>
      <c r="U592" s="1" t="s">
        <v>11143</v>
      </c>
      <c r="V592" s="1">
        <v>7721992367</v>
      </c>
      <c r="W592" s="1" t="s">
        <v>156</v>
      </c>
      <c r="X592" s="1" t="s">
        <v>11144</v>
      </c>
      <c r="Y592" s="1" t="s">
        <v>304</v>
      </c>
      <c r="Z592" s="1" t="s">
        <v>92</v>
      </c>
      <c r="AA592" s="1" t="s">
        <v>11145</v>
      </c>
      <c r="AB592" s="1" t="s">
        <v>1424</v>
      </c>
      <c r="AC592" s="1" t="s">
        <v>92</v>
      </c>
      <c r="AD592" s="1">
        <v>8.02</v>
      </c>
      <c r="AE592" s="1" t="s">
        <v>93</v>
      </c>
      <c r="AF592" s="1" t="s">
        <v>11146</v>
      </c>
      <c r="AG592" s="1" t="s">
        <v>939</v>
      </c>
      <c r="AH592" s="1" t="s">
        <v>96</v>
      </c>
      <c r="AI592" s="1" t="s">
        <v>131</v>
      </c>
      <c r="AJ592" s="1">
        <v>87.4</v>
      </c>
      <c r="AK592" s="1">
        <v>9.2</v>
      </c>
      <c r="AL592" s="1" t="s">
        <v>11147</v>
      </c>
      <c r="AM592" s="1" t="s">
        <v>160</v>
      </c>
      <c r="AN592" s="1" t="s">
        <v>527</v>
      </c>
      <c r="AO592" s="1" t="s">
        <v>479</v>
      </c>
      <c r="AP592" s="1">
        <v>69.69</v>
      </c>
      <c r="AQ592" s="1"/>
      <c r="AR592" s="1"/>
      <c r="AS592" s="1"/>
      <c r="AT592" s="1"/>
      <c r="AU592" s="1"/>
      <c r="AV592" s="1"/>
      <c r="AW592" s="1"/>
      <c r="AX592" s="1" t="s">
        <v>11148</v>
      </c>
      <c r="AY592" s="1" t="s">
        <v>11149</v>
      </c>
      <c r="AZ592" s="1" t="s">
        <v>225</v>
      </c>
      <c r="BA592" s="1" t="s">
        <v>436</v>
      </c>
      <c r="BB592" s="1">
        <v>80.8</v>
      </c>
      <c r="BC592" s="1">
        <v>8.58</v>
      </c>
      <c r="BD592" s="1"/>
      <c r="BE592" s="1"/>
      <c r="BF592" s="1"/>
      <c r="BG592" s="1"/>
      <c r="BH592" s="1"/>
      <c r="BI592" s="1"/>
      <c r="BJ592" s="1" t="s">
        <v>11150</v>
      </c>
      <c r="BK592" s="1" t="s">
        <v>11151</v>
      </c>
      <c r="BL592" s="1" t="s">
        <v>138</v>
      </c>
      <c r="BM592" s="1" t="s">
        <v>11152</v>
      </c>
      <c r="BN592" s="1">
        <v>32</v>
      </c>
      <c r="BO592" s="1" t="s">
        <v>11153</v>
      </c>
      <c r="BP592" s="1" t="str">
        <f>HYPERLINK("https://nconnect.nicmar.ac.in/storage/profile/ProfilePhoto_P25700552_231985.jpg","Download")</f>
        <v>0</v>
      </c>
      <c r="BQ592" s="3"/>
      <c r="BR592" s="3"/>
    </row>
    <row r="593" spans="1:70">
      <c r="A593" s="1" t="s">
        <v>70</v>
      </c>
      <c r="B593" s="1" t="s">
        <v>1269</v>
      </c>
      <c r="C593" s="1" t="s">
        <v>11154</v>
      </c>
      <c r="D593" s="1" t="s">
        <v>11155</v>
      </c>
      <c r="E593" s="1" t="s">
        <v>6578</v>
      </c>
      <c r="F593" s="1" t="s">
        <v>11156</v>
      </c>
      <c r="G593" s="1" t="s">
        <v>11157</v>
      </c>
      <c r="H593" s="1" t="s">
        <v>11158</v>
      </c>
      <c r="I593" s="1" t="s">
        <v>11159</v>
      </c>
      <c r="J593" s="1">
        <v>7620091034</v>
      </c>
      <c r="K593" s="1" t="s">
        <v>79</v>
      </c>
      <c r="L593" s="1" t="s">
        <v>11160</v>
      </c>
      <c r="M593" s="1" t="s">
        <v>81</v>
      </c>
      <c r="N593" s="1" t="s">
        <v>1765</v>
      </c>
      <c r="O593" s="1"/>
      <c r="P593" s="1" t="s">
        <v>1278</v>
      </c>
      <c r="Q593" s="1" t="s">
        <v>11161</v>
      </c>
      <c r="R593" s="1" t="s">
        <v>11162</v>
      </c>
      <c r="S593" s="1">
        <v>9975724685</v>
      </c>
      <c r="T593" s="1" t="s">
        <v>496</v>
      </c>
      <c r="U593" s="1" t="s">
        <v>11163</v>
      </c>
      <c r="V593" s="1">
        <v>9975726186</v>
      </c>
      <c r="W593" s="1" t="s">
        <v>156</v>
      </c>
      <c r="X593" s="1" t="s">
        <v>11164</v>
      </c>
      <c r="Y593" s="1" t="s">
        <v>191</v>
      </c>
      <c r="Z593" s="1" t="s">
        <v>92</v>
      </c>
      <c r="AA593" s="1" t="s">
        <v>11165</v>
      </c>
      <c r="AB593" s="1" t="s">
        <v>219</v>
      </c>
      <c r="AC593" s="1" t="s">
        <v>92</v>
      </c>
      <c r="AD593" s="1">
        <v>8.37</v>
      </c>
      <c r="AE593" s="1" t="s">
        <v>93</v>
      </c>
      <c r="AF593" s="1" t="s">
        <v>11166</v>
      </c>
      <c r="AG593" s="1" t="s">
        <v>11167</v>
      </c>
      <c r="AH593" s="1" t="s">
        <v>101</v>
      </c>
      <c r="AI593" s="1" t="s">
        <v>308</v>
      </c>
      <c r="AJ593" s="1">
        <v>77</v>
      </c>
      <c r="AK593" s="1">
        <v>0</v>
      </c>
      <c r="AL593" s="1" t="s">
        <v>11168</v>
      </c>
      <c r="AM593" s="1" t="s">
        <v>11169</v>
      </c>
      <c r="AN593" s="1" t="s">
        <v>699</v>
      </c>
      <c r="AO593" s="1" t="s">
        <v>1131</v>
      </c>
      <c r="AP593" s="1">
        <v>93.5</v>
      </c>
      <c r="AQ593" s="1">
        <v>0</v>
      </c>
      <c r="AR593" s="1"/>
      <c r="AS593" s="1"/>
      <c r="AT593" s="1"/>
      <c r="AU593" s="1"/>
      <c r="AV593" s="1"/>
      <c r="AW593" s="1"/>
      <c r="AX593" s="1" t="s">
        <v>361</v>
      </c>
      <c r="AY593" s="1" t="s">
        <v>11170</v>
      </c>
      <c r="AZ593" s="1" t="s">
        <v>897</v>
      </c>
      <c r="BA593" s="1" t="s">
        <v>1714</v>
      </c>
      <c r="BB593" s="1">
        <v>67.19</v>
      </c>
      <c r="BC593" s="1">
        <v>7.55</v>
      </c>
      <c r="BD593" s="1"/>
      <c r="BE593" s="1"/>
      <c r="BF593" s="1"/>
      <c r="BG593" s="1"/>
      <c r="BH593" s="1"/>
      <c r="BI593" s="1"/>
      <c r="BJ593" s="1" t="s">
        <v>1715</v>
      </c>
      <c r="BK593" s="1"/>
      <c r="BL593" s="1"/>
      <c r="BM593" s="1" t="s">
        <v>11171</v>
      </c>
      <c r="BN593" s="1">
        <v>12</v>
      </c>
      <c r="BO593" s="1"/>
      <c r="BP593" s="1" t="str">
        <f>HYPERLINK("https://nconnect.nicmar.ac.in/storage/profile/ProfilePhoto_P25700553_372649.jpg","Download")</f>
        <v>0</v>
      </c>
      <c r="BQ593" s="3"/>
      <c r="BR593" s="3"/>
    </row>
    <row r="594" spans="1:70">
      <c r="A594" s="1" t="s">
        <v>70</v>
      </c>
      <c r="B594" s="1" t="s">
        <v>1269</v>
      </c>
      <c r="C594" s="1" t="s">
        <v>11172</v>
      </c>
      <c r="D594" s="1" t="s">
        <v>643</v>
      </c>
      <c r="E594" s="1" t="s">
        <v>2485</v>
      </c>
      <c r="F594" s="1" t="s">
        <v>2897</v>
      </c>
      <c r="G594" s="1" t="s">
        <v>11173</v>
      </c>
      <c r="H594" s="1" t="s">
        <v>11174</v>
      </c>
      <c r="I594" s="1" t="s">
        <v>11175</v>
      </c>
      <c r="J594" s="1">
        <v>7977236149</v>
      </c>
      <c r="K594" s="1" t="s">
        <v>79</v>
      </c>
      <c r="L594" s="1" t="s">
        <v>11176</v>
      </c>
      <c r="M594" s="1" t="s">
        <v>81</v>
      </c>
      <c r="N594" s="1" t="s">
        <v>11177</v>
      </c>
      <c r="O594" s="1"/>
      <c r="P594" s="1" t="s">
        <v>1323</v>
      </c>
      <c r="Q594" s="1" t="s">
        <v>11178</v>
      </c>
      <c r="R594" s="1" t="s">
        <v>2485</v>
      </c>
      <c r="S594" s="1">
        <v>9892317564</v>
      </c>
      <c r="T594" s="1" t="s">
        <v>87</v>
      </c>
      <c r="U594" s="1" t="s">
        <v>11179</v>
      </c>
      <c r="V594" s="1">
        <v>8286908857</v>
      </c>
      <c r="W594" s="1" t="s">
        <v>156</v>
      </c>
      <c r="X594" s="1" t="s">
        <v>11180</v>
      </c>
      <c r="Y594" s="1" t="s">
        <v>766</v>
      </c>
      <c r="Z594" s="1" t="s">
        <v>92</v>
      </c>
      <c r="AA594" s="1" t="s">
        <v>11180</v>
      </c>
      <c r="AB594" s="1" t="s">
        <v>766</v>
      </c>
      <c r="AC594" s="1" t="s">
        <v>92</v>
      </c>
      <c r="AD594" s="1" t="s">
        <v>93</v>
      </c>
      <c r="AE594" s="1" t="s">
        <v>93</v>
      </c>
      <c r="AF594" s="1" t="s">
        <v>11181</v>
      </c>
      <c r="AG594" s="1" t="s">
        <v>997</v>
      </c>
      <c r="AH594" s="1" t="s">
        <v>161</v>
      </c>
      <c r="AI594" s="1" t="s">
        <v>456</v>
      </c>
      <c r="AJ594" s="1">
        <v>68.6</v>
      </c>
      <c r="AK594" s="1"/>
      <c r="AL594" s="1" t="s">
        <v>11182</v>
      </c>
      <c r="AM594" s="1" t="s">
        <v>997</v>
      </c>
      <c r="AN594" s="1" t="s">
        <v>165</v>
      </c>
      <c r="AO594" s="1" t="s">
        <v>457</v>
      </c>
      <c r="AP594" s="1">
        <v>49.69</v>
      </c>
      <c r="AQ594" s="1"/>
      <c r="AR594" s="1" t="s">
        <v>98</v>
      </c>
      <c r="AS594" s="1" t="s">
        <v>11183</v>
      </c>
      <c r="AT594" s="1" t="s">
        <v>101</v>
      </c>
      <c r="AU594" s="1" t="s">
        <v>412</v>
      </c>
      <c r="AV594" s="1">
        <v>71.63</v>
      </c>
      <c r="AW594" s="1"/>
      <c r="AX594" s="1" t="s">
        <v>1024</v>
      </c>
      <c r="AY594" s="1" t="s">
        <v>11184</v>
      </c>
      <c r="AZ594" s="1" t="s">
        <v>363</v>
      </c>
      <c r="BA594" s="1" t="s">
        <v>413</v>
      </c>
      <c r="BB594" s="1">
        <v>64.62</v>
      </c>
      <c r="BC594" s="1">
        <v>7.21</v>
      </c>
      <c r="BD594" s="1"/>
      <c r="BE594" s="1"/>
      <c r="BF594" s="1"/>
      <c r="BG594" s="1"/>
      <c r="BH594" s="1"/>
      <c r="BI594" s="1"/>
      <c r="BJ594" s="1" t="s">
        <v>364</v>
      </c>
      <c r="BK594" s="1"/>
      <c r="BL594" s="1"/>
      <c r="BM594" s="1" t="s">
        <v>11185</v>
      </c>
      <c r="BN594" s="1">
        <v>28</v>
      </c>
      <c r="BO594" s="1"/>
      <c r="BP594" s="1" t="str">
        <f>HYPERLINK("https://nconnect.nicmar.ac.in/storage/profile/ProfilePhoto_P25700554_582394.jpg","Download")</f>
        <v>0</v>
      </c>
      <c r="BQ594" s="3"/>
      <c r="BR594" s="3"/>
    </row>
    <row r="595" spans="1:70">
      <c r="A595" s="1" t="s">
        <v>70</v>
      </c>
      <c r="B595" s="1" t="s">
        <v>1269</v>
      </c>
      <c r="C595" s="1" t="s">
        <v>11186</v>
      </c>
      <c r="D595" s="1" t="s">
        <v>11187</v>
      </c>
      <c r="E595" s="1" t="s">
        <v>5413</v>
      </c>
      <c r="F595" s="1" t="s">
        <v>11188</v>
      </c>
      <c r="G595" s="1" t="s">
        <v>11189</v>
      </c>
      <c r="H595" s="1" t="s">
        <v>11190</v>
      </c>
      <c r="I595" s="1" t="s">
        <v>11191</v>
      </c>
      <c r="J595" s="1">
        <v>7666925589</v>
      </c>
      <c r="K595" s="1" t="s">
        <v>79</v>
      </c>
      <c r="L595" s="1" t="s">
        <v>6149</v>
      </c>
      <c r="M595" s="1" t="s">
        <v>81</v>
      </c>
      <c r="N595" s="1" t="s">
        <v>469</v>
      </c>
      <c r="O595" s="1"/>
      <c r="P595" s="1" t="s">
        <v>1323</v>
      </c>
      <c r="Q595" s="1" t="s">
        <v>11192</v>
      </c>
      <c r="R595" s="1" t="s">
        <v>11193</v>
      </c>
      <c r="S595" s="1">
        <v>7972595528</v>
      </c>
      <c r="T595" s="1" t="s">
        <v>154</v>
      </c>
      <c r="U595" s="1" t="s">
        <v>11194</v>
      </c>
      <c r="V595" s="1">
        <v>9921316337</v>
      </c>
      <c r="W595" s="1" t="s">
        <v>156</v>
      </c>
      <c r="X595" s="1" t="s">
        <v>11195</v>
      </c>
      <c r="Y595" s="1" t="s">
        <v>191</v>
      </c>
      <c r="Z595" s="1" t="s">
        <v>92</v>
      </c>
      <c r="AA595" s="1" t="s">
        <v>11196</v>
      </c>
      <c r="AB595" s="1" t="s">
        <v>246</v>
      </c>
      <c r="AC595" s="1" t="s">
        <v>92</v>
      </c>
      <c r="AD595" s="1">
        <v>7.89</v>
      </c>
      <c r="AE595" s="1" t="s">
        <v>93</v>
      </c>
      <c r="AF595" s="1" t="s">
        <v>11197</v>
      </c>
      <c r="AG595" s="1" t="s">
        <v>455</v>
      </c>
      <c r="AH595" s="1" t="s">
        <v>165</v>
      </c>
      <c r="AI595" s="1" t="s">
        <v>195</v>
      </c>
      <c r="AJ595" s="1">
        <v>82.4</v>
      </c>
      <c r="AK595" s="1"/>
      <c r="AL595" s="1" t="s">
        <v>11198</v>
      </c>
      <c r="AM595" s="1" t="s">
        <v>455</v>
      </c>
      <c r="AN595" s="1" t="s">
        <v>101</v>
      </c>
      <c r="AO595" s="1" t="s">
        <v>433</v>
      </c>
      <c r="AP595" s="1">
        <v>71.85</v>
      </c>
      <c r="AQ595" s="1"/>
      <c r="AR595" s="1"/>
      <c r="AS595" s="1"/>
      <c r="AT595" s="1"/>
      <c r="AU595" s="1"/>
      <c r="AV595" s="1"/>
      <c r="AW595" s="1"/>
      <c r="AX595" s="1" t="s">
        <v>361</v>
      </c>
      <c r="AY595" s="1" t="s">
        <v>11199</v>
      </c>
      <c r="AZ595" s="1" t="s">
        <v>201</v>
      </c>
      <c r="BA595" s="1" t="s">
        <v>682</v>
      </c>
      <c r="BB595" s="1">
        <v>63.72</v>
      </c>
      <c r="BC595" s="1">
        <v>7.16</v>
      </c>
      <c r="BD595" s="1"/>
      <c r="BE595" s="1"/>
      <c r="BF595" s="1"/>
      <c r="BG595" s="1"/>
      <c r="BH595" s="1"/>
      <c r="BI595" s="1"/>
      <c r="BJ595" s="1" t="s">
        <v>11200</v>
      </c>
      <c r="BK595" s="1" t="s">
        <v>11201</v>
      </c>
      <c r="BL595" s="1" t="s">
        <v>2305</v>
      </c>
      <c r="BM595" s="1" t="s">
        <v>11202</v>
      </c>
      <c r="BN595" s="1">
        <v>8</v>
      </c>
      <c r="BO595" s="1"/>
      <c r="BP595" s="1" t="str">
        <f>HYPERLINK("https://nconnect.nicmar.ac.in/storage/profile/ProfilePhoto_P25700555_613982.jpg","Download")</f>
        <v>0</v>
      </c>
      <c r="BQ595" s="3"/>
      <c r="BR595" s="3"/>
    </row>
    <row r="596" spans="1:70">
      <c r="A596" s="1" t="s">
        <v>70</v>
      </c>
      <c r="B596" s="1" t="s">
        <v>1269</v>
      </c>
      <c r="C596" s="1" t="s">
        <v>11203</v>
      </c>
      <c r="D596" s="1" t="s">
        <v>10052</v>
      </c>
      <c r="E596" s="1" t="s">
        <v>11204</v>
      </c>
      <c r="F596" s="1" t="s">
        <v>2024</v>
      </c>
      <c r="G596" s="1" t="s">
        <v>11205</v>
      </c>
      <c r="H596" s="1" t="s">
        <v>11206</v>
      </c>
      <c r="I596" s="1" t="s">
        <v>11207</v>
      </c>
      <c r="J596" s="1">
        <v>9309916810</v>
      </c>
      <c r="K596" s="1" t="s">
        <v>79</v>
      </c>
      <c r="L596" s="1" t="s">
        <v>11208</v>
      </c>
      <c r="M596" s="1" t="s">
        <v>81</v>
      </c>
      <c r="N596" s="1" t="s">
        <v>1418</v>
      </c>
      <c r="O596" s="1"/>
      <c r="P596" s="1" t="s">
        <v>1766</v>
      </c>
      <c r="Q596" s="1" t="s">
        <v>11209</v>
      </c>
      <c r="R596" s="1" t="s">
        <v>11210</v>
      </c>
      <c r="S596" s="1">
        <v>7387816810</v>
      </c>
      <c r="T596" s="1" t="s">
        <v>120</v>
      </c>
      <c r="U596" s="1" t="s">
        <v>11211</v>
      </c>
      <c r="V596" s="1">
        <v>8446796810</v>
      </c>
      <c r="W596" s="1" t="s">
        <v>156</v>
      </c>
      <c r="X596" s="1" t="s">
        <v>11212</v>
      </c>
      <c r="Y596" s="1" t="s">
        <v>191</v>
      </c>
      <c r="Z596" s="1" t="s">
        <v>92</v>
      </c>
      <c r="AA596" s="1" t="s">
        <v>11213</v>
      </c>
      <c r="AB596" s="1" t="s">
        <v>304</v>
      </c>
      <c r="AC596" s="1" t="s">
        <v>92</v>
      </c>
      <c r="AD596" s="1">
        <v>8.06</v>
      </c>
      <c r="AE596" s="1" t="s">
        <v>93</v>
      </c>
      <c r="AF596" s="1" t="s">
        <v>11214</v>
      </c>
      <c r="AG596" s="1" t="s">
        <v>11215</v>
      </c>
      <c r="AH596" s="1" t="s">
        <v>279</v>
      </c>
      <c r="AI596" s="1" t="s">
        <v>165</v>
      </c>
      <c r="AJ596" s="1">
        <v>83.4</v>
      </c>
      <c r="AK596" s="1"/>
      <c r="AL596" s="1"/>
      <c r="AM596" s="1"/>
      <c r="AN596" s="1"/>
      <c r="AO596" s="1"/>
      <c r="AP596" s="1"/>
      <c r="AQ596" s="1"/>
      <c r="AR596" s="1" t="s">
        <v>98</v>
      </c>
      <c r="AS596" s="1" t="s">
        <v>11216</v>
      </c>
      <c r="AT596" s="1" t="s">
        <v>383</v>
      </c>
      <c r="AU596" s="1" t="s">
        <v>170</v>
      </c>
      <c r="AV596" s="1">
        <v>86.58</v>
      </c>
      <c r="AW596" s="1"/>
      <c r="AX596" s="1" t="s">
        <v>361</v>
      </c>
      <c r="AY596" s="1" t="s">
        <v>11217</v>
      </c>
      <c r="AZ596" s="1" t="s">
        <v>681</v>
      </c>
      <c r="BA596" s="1" t="s">
        <v>174</v>
      </c>
      <c r="BB596" s="1">
        <v>80.24</v>
      </c>
      <c r="BC596" s="1">
        <v>8.77</v>
      </c>
      <c r="BD596" s="1"/>
      <c r="BE596" s="1"/>
      <c r="BF596" s="1"/>
      <c r="BG596" s="1"/>
      <c r="BH596" s="1"/>
      <c r="BI596" s="1"/>
      <c r="BJ596" s="1" t="s">
        <v>11218</v>
      </c>
      <c r="BK596" s="1" t="s">
        <v>11219</v>
      </c>
      <c r="BL596" s="1" t="s">
        <v>3246</v>
      </c>
      <c r="BM596" s="1" t="s">
        <v>11220</v>
      </c>
      <c r="BN596" s="1">
        <v>15</v>
      </c>
      <c r="BO596" s="1" t="s">
        <v>11221</v>
      </c>
      <c r="BP596" s="1" t="str">
        <f>HYPERLINK("https://nconnect.nicmar.ac.in/storage/profile/ProfilePhoto_P25700557_162945.jpg","Download")</f>
        <v>0</v>
      </c>
      <c r="BQ596" s="3"/>
      <c r="BR596" s="3"/>
    </row>
    <row r="597" spans="1:70">
      <c r="A597" s="1" t="s">
        <v>70</v>
      </c>
      <c r="B597" s="1" t="s">
        <v>1269</v>
      </c>
      <c r="C597" s="1" t="s">
        <v>11222</v>
      </c>
      <c r="D597" s="1" t="s">
        <v>11223</v>
      </c>
      <c r="E597" s="1" t="s">
        <v>208</v>
      </c>
      <c r="F597" s="1" t="s">
        <v>10609</v>
      </c>
      <c r="G597" s="1" t="s">
        <v>11224</v>
      </c>
      <c r="H597" s="1" t="s">
        <v>11225</v>
      </c>
      <c r="I597" s="1" t="s">
        <v>11226</v>
      </c>
      <c r="J597" s="1">
        <v>9518386795</v>
      </c>
      <c r="K597" s="1" t="s">
        <v>79</v>
      </c>
      <c r="L597" s="1" t="s">
        <v>11227</v>
      </c>
      <c r="M597" s="1" t="s">
        <v>81</v>
      </c>
      <c r="N597" s="1" t="s">
        <v>11228</v>
      </c>
      <c r="O597" s="1"/>
      <c r="P597" s="1" t="s">
        <v>1298</v>
      </c>
      <c r="Q597" s="1" t="s">
        <v>11229</v>
      </c>
      <c r="R597" s="1" t="s">
        <v>11230</v>
      </c>
      <c r="S597" s="1">
        <v>9165506657</v>
      </c>
      <c r="T597" s="1" t="s">
        <v>11231</v>
      </c>
      <c r="U597" s="1" t="s">
        <v>11232</v>
      </c>
      <c r="V597" s="1">
        <v>8605888772</v>
      </c>
      <c r="W597" s="1" t="s">
        <v>156</v>
      </c>
      <c r="X597" s="1" t="s">
        <v>11233</v>
      </c>
      <c r="Y597" s="1" t="s">
        <v>191</v>
      </c>
      <c r="Z597" s="1" t="s">
        <v>92</v>
      </c>
      <c r="AA597" s="1" t="s">
        <v>11234</v>
      </c>
      <c r="AB597" s="1" t="s">
        <v>405</v>
      </c>
      <c r="AC597" s="1" t="s">
        <v>92</v>
      </c>
      <c r="AD597" s="1">
        <v>7.92</v>
      </c>
      <c r="AE597" s="1" t="s">
        <v>93</v>
      </c>
      <c r="AF597" s="1" t="s">
        <v>11235</v>
      </c>
      <c r="AG597" s="1" t="s">
        <v>11236</v>
      </c>
      <c r="AH597" s="1" t="s">
        <v>456</v>
      </c>
      <c r="AI597" s="1" t="s">
        <v>195</v>
      </c>
      <c r="AJ597" s="1">
        <v>78.2</v>
      </c>
      <c r="AK597" s="1"/>
      <c r="AL597" s="1" t="s">
        <v>11237</v>
      </c>
      <c r="AM597" s="1" t="s">
        <v>11236</v>
      </c>
      <c r="AN597" s="1" t="s">
        <v>457</v>
      </c>
      <c r="AO597" s="1" t="s">
        <v>198</v>
      </c>
      <c r="AP597" s="1">
        <v>64.62</v>
      </c>
      <c r="AQ597" s="1"/>
      <c r="AR597" s="1"/>
      <c r="AS597" s="1"/>
      <c r="AT597" s="1"/>
      <c r="AU597" s="1"/>
      <c r="AV597" s="1"/>
      <c r="AW597" s="1"/>
      <c r="AX597" s="1" t="s">
        <v>11238</v>
      </c>
      <c r="AY597" s="1" t="s">
        <v>11236</v>
      </c>
      <c r="AZ597" s="1" t="s">
        <v>201</v>
      </c>
      <c r="BA597" s="1" t="s">
        <v>1361</v>
      </c>
      <c r="BB597" s="1">
        <v>57.1</v>
      </c>
      <c r="BC597" s="1">
        <v>6.46</v>
      </c>
      <c r="BD597" s="1"/>
      <c r="BE597" s="1"/>
      <c r="BF597" s="1"/>
      <c r="BG597" s="1"/>
      <c r="BH597" s="1"/>
      <c r="BI597" s="1"/>
      <c r="BJ597" s="1" t="s">
        <v>11239</v>
      </c>
      <c r="BK597" s="1"/>
      <c r="BL597" s="1"/>
      <c r="BM597" s="1" t="s">
        <v>11240</v>
      </c>
      <c r="BN597" s="1">
        <v>34</v>
      </c>
      <c r="BO597" s="1" t="s">
        <v>11241</v>
      </c>
      <c r="BP597" s="1" t="str">
        <f>HYPERLINK("https://nconnect.nicmar.ac.in/storage/profile/ProfilePhoto_P25700558_745321.jpg","Download")</f>
        <v>0</v>
      </c>
      <c r="BQ597" s="3"/>
      <c r="BR597" s="3"/>
    </row>
    <row r="598" spans="1:70">
      <c r="A598" s="1" t="s">
        <v>70</v>
      </c>
      <c r="B598" s="1" t="s">
        <v>1269</v>
      </c>
      <c r="C598" s="1" t="s">
        <v>11242</v>
      </c>
      <c r="D598" s="1" t="s">
        <v>7571</v>
      </c>
      <c r="E598" s="1"/>
      <c r="F598" s="1" t="s">
        <v>11243</v>
      </c>
      <c r="G598" s="1" t="s">
        <v>11244</v>
      </c>
      <c r="H598" s="1" t="s">
        <v>11245</v>
      </c>
      <c r="I598" s="1" t="s">
        <v>11246</v>
      </c>
      <c r="J598" s="1">
        <v>9538385011</v>
      </c>
      <c r="K598" s="1" t="s">
        <v>79</v>
      </c>
      <c r="L598" s="1" t="s">
        <v>11247</v>
      </c>
      <c r="M598" s="1" t="s">
        <v>81</v>
      </c>
      <c r="N598" s="1" t="s">
        <v>11248</v>
      </c>
      <c r="O598" s="1"/>
      <c r="P598" s="1" t="s">
        <v>1323</v>
      </c>
      <c r="Q598" s="1" t="s">
        <v>11249</v>
      </c>
      <c r="R598" s="1" t="s">
        <v>11250</v>
      </c>
      <c r="S598" s="1">
        <v>9686204400</v>
      </c>
      <c r="T598" s="1" t="s">
        <v>496</v>
      </c>
      <c r="U598" s="1" t="s">
        <v>11251</v>
      </c>
      <c r="V598" s="1">
        <v>9036661276</v>
      </c>
      <c r="W598" s="1" t="s">
        <v>651</v>
      </c>
      <c r="X598" s="1" t="s">
        <v>11252</v>
      </c>
      <c r="Y598" s="1" t="s">
        <v>4771</v>
      </c>
      <c r="Z598" s="1" t="s">
        <v>1084</v>
      </c>
      <c r="AA598" s="1" t="s">
        <v>11252</v>
      </c>
      <c r="AB598" s="1" t="s">
        <v>4771</v>
      </c>
      <c r="AC598" s="1" t="s">
        <v>1084</v>
      </c>
      <c r="AD598" s="1">
        <v>9.08</v>
      </c>
      <c r="AE598" s="1" t="s">
        <v>93</v>
      </c>
      <c r="AF598" s="1" t="s">
        <v>11253</v>
      </c>
      <c r="AG598" s="1" t="s">
        <v>939</v>
      </c>
      <c r="AH598" s="1" t="s">
        <v>479</v>
      </c>
      <c r="AI598" s="1" t="s">
        <v>166</v>
      </c>
      <c r="AJ598" s="1">
        <v>86.8</v>
      </c>
      <c r="AK598" s="1"/>
      <c r="AL598" s="1" t="s">
        <v>11254</v>
      </c>
      <c r="AM598" s="1" t="s">
        <v>11255</v>
      </c>
      <c r="AN598" s="1" t="s">
        <v>101</v>
      </c>
      <c r="AO598" s="1" t="s">
        <v>173</v>
      </c>
      <c r="AP598" s="1">
        <v>91.66</v>
      </c>
      <c r="AQ598" s="1"/>
      <c r="AR598" s="1"/>
      <c r="AS598" s="1"/>
      <c r="AT598" s="1"/>
      <c r="AU598" s="1"/>
      <c r="AV598" s="1"/>
      <c r="AW598" s="1"/>
      <c r="AX598" s="1" t="s">
        <v>4969</v>
      </c>
      <c r="AY598" s="1" t="s">
        <v>1089</v>
      </c>
      <c r="AZ598" s="1" t="s">
        <v>228</v>
      </c>
      <c r="BA598" s="1" t="s">
        <v>6092</v>
      </c>
      <c r="BB598" s="1">
        <v>68</v>
      </c>
      <c r="BC598" s="1"/>
      <c r="BD598" s="1"/>
      <c r="BE598" s="1"/>
      <c r="BF598" s="1"/>
      <c r="BG598" s="1"/>
      <c r="BH598" s="1"/>
      <c r="BI598" s="1"/>
      <c r="BJ598" s="1" t="s">
        <v>11256</v>
      </c>
      <c r="BK598" s="1"/>
      <c r="BL598" s="1"/>
      <c r="BM598" s="1" t="s">
        <v>11257</v>
      </c>
      <c r="BN598" s="1">
        <v>33</v>
      </c>
      <c r="BO598" s="1"/>
      <c r="BP598" s="1" t="str">
        <f>HYPERLINK("https://nconnect.nicmar.ac.in/storage/profile/ProfilePhoto_P25700559_513428.jpg","Download")</f>
        <v>0</v>
      </c>
      <c r="BQ598" s="3"/>
      <c r="BR598" s="3"/>
    </row>
    <row r="599" spans="1:70">
      <c r="A599" s="1" t="s">
        <v>70</v>
      </c>
      <c r="B599" s="1" t="s">
        <v>1269</v>
      </c>
      <c r="C599" s="1" t="s">
        <v>11258</v>
      </c>
      <c r="D599" s="1" t="s">
        <v>2696</v>
      </c>
      <c r="E599" s="1" t="s">
        <v>1566</v>
      </c>
      <c r="F599" s="1" t="s">
        <v>11259</v>
      </c>
      <c r="G599" s="1" t="s">
        <v>11260</v>
      </c>
      <c r="H599" s="1" t="s">
        <v>11261</v>
      </c>
      <c r="I599" s="1" t="s">
        <v>11262</v>
      </c>
      <c r="J599" s="1">
        <v>8625091424</v>
      </c>
      <c r="K599" s="1" t="s">
        <v>79</v>
      </c>
      <c r="L599" s="1" t="s">
        <v>11263</v>
      </c>
      <c r="M599" s="1" t="s">
        <v>81</v>
      </c>
      <c r="N599" s="1" t="s">
        <v>1418</v>
      </c>
      <c r="O599" s="1"/>
      <c r="P599" s="1" t="s">
        <v>1298</v>
      </c>
      <c r="Q599" s="1" t="s">
        <v>11264</v>
      </c>
      <c r="R599" s="1" t="s">
        <v>1566</v>
      </c>
      <c r="S599" s="1">
        <v>9822671871</v>
      </c>
      <c r="T599" s="1" t="s">
        <v>7676</v>
      </c>
      <c r="U599" s="1" t="s">
        <v>7244</v>
      </c>
      <c r="V599" s="1">
        <v>9822981871</v>
      </c>
      <c r="W599" s="1" t="s">
        <v>156</v>
      </c>
      <c r="X599" s="1" t="s">
        <v>11265</v>
      </c>
      <c r="Y599" s="1" t="s">
        <v>191</v>
      </c>
      <c r="Z599" s="1" t="s">
        <v>92</v>
      </c>
      <c r="AA599" s="1" t="s">
        <v>11265</v>
      </c>
      <c r="AB599" s="1" t="s">
        <v>191</v>
      </c>
      <c r="AC599" s="1" t="s">
        <v>92</v>
      </c>
      <c r="AD599" s="1">
        <v>8.8</v>
      </c>
      <c r="AE599" s="1" t="s">
        <v>93</v>
      </c>
      <c r="AF599" s="1" t="s">
        <v>11266</v>
      </c>
      <c r="AG599" s="1" t="s">
        <v>307</v>
      </c>
      <c r="AH599" s="1" t="s">
        <v>678</v>
      </c>
      <c r="AI599" s="1" t="s">
        <v>166</v>
      </c>
      <c r="AJ599" s="1">
        <v>93</v>
      </c>
      <c r="AK599" s="1">
        <v>0</v>
      </c>
      <c r="AL599" s="1" t="s">
        <v>11267</v>
      </c>
      <c r="AM599" s="1" t="s">
        <v>307</v>
      </c>
      <c r="AN599" s="1" t="s">
        <v>1065</v>
      </c>
      <c r="AO599" s="1" t="s">
        <v>173</v>
      </c>
      <c r="AP599" s="1">
        <v>73.8</v>
      </c>
      <c r="AQ599" s="1">
        <v>0</v>
      </c>
      <c r="AR599" s="1"/>
      <c r="AS599" s="1"/>
      <c r="AT599" s="1"/>
      <c r="AU599" s="1"/>
      <c r="AV599" s="1"/>
      <c r="AW599" s="1"/>
      <c r="AX599" s="1" t="s">
        <v>361</v>
      </c>
      <c r="AY599" s="1" t="s">
        <v>11268</v>
      </c>
      <c r="AZ599" s="1" t="s">
        <v>363</v>
      </c>
      <c r="BA599" s="1" t="s">
        <v>413</v>
      </c>
      <c r="BB599" s="1">
        <v>82.75</v>
      </c>
      <c r="BC599" s="1">
        <v>8.71</v>
      </c>
      <c r="BD599" s="1"/>
      <c r="BE599" s="1"/>
      <c r="BF599" s="1"/>
      <c r="BG599" s="1"/>
      <c r="BH599" s="1"/>
      <c r="BI599" s="1"/>
      <c r="BJ599" s="1" t="s">
        <v>1383</v>
      </c>
      <c r="BK599" s="1"/>
      <c r="BL599" s="1"/>
      <c r="BM599" s="1" t="s">
        <v>11269</v>
      </c>
      <c r="BN599" s="1">
        <v>13</v>
      </c>
      <c r="BO599" s="1"/>
      <c r="BP599" s="1" t="str">
        <f>HYPERLINK("https://nconnect.nicmar.ac.in/storage/profile/ProfilePhoto_P25700560_126375.jpg","Download")</f>
        <v>0</v>
      </c>
      <c r="BQ599" s="3"/>
      <c r="BR599" s="3"/>
    </row>
    <row r="600" spans="1:70">
      <c r="A600" s="1" t="s">
        <v>70</v>
      </c>
      <c r="B600" s="1" t="s">
        <v>1269</v>
      </c>
      <c r="C600" s="1" t="s">
        <v>11270</v>
      </c>
      <c r="D600" s="1" t="s">
        <v>11271</v>
      </c>
      <c r="E600" s="1"/>
      <c r="F600" s="1" t="s">
        <v>11272</v>
      </c>
      <c r="G600" s="1" t="s">
        <v>11273</v>
      </c>
      <c r="H600" s="1" t="s">
        <v>11274</v>
      </c>
      <c r="I600" s="1" t="s">
        <v>11275</v>
      </c>
      <c r="J600" s="1">
        <v>7569798960</v>
      </c>
      <c r="K600" s="1" t="s">
        <v>79</v>
      </c>
      <c r="L600" s="1" t="s">
        <v>11276</v>
      </c>
      <c r="M600" s="1" t="s">
        <v>81</v>
      </c>
      <c r="N600" s="1" t="s">
        <v>11277</v>
      </c>
      <c r="O600" s="1"/>
      <c r="P600" s="1" t="s">
        <v>1278</v>
      </c>
      <c r="Q600" s="1" t="s">
        <v>11278</v>
      </c>
      <c r="R600" s="1" t="s">
        <v>11279</v>
      </c>
      <c r="S600" s="1">
        <v>9676103496</v>
      </c>
      <c r="T600" s="1" t="s">
        <v>1351</v>
      </c>
      <c r="U600" s="1" t="s">
        <v>11280</v>
      </c>
      <c r="V600" s="1">
        <v>9908511480</v>
      </c>
      <c r="W600" s="1" t="s">
        <v>651</v>
      </c>
      <c r="X600" s="1" t="s">
        <v>11281</v>
      </c>
      <c r="Y600" s="1" t="s">
        <v>608</v>
      </c>
      <c r="Z600" s="1" t="s">
        <v>609</v>
      </c>
      <c r="AA600" s="1" t="s">
        <v>11281</v>
      </c>
      <c r="AB600" s="1" t="s">
        <v>608</v>
      </c>
      <c r="AC600" s="1" t="s">
        <v>609</v>
      </c>
      <c r="AD600" s="1">
        <v>8.54</v>
      </c>
      <c r="AE600" s="1" t="s">
        <v>93</v>
      </c>
      <c r="AF600" s="1" t="s">
        <v>3467</v>
      </c>
      <c r="AG600" s="1" t="s">
        <v>11282</v>
      </c>
      <c r="AH600" s="1" t="s">
        <v>162</v>
      </c>
      <c r="AI600" s="1" t="s">
        <v>195</v>
      </c>
      <c r="AJ600" s="1">
        <v>90</v>
      </c>
      <c r="AK600" s="1">
        <v>9</v>
      </c>
      <c r="AL600" s="1" t="s">
        <v>11283</v>
      </c>
      <c r="AM600" s="1" t="s">
        <v>613</v>
      </c>
      <c r="AN600" s="1" t="s">
        <v>165</v>
      </c>
      <c r="AO600" s="1" t="s">
        <v>433</v>
      </c>
      <c r="AP600" s="1">
        <v>74.7</v>
      </c>
      <c r="AQ600" s="1"/>
      <c r="AR600" s="1"/>
      <c r="AS600" s="1"/>
      <c r="AT600" s="1"/>
      <c r="AU600" s="1"/>
      <c r="AV600" s="1"/>
      <c r="AW600" s="1"/>
      <c r="AX600" s="1" t="s">
        <v>11284</v>
      </c>
      <c r="AY600" s="1" t="s">
        <v>11284</v>
      </c>
      <c r="AZ600" s="1" t="s">
        <v>201</v>
      </c>
      <c r="BA600" s="1" t="s">
        <v>202</v>
      </c>
      <c r="BB600" s="1">
        <v>70.2</v>
      </c>
      <c r="BC600" s="1">
        <v>7.52</v>
      </c>
      <c r="BD600" s="1"/>
      <c r="BE600" s="1"/>
      <c r="BF600" s="1"/>
      <c r="BG600" s="1"/>
      <c r="BH600" s="1"/>
      <c r="BI600" s="1"/>
      <c r="BJ600" s="1" t="s">
        <v>11285</v>
      </c>
      <c r="BK600" s="1" t="s">
        <v>11286</v>
      </c>
      <c r="BL600" s="1" t="s">
        <v>1289</v>
      </c>
      <c r="BM600" s="1" t="s">
        <v>11287</v>
      </c>
      <c r="BN600" s="1">
        <v>28</v>
      </c>
      <c r="BO600" s="1" t="s">
        <v>11288</v>
      </c>
      <c r="BP600" s="1" t="str">
        <f>HYPERLINK("https://nconnect.nicmar.ac.in/storage/profile/ProfilePhoto_P25700561_948516.jpg","Download")</f>
        <v>0</v>
      </c>
      <c r="BQ600" s="3"/>
      <c r="BR600" s="3"/>
    </row>
    <row r="601" spans="1:70">
      <c r="A601" s="1" t="s">
        <v>70</v>
      </c>
      <c r="B601" s="1" t="s">
        <v>1269</v>
      </c>
      <c r="C601" s="1" t="s">
        <v>11289</v>
      </c>
      <c r="D601" s="1" t="s">
        <v>11290</v>
      </c>
      <c r="E601" s="1"/>
      <c r="F601" s="1" t="s">
        <v>11291</v>
      </c>
      <c r="G601" s="1" t="s">
        <v>11292</v>
      </c>
      <c r="H601" s="1" t="s">
        <v>11293</v>
      </c>
      <c r="I601" s="1" t="s">
        <v>11294</v>
      </c>
      <c r="J601" s="1">
        <v>7907237288</v>
      </c>
      <c r="K601" s="1" t="s">
        <v>79</v>
      </c>
      <c r="L601" s="1" t="s">
        <v>397</v>
      </c>
      <c r="M601" s="1" t="s">
        <v>81</v>
      </c>
      <c r="N601" s="1" t="s">
        <v>11295</v>
      </c>
      <c r="O601" s="1"/>
      <c r="P601" s="1" t="s">
        <v>1278</v>
      </c>
      <c r="Q601" s="1" t="s">
        <v>11296</v>
      </c>
      <c r="R601" s="1" t="s">
        <v>11297</v>
      </c>
      <c r="S601" s="1">
        <v>9447272477</v>
      </c>
      <c r="T601" s="1" t="s">
        <v>11298</v>
      </c>
      <c r="U601" s="1" t="s">
        <v>11299</v>
      </c>
      <c r="V601" s="1">
        <v>9074244457</v>
      </c>
      <c r="W601" s="1" t="s">
        <v>651</v>
      </c>
      <c r="X601" s="1" t="s">
        <v>11300</v>
      </c>
      <c r="Y601" s="1" t="s">
        <v>1260</v>
      </c>
      <c r="Z601" s="1" t="s">
        <v>125</v>
      </c>
      <c r="AA601" s="1" t="s">
        <v>11300</v>
      </c>
      <c r="AB601" s="1" t="s">
        <v>1260</v>
      </c>
      <c r="AC601" s="1" t="s">
        <v>125</v>
      </c>
      <c r="AD601" s="1">
        <v>8.57</v>
      </c>
      <c r="AE601" s="1" t="s">
        <v>93</v>
      </c>
      <c r="AF601" s="1" t="s">
        <v>11301</v>
      </c>
      <c r="AG601" s="1" t="s">
        <v>11302</v>
      </c>
      <c r="AH601" s="1" t="s">
        <v>101</v>
      </c>
      <c r="AI601" s="1" t="s">
        <v>308</v>
      </c>
      <c r="AJ601" s="1">
        <v>85.4</v>
      </c>
      <c r="AK601" s="1">
        <v>0</v>
      </c>
      <c r="AL601" s="1" t="s">
        <v>11303</v>
      </c>
      <c r="AM601" s="1" t="s">
        <v>11304</v>
      </c>
      <c r="AN601" s="1" t="s">
        <v>699</v>
      </c>
      <c r="AO601" s="1" t="s">
        <v>506</v>
      </c>
      <c r="AP601" s="1">
        <v>90.66</v>
      </c>
      <c r="AQ601" s="1">
        <v>0</v>
      </c>
      <c r="AR601" s="1"/>
      <c r="AS601" s="1"/>
      <c r="AT601" s="1"/>
      <c r="AU601" s="1"/>
      <c r="AV601" s="1"/>
      <c r="AW601" s="1"/>
      <c r="AX601" s="1" t="s">
        <v>132</v>
      </c>
      <c r="AY601" s="1" t="s">
        <v>11305</v>
      </c>
      <c r="AZ601" s="1" t="s">
        <v>135</v>
      </c>
      <c r="BA601" s="1" t="s">
        <v>1361</v>
      </c>
      <c r="BB601" s="1">
        <v>67.19</v>
      </c>
      <c r="BC601" s="1">
        <v>6.93</v>
      </c>
      <c r="BD601" s="1"/>
      <c r="BE601" s="1"/>
      <c r="BF601" s="1"/>
      <c r="BG601" s="1"/>
      <c r="BH601" s="1"/>
      <c r="BI601" s="1"/>
      <c r="BJ601" s="1" t="s">
        <v>11306</v>
      </c>
      <c r="BK601" s="1"/>
      <c r="BL601" s="1"/>
      <c r="BM601" s="1" t="s">
        <v>11307</v>
      </c>
      <c r="BN601" s="1">
        <v>1</v>
      </c>
      <c r="BO601" s="1"/>
      <c r="BP601" s="1" t="str">
        <f>HYPERLINK("https://nconnect.nicmar.ac.in/storage/profile/ProfilePhoto_P25700562_857264.jpg","Download")</f>
        <v>0</v>
      </c>
      <c r="BQ601" s="3"/>
      <c r="BR601" s="3"/>
    </row>
    <row r="602" spans="1:70">
      <c r="A602" s="1" t="s">
        <v>70</v>
      </c>
      <c r="B602" s="1" t="s">
        <v>1269</v>
      </c>
      <c r="C602" s="1" t="s">
        <v>11308</v>
      </c>
      <c r="D602" s="1" t="s">
        <v>11309</v>
      </c>
      <c r="E602" s="1"/>
      <c r="F602" s="1" t="s">
        <v>11310</v>
      </c>
      <c r="G602" s="1" t="s">
        <v>11311</v>
      </c>
      <c r="H602" s="1" t="s">
        <v>11312</v>
      </c>
      <c r="I602" s="1" t="s">
        <v>11313</v>
      </c>
      <c r="J602" s="1">
        <v>9207941390</v>
      </c>
      <c r="K602" s="1" t="s">
        <v>79</v>
      </c>
      <c r="L602" s="1" t="s">
        <v>11314</v>
      </c>
      <c r="M602" s="1" t="s">
        <v>81</v>
      </c>
      <c r="N602" s="1" t="s">
        <v>2455</v>
      </c>
      <c r="O602" s="1"/>
      <c r="P602" s="1" t="s">
        <v>1298</v>
      </c>
      <c r="Q602" s="1" t="s">
        <v>11315</v>
      </c>
      <c r="R602" s="1" t="s">
        <v>11316</v>
      </c>
      <c r="S602" s="1">
        <v>9633556651</v>
      </c>
      <c r="T602" s="1" t="s">
        <v>11317</v>
      </c>
      <c r="U602" s="1" t="s">
        <v>11318</v>
      </c>
      <c r="V602" s="1">
        <v>8113069053</v>
      </c>
      <c r="W602" s="1" t="s">
        <v>156</v>
      </c>
      <c r="X602" s="1" t="s">
        <v>11319</v>
      </c>
      <c r="Y602" s="1" t="s">
        <v>1491</v>
      </c>
      <c r="Z602" s="1" t="s">
        <v>125</v>
      </c>
      <c r="AA602" s="1" t="s">
        <v>11319</v>
      </c>
      <c r="AB602" s="1" t="s">
        <v>1491</v>
      </c>
      <c r="AC602" s="1" t="s">
        <v>125</v>
      </c>
      <c r="AD602" s="1">
        <v>8.64</v>
      </c>
      <c r="AE602" s="1" t="s">
        <v>93</v>
      </c>
      <c r="AF602" s="1" t="s">
        <v>7908</v>
      </c>
      <c r="AG602" s="1" t="s">
        <v>939</v>
      </c>
      <c r="AH602" s="1" t="s">
        <v>503</v>
      </c>
      <c r="AI602" s="1" t="s">
        <v>527</v>
      </c>
      <c r="AJ602" s="1">
        <v>91.2</v>
      </c>
      <c r="AK602" s="1">
        <v>9.6</v>
      </c>
      <c r="AL602" s="1" t="s">
        <v>7908</v>
      </c>
      <c r="AM602" s="1" t="s">
        <v>939</v>
      </c>
      <c r="AN602" s="1" t="s">
        <v>479</v>
      </c>
      <c r="AO602" s="1" t="s">
        <v>166</v>
      </c>
      <c r="AP602" s="1">
        <v>86.8</v>
      </c>
      <c r="AQ602" s="1"/>
      <c r="AR602" s="1"/>
      <c r="AS602" s="1"/>
      <c r="AT602" s="1"/>
      <c r="AU602" s="1"/>
      <c r="AV602" s="1"/>
      <c r="AW602" s="1"/>
      <c r="AX602" s="1" t="s">
        <v>132</v>
      </c>
      <c r="AY602" s="1" t="s">
        <v>11320</v>
      </c>
      <c r="AZ602" s="1" t="s">
        <v>169</v>
      </c>
      <c r="BA602" s="1" t="s">
        <v>105</v>
      </c>
      <c r="BB602" s="1">
        <v>70.15</v>
      </c>
      <c r="BC602" s="1">
        <v>7.39</v>
      </c>
      <c r="BD602" s="1"/>
      <c r="BE602" s="1"/>
      <c r="BF602" s="1"/>
      <c r="BG602" s="1"/>
      <c r="BH602" s="1"/>
      <c r="BI602" s="1"/>
      <c r="BJ602" s="1" t="s">
        <v>11321</v>
      </c>
      <c r="BK602" s="1" t="s">
        <v>11322</v>
      </c>
      <c r="BL602" s="1" t="s">
        <v>1629</v>
      </c>
      <c r="BM602" s="1" t="s">
        <v>11323</v>
      </c>
      <c r="BN602" s="1">
        <v>8</v>
      </c>
      <c r="BO602" s="1" t="s">
        <v>11324</v>
      </c>
      <c r="BP602" s="1" t="str">
        <f>HYPERLINK("https://nconnect.nicmar.ac.in/storage/profile/ProfilePhoto_P25700563_865279.jpg","Download")</f>
        <v>0</v>
      </c>
      <c r="BQ602" s="3"/>
      <c r="BR602" s="3"/>
    </row>
    <row r="603" spans="1:70">
      <c r="A603" s="1" t="s">
        <v>70</v>
      </c>
      <c r="B603" s="1" t="s">
        <v>1269</v>
      </c>
      <c r="C603" s="1" t="s">
        <v>11325</v>
      </c>
      <c r="D603" s="1" t="s">
        <v>2430</v>
      </c>
      <c r="E603" s="1" t="s">
        <v>345</v>
      </c>
      <c r="F603" s="1" t="s">
        <v>11326</v>
      </c>
      <c r="G603" s="1" t="s">
        <v>11327</v>
      </c>
      <c r="H603" s="1" t="s">
        <v>11328</v>
      </c>
      <c r="I603" s="1" t="s">
        <v>11329</v>
      </c>
      <c r="J603" s="1">
        <v>9848586176</v>
      </c>
      <c r="K603" s="1" t="s">
        <v>79</v>
      </c>
      <c r="L603" s="1" t="s">
        <v>11330</v>
      </c>
      <c r="M603" s="1" t="s">
        <v>81</v>
      </c>
      <c r="N603" s="1" t="s">
        <v>3842</v>
      </c>
      <c r="O603" s="1"/>
      <c r="P603" s="1" t="s">
        <v>1278</v>
      </c>
      <c r="Q603" s="1" t="s">
        <v>11331</v>
      </c>
      <c r="R603" s="1" t="s">
        <v>11332</v>
      </c>
      <c r="S603" s="1">
        <v>9492052475</v>
      </c>
      <c r="T603" s="1" t="s">
        <v>496</v>
      </c>
      <c r="U603" s="1" t="s">
        <v>11333</v>
      </c>
      <c r="V603" s="1">
        <v>6302610848</v>
      </c>
      <c r="W603" s="1" t="s">
        <v>156</v>
      </c>
      <c r="X603" s="1" t="s">
        <v>11334</v>
      </c>
      <c r="Y603" s="1" t="s">
        <v>11335</v>
      </c>
      <c r="Z603" s="1" t="s">
        <v>609</v>
      </c>
      <c r="AA603" s="1" t="s">
        <v>11334</v>
      </c>
      <c r="AB603" s="1" t="s">
        <v>11335</v>
      </c>
      <c r="AC603" s="1" t="s">
        <v>609</v>
      </c>
      <c r="AD603" s="1">
        <v>8.85</v>
      </c>
      <c r="AE603" s="1" t="s">
        <v>93</v>
      </c>
      <c r="AF603" s="1" t="s">
        <v>11336</v>
      </c>
      <c r="AG603" s="1" t="s">
        <v>1285</v>
      </c>
      <c r="AH603" s="1" t="s">
        <v>165</v>
      </c>
      <c r="AI603" s="1" t="s">
        <v>281</v>
      </c>
      <c r="AJ603" s="1">
        <v>92.15</v>
      </c>
      <c r="AK603" s="1">
        <v>9.7</v>
      </c>
      <c r="AL603" s="1"/>
      <c r="AM603" s="1"/>
      <c r="AN603" s="1"/>
      <c r="AO603" s="1"/>
      <c r="AP603" s="1"/>
      <c r="AQ603" s="1"/>
      <c r="AR603" s="1" t="s">
        <v>98</v>
      </c>
      <c r="AS603" s="1" t="s">
        <v>11337</v>
      </c>
      <c r="AT603" s="1" t="s">
        <v>101</v>
      </c>
      <c r="AU603" s="1" t="s">
        <v>504</v>
      </c>
      <c r="AV603" s="1">
        <v>90.2</v>
      </c>
      <c r="AW603" s="1">
        <v>9.52</v>
      </c>
      <c r="AX603" s="1" t="s">
        <v>614</v>
      </c>
      <c r="AY603" s="1" t="s">
        <v>11338</v>
      </c>
      <c r="AZ603" s="1" t="s">
        <v>1407</v>
      </c>
      <c r="BA603" s="1" t="s">
        <v>944</v>
      </c>
      <c r="BB603" s="1">
        <v>81.2</v>
      </c>
      <c r="BC603" s="1">
        <v>8.62</v>
      </c>
      <c r="BD603" s="1"/>
      <c r="BE603" s="1"/>
      <c r="BF603" s="1"/>
      <c r="BG603" s="1"/>
      <c r="BH603" s="1"/>
      <c r="BI603" s="1"/>
      <c r="BJ603" s="1" t="s">
        <v>11339</v>
      </c>
      <c r="BK603" s="1"/>
      <c r="BL603" s="1"/>
      <c r="BM603" s="1" t="s">
        <v>11340</v>
      </c>
      <c r="BN603" s="1">
        <v>41</v>
      </c>
      <c r="BO603" s="1" t="s">
        <v>11341</v>
      </c>
      <c r="BP603" s="1" t="str">
        <f>HYPERLINK("https://nconnect.nicmar.ac.in/storage/profile/ProfilePhoto_P25700564_238796.jpg","Download")</f>
        <v>0</v>
      </c>
      <c r="BQ603" s="3"/>
      <c r="BR603" s="3"/>
    </row>
    <row r="604" spans="1:70">
      <c r="A604" s="1" t="s">
        <v>70</v>
      </c>
      <c r="B604" s="1" t="s">
        <v>1269</v>
      </c>
      <c r="C604" s="1" t="s">
        <v>11342</v>
      </c>
      <c r="D604" s="1" t="s">
        <v>11343</v>
      </c>
      <c r="E604" s="1" t="s">
        <v>11344</v>
      </c>
      <c r="F604" s="1" t="s">
        <v>11345</v>
      </c>
      <c r="G604" s="1" t="s">
        <v>11346</v>
      </c>
      <c r="H604" s="1" t="s">
        <v>11347</v>
      </c>
      <c r="I604" s="1" t="s">
        <v>11348</v>
      </c>
      <c r="J604" s="1">
        <v>8390693396</v>
      </c>
      <c r="K604" s="1" t="s">
        <v>79</v>
      </c>
      <c r="L604" s="1" t="s">
        <v>11349</v>
      </c>
      <c r="M604" s="1" t="s">
        <v>81</v>
      </c>
      <c r="N604" s="1" t="s">
        <v>1418</v>
      </c>
      <c r="O604" s="1"/>
      <c r="P604" s="1" t="s">
        <v>1298</v>
      </c>
      <c r="Q604" s="1" t="s">
        <v>11350</v>
      </c>
      <c r="R604" s="1" t="s">
        <v>1546</v>
      </c>
      <c r="S604" s="1">
        <v>9637978741</v>
      </c>
      <c r="T604" s="1" t="s">
        <v>154</v>
      </c>
      <c r="U604" s="1" t="s">
        <v>3480</v>
      </c>
      <c r="V604" s="1">
        <v>9404051759</v>
      </c>
      <c r="W604" s="1" t="s">
        <v>2494</v>
      </c>
      <c r="X604" s="1" t="s">
        <v>11351</v>
      </c>
      <c r="Y604" s="1" t="s">
        <v>191</v>
      </c>
      <c r="Z604" s="1" t="s">
        <v>92</v>
      </c>
      <c r="AA604" s="1" t="s">
        <v>11352</v>
      </c>
      <c r="AB604" s="1" t="s">
        <v>379</v>
      </c>
      <c r="AC604" s="1" t="s">
        <v>92</v>
      </c>
      <c r="AD604" s="1">
        <v>7.53</v>
      </c>
      <c r="AE604" s="1" t="s">
        <v>93</v>
      </c>
      <c r="AF604" s="1" t="s">
        <v>11353</v>
      </c>
      <c r="AG604" s="1" t="s">
        <v>11354</v>
      </c>
      <c r="AH604" s="1" t="s">
        <v>101</v>
      </c>
      <c r="AI604" s="1" t="s">
        <v>409</v>
      </c>
      <c r="AJ604" s="1">
        <v>80.6</v>
      </c>
      <c r="AK604" s="1"/>
      <c r="AL604" s="1"/>
      <c r="AM604" s="1"/>
      <c r="AN604" s="1"/>
      <c r="AO604" s="1"/>
      <c r="AP604" s="1"/>
      <c r="AQ604" s="1"/>
      <c r="AR604" s="1" t="s">
        <v>8202</v>
      </c>
      <c r="AS604" s="1" t="s">
        <v>11355</v>
      </c>
      <c r="AT604" s="1" t="s">
        <v>310</v>
      </c>
      <c r="AU604" s="1" t="s">
        <v>105</v>
      </c>
      <c r="AV604" s="1">
        <v>77.16</v>
      </c>
      <c r="AW604" s="1"/>
      <c r="AX604" s="1" t="s">
        <v>5543</v>
      </c>
      <c r="AY604" s="1" t="s">
        <v>11356</v>
      </c>
      <c r="AZ604" s="1" t="s">
        <v>2693</v>
      </c>
      <c r="BA604" s="1" t="s">
        <v>1714</v>
      </c>
      <c r="BB604" s="1">
        <v>66</v>
      </c>
      <c r="BC604" s="1">
        <v>7.35</v>
      </c>
      <c r="BD604" s="1"/>
      <c r="BE604" s="1"/>
      <c r="BF604" s="1"/>
      <c r="BG604" s="1"/>
      <c r="BH604" s="1"/>
      <c r="BI604" s="1"/>
      <c r="BJ604" s="1" t="s">
        <v>11357</v>
      </c>
      <c r="BK604" s="1"/>
      <c r="BL604" s="1"/>
      <c r="BM604" s="1" t="s">
        <v>11358</v>
      </c>
      <c r="BN604" s="1">
        <v>28</v>
      </c>
      <c r="BO604" s="1"/>
      <c r="BP604" s="1" t="str">
        <f>HYPERLINK("https://nconnect.nicmar.ac.in/storage/profile/ProfilePhoto_P25700565_458762.jpg","Download")</f>
        <v>0</v>
      </c>
      <c r="BQ604" s="3"/>
      <c r="BR604" s="3"/>
    </row>
    <row r="605" spans="1:70">
      <c r="A605" s="1" t="s">
        <v>70</v>
      </c>
      <c r="B605" s="1" t="s">
        <v>1269</v>
      </c>
      <c r="C605" s="1" t="s">
        <v>11359</v>
      </c>
      <c r="D605" s="1" t="s">
        <v>1271</v>
      </c>
      <c r="E605" s="1"/>
      <c r="F605" s="1" t="s">
        <v>2191</v>
      </c>
      <c r="G605" s="1" t="s">
        <v>11360</v>
      </c>
      <c r="H605" s="1" t="s">
        <v>11361</v>
      </c>
      <c r="I605" s="1" t="s">
        <v>11362</v>
      </c>
      <c r="J605" s="1">
        <v>9495192895</v>
      </c>
      <c r="K605" s="1" t="s">
        <v>79</v>
      </c>
      <c r="L605" s="1" t="s">
        <v>11363</v>
      </c>
      <c r="M605" s="1" t="s">
        <v>81</v>
      </c>
      <c r="N605" s="1" t="s">
        <v>11364</v>
      </c>
      <c r="O605" s="1"/>
      <c r="P605" s="1" t="s">
        <v>1298</v>
      </c>
      <c r="Q605" s="1" t="s">
        <v>11365</v>
      </c>
      <c r="R605" s="1" t="s">
        <v>11366</v>
      </c>
      <c r="S605" s="1">
        <v>9745444533</v>
      </c>
      <c r="T605" s="1" t="s">
        <v>11367</v>
      </c>
      <c r="U605" s="1" t="s">
        <v>11368</v>
      </c>
      <c r="V605" s="1">
        <v>9400490160</v>
      </c>
      <c r="W605" s="1" t="s">
        <v>122</v>
      </c>
      <c r="X605" s="1" t="s">
        <v>11369</v>
      </c>
      <c r="Y605" s="1" t="s">
        <v>3998</v>
      </c>
      <c r="Z605" s="1" t="s">
        <v>125</v>
      </c>
      <c r="AA605" s="1" t="s">
        <v>11369</v>
      </c>
      <c r="AB605" s="1" t="s">
        <v>3998</v>
      </c>
      <c r="AC605" s="1" t="s">
        <v>125</v>
      </c>
      <c r="AD605" s="1">
        <v>9.21</v>
      </c>
      <c r="AE605" s="1" t="s">
        <v>93</v>
      </c>
      <c r="AF605" s="1" t="s">
        <v>11370</v>
      </c>
      <c r="AG605" s="1" t="s">
        <v>11371</v>
      </c>
      <c r="AH605" s="1" t="s">
        <v>1197</v>
      </c>
      <c r="AI605" s="1" t="s">
        <v>131</v>
      </c>
      <c r="AJ605" s="1">
        <v>95</v>
      </c>
      <c r="AK605" s="1">
        <v>10</v>
      </c>
      <c r="AL605" s="1" t="s">
        <v>11370</v>
      </c>
      <c r="AM605" s="1" t="s">
        <v>11371</v>
      </c>
      <c r="AN605" s="1" t="s">
        <v>131</v>
      </c>
      <c r="AO605" s="1" t="s">
        <v>479</v>
      </c>
      <c r="AP605" s="1">
        <v>86.4</v>
      </c>
      <c r="AQ605" s="1"/>
      <c r="AR605" s="1"/>
      <c r="AS605" s="1"/>
      <c r="AT605" s="1"/>
      <c r="AU605" s="1"/>
      <c r="AV605" s="1"/>
      <c r="AW605" s="1"/>
      <c r="AX605" s="1" t="s">
        <v>11372</v>
      </c>
      <c r="AY605" s="1" t="s">
        <v>11373</v>
      </c>
      <c r="AZ605" s="1" t="s">
        <v>225</v>
      </c>
      <c r="BA605" s="1" t="s">
        <v>1051</v>
      </c>
      <c r="BB605" s="1">
        <v>80.55</v>
      </c>
      <c r="BC605" s="1">
        <v>8.43</v>
      </c>
      <c r="BD605" s="1"/>
      <c r="BE605" s="1"/>
      <c r="BF605" s="1"/>
      <c r="BG605" s="1"/>
      <c r="BH605" s="1"/>
      <c r="BI605" s="1"/>
      <c r="BJ605" s="1" t="s">
        <v>1673</v>
      </c>
      <c r="BK605" s="1" t="s">
        <v>11374</v>
      </c>
      <c r="BL605" s="1" t="s">
        <v>4933</v>
      </c>
      <c r="BM605" s="1" t="s">
        <v>11375</v>
      </c>
      <c r="BN605" s="1">
        <v>10</v>
      </c>
      <c r="BO605" s="1" t="s">
        <v>11376</v>
      </c>
      <c r="BP605" s="1" t="str">
        <f>HYPERLINK("https://nconnect.nicmar.ac.in/storage/profile/ProfilePhoto_P25700566_326841.jpg","Download")</f>
        <v>0</v>
      </c>
      <c r="BQ605" s="3"/>
      <c r="BR605" s="3"/>
    </row>
    <row r="606" spans="1:70">
      <c r="A606" s="1" t="s">
        <v>70</v>
      </c>
      <c r="B606" s="1" t="s">
        <v>1269</v>
      </c>
      <c r="C606" s="1" t="s">
        <v>11377</v>
      </c>
      <c r="D606" s="1" t="s">
        <v>11378</v>
      </c>
      <c r="E606" s="1" t="s">
        <v>3057</v>
      </c>
      <c r="F606" s="1" t="s">
        <v>2024</v>
      </c>
      <c r="G606" s="1" t="s">
        <v>11379</v>
      </c>
      <c r="H606" s="1" t="s">
        <v>11380</v>
      </c>
      <c r="I606" s="1" t="s">
        <v>11381</v>
      </c>
      <c r="J606" s="1">
        <v>8879859575</v>
      </c>
      <c r="K606" s="1" t="s">
        <v>79</v>
      </c>
      <c r="L606" s="1" t="s">
        <v>11382</v>
      </c>
      <c r="M606" s="1" t="s">
        <v>81</v>
      </c>
      <c r="N606" s="1" t="s">
        <v>2008</v>
      </c>
      <c r="O606" s="1"/>
      <c r="P606" s="1" t="s">
        <v>1298</v>
      </c>
      <c r="Q606" s="1" t="s">
        <v>11383</v>
      </c>
      <c r="R606" s="1" t="s">
        <v>11384</v>
      </c>
      <c r="S606" s="1">
        <v>9930919401</v>
      </c>
      <c r="T606" s="1" t="s">
        <v>11385</v>
      </c>
      <c r="U606" s="1" t="s">
        <v>11386</v>
      </c>
      <c r="V606" s="1">
        <v>9930919401</v>
      </c>
      <c r="W606" s="1" t="s">
        <v>156</v>
      </c>
      <c r="X606" s="1" t="s">
        <v>11387</v>
      </c>
      <c r="Y606" s="1" t="s">
        <v>995</v>
      </c>
      <c r="Z606" s="1" t="s">
        <v>92</v>
      </c>
      <c r="AA606" s="1" t="s">
        <v>11387</v>
      </c>
      <c r="AB606" s="1" t="s">
        <v>995</v>
      </c>
      <c r="AC606" s="1" t="s">
        <v>92</v>
      </c>
      <c r="AD606" s="1">
        <v>8.72</v>
      </c>
      <c r="AE606" s="1" t="s">
        <v>93</v>
      </c>
      <c r="AF606" s="1" t="s">
        <v>11388</v>
      </c>
      <c r="AG606" s="1" t="s">
        <v>11389</v>
      </c>
      <c r="AH606" s="1" t="s">
        <v>279</v>
      </c>
      <c r="AI606" s="1" t="s">
        <v>165</v>
      </c>
      <c r="AJ606" s="1">
        <v>70.3</v>
      </c>
      <c r="AK606" s="1">
        <v>7.4</v>
      </c>
      <c r="AL606" s="1"/>
      <c r="AM606" s="1"/>
      <c r="AN606" s="1"/>
      <c r="AO606" s="1"/>
      <c r="AP606" s="1"/>
      <c r="AQ606" s="1"/>
      <c r="AR606" s="1" t="s">
        <v>11390</v>
      </c>
      <c r="AS606" s="1" t="s">
        <v>11391</v>
      </c>
      <c r="AT606" s="1" t="s">
        <v>225</v>
      </c>
      <c r="AU606" s="1" t="s">
        <v>170</v>
      </c>
      <c r="AV606" s="1">
        <v>77.53</v>
      </c>
      <c r="AW606" s="1">
        <v>0</v>
      </c>
      <c r="AX606" s="1" t="s">
        <v>1024</v>
      </c>
      <c r="AY606" s="1" t="s">
        <v>11392</v>
      </c>
      <c r="AZ606" s="1" t="s">
        <v>2016</v>
      </c>
      <c r="BA606" s="1" t="s">
        <v>229</v>
      </c>
      <c r="BB606" s="1">
        <v>69.99</v>
      </c>
      <c r="BC606" s="1">
        <v>7.73</v>
      </c>
      <c r="BD606" s="1"/>
      <c r="BE606" s="1"/>
      <c r="BF606" s="1"/>
      <c r="BG606" s="1"/>
      <c r="BH606" s="1"/>
      <c r="BI606" s="1"/>
      <c r="BJ606" s="1" t="s">
        <v>364</v>
      </c>
      <c r="BK606" s="1" t="s">
        <v>11393</v>
      </c>
      <c r="BL606" s="1" t="s">
        <v>3246</v>
      </c>
      <c r="BM606" s="1" t="s">
        <v>11394</v>
      </c>
      <c r="BN606" s="1">
        <v>14</v>
      </c>
      <c r="BO606" s="1"/>
      <c r="BP606" s="1" t="str">
        <f>HYPERLINK("https://nconnect.nicmar.ac.in/storage/profile/ProfilePhoto_P25700567_194573.jpg","Download")</f>
        <v>0</v>
      </c>
      <c r="BQ606" s="3"/>
      <c r="BR606" s="3"/>
    </row>
    <row r="607" spans="1:70">
      <c r="A607" s="1" t="s">
        <v>70</v>
      </c>
      <c r="B607" s="1" t="s">
        <v>1269</v>
      </c>
      <c r="C607" s="1" t="s">
        <v>11395</v>
      </c>
      <c r="D607" s="1" t="s">
        <v>970</v>
      </c>
      <c r="E607" s="1" t="s">
        <v>344</v>
      </c>
      <c r="F607" s="1" t="s">
        <v>11396</v>
      </c>
      <c r="G607" s="1" t="s">
        <v>11397</v>
      </c>
      <c r="H607" s="1" t="s">
        <v>11398</v>
      </c>
      <c r="I607" s="1" t="s">
        <v>11399</v>
      </c>
      <c r="J607" s="1">
        <v>9146582585</v>
      </c>
      <c r="K607" s="1" t="s">
        <v>148</v>
      </c>
      <c r="L607" s="1" t="s">
        <v>11400</v>
      </c>
      <c r="M607" s="1" t="s">
        <v>81</v>
      </c>
      <c r="N607" s="1" t="s">
        <v>6219</v>
      </c>
      <c r="O607" s="1"/>
      <c r="P607" s="1" t="s">
        <v>1298</v>
      </c>
      <c r="Q607" s="1" t="s">
        <v>11401</v>
      </c>
      <c r="R607" s="1" t="s">
        <v>11402</v>
      </c>
      <c r="S607" s="1">
        <v>9823540890</v>
      </c>
      <c r="T607" s="1" t="s">
        <v>122</v>
      </c>
      <c r="U607" s="1" t="s">
        <v>11403</v>
      </c>
      <c r="V607" s="1">
        <v>8275006396</v>
      </c>
      <c r="W607" s="1" t="s">
        <v>156</v>
      </c>
      <c r="X607" s="1" t="s">
        <v>11404</v>
      </c>
      <c r="Y607" s="1" t="s">
        <v>1991</v>
      </c>
      <c r="Z607" s="1" t="s">
        <v>92</v>
      </c>
      <c r="AA607" s="1" t="s">
        <v>11404</v>
      </c>
      <c r="AB607" s="1" t="s">
        <v>1991</v>
      </c>
      <c r="AC607" s="1" t="s">
        <v>92</v>
      </c>
      <c r="AD607" s="1">
        <v>7.02</v>
      </c>
      <c r="AE607" s="1" t="s">
        <v>93</v>
      </c>
      <c r="AF607" s="1" t="s">
        <v>11405</v>
      </c>
      <c r="AG607" s="1" t="s">
        <v>160</v>
      </c>
      <c r="AH607" s="1" t="s">
        <v>1240</v>
      </c>
      <c r="AI607" s="1" t="s">
        <v>456</v>
      </c>
      <c r="AJ607" s="1">
        <v>92.2</v>
      </c>
      <c r="AK607" s="1"/>
      <c r="AL607" s="1" t="s">
        <v>1994</v>
      </c>
      <c r="AM607" s="1" t="s">
        <v>160</v>
      </c>
      <c r="AN607" s="1" t="s">
        <v>162</v>
      </c>
      <c r="AO607" s="1" t="s">
        <v>457</v>
      </c>
      <c r="AP607" s="1">
        <v>63.38</v>
      </c>
      <c r="AQ607" s="1"/>
      <c r="AR607" s="1"/>
      <c r="AS607" s="1"/>
      <c r="AT607" s="1"/>
      <c r="AU607" s="1"/>
      <c r="AV607" s="1"/>
      <c r="AW607" s="1"/>
      <c r="AX607" s="1" t="s">
        <v>11406</v>
      </c>
      <c r="AY607" s="1" t="s">
        <v>11407</v>
      </c>
      <c r="AZ607" s="1" t="s">
        <v>636</v>
      </c>
      <c r="BA607" s="1" t="s">
        <v>174</v>
      </c>
      <c r="BB607" s="1">
        <v>62.5</v>
      </c>
      <c r="BC607" s="1">
        <v>7</v>
      </c>
      <c r="BD607" s="1"/>
      <c r="BE607" s="1"/>
      <c r="BF607" s="1"/>
      <c r="BG607" s="1"/>
      <c r="BH607" s="1"/>
      <c r="BI607" s="1"/>
      <c r="BJ607" s="1" t="s">
        <v>11408</v>
      </c>
      <c r="BK607" s="1" t="s">
        <v>11409</v>
      </c>
      <c r="BL607" s="1" t="s">
        <v>1920</v>
      </c>
      <c r="BM607" s="1" t="s">
        <v>11410</v>
      </c>
      <c r="BN607" s="1">
        <v>8</v>
      </c>
      <c r="BO607" s="1" t="s">
        <v>11411</v>
      </c>
      <c r="BP607" s="1" t="str">
        <f>HYPERLINK("https://nconnect.nicmar.ac.in/storage/profile/ProfilePhoto_P25700568_126738.jpg","Download")</f>
        <v>0</v>
      </c>
      <c r="BQ607" s="3"/>
      <c r="BR607" s="3"/>
    </row>
    <row r="608" spans="1:70">
      <c r="A608" s="1" t="s">
        <v>70</v>
      </c>
      <c r="B608" s="1" t="s">
        <v>1269</v>
      </c>
      <c r="C608" s="1" t="s">
        <v>11412</v>
      </c>
      <c r="D608" s="1" t="s">
        <v>11413</v>
      </c>
      <c r="E608" s="1"/>
      <c r="F608" s="1" t="s">
        <v>835</v>
      </c>
      <c r="G608" s="1" t="s">
        <v>11414</v>
      </c>
      <c r="H608" s="1" t="s">
        <v>11415</v>
      </c>
      <c r="I608" s="1" t="s">
        <v>11416</v>
      </c>
      <c r="J608" s="1">
        <v>7003225673</v>
      </c>
      <c r="K608" s="1" t="s">
        <v>79</v>
      </c>
      <c r="L608" s="1" t="s">
        <v>11417</v>
      </c>
      <c r="M608" s="1" t="s">
        <v>81</v>
      </c>
      <c r="N608" s="1" t="s">
        <v>11418</v>
      </c>
      <c r="O608" s="1"/>
      <c r="P608" s="1" t="s">
        <v>1323</v>
      </c>
      <c r="Q608" s="1" t="s">
        <v>11419</v>
      </c>
      <c r="R608" s="1" t="s">
        <v>11420</v>
      </c>
      <c r="S608" s="1">
        <v>9088855877</v>
      </c>
      <c r="T608" s="1" t="s">
        <v>216</v>
      </c>
      <c r="U608" s="1" t="s">
        <v>11421</v>
      </c>
      <c r="V608" s="1">
        <v>9088855877</v>
      </c>
      <c r="W608" s="1" t="s">
        <v>7286</v>
      </c>
      <c r="X608" s="1" t="s">
        <v>11422</v>
      </c>
      <c r="Y608" s="1" t="s">
        <v>782</v>
      </c>
      <c r="Z608" s="1" t="s">
        <v>783</v>
      </c>
      <c r="AA608" s="1" t="s">
        <v>11422</v>
      </c>
      <c r="AB608" s="1" t="s">
        <v>782</v>
      </c>
      <c r="AC608" s="1" t="s">
        <v>783</v>
      </c>
      <c r="AD608" s="1">
        <v>9.34</v>
      </c>
      <c r="AE608" s="1" t="s">
        <v>93</v>
      </c>
      <c r="AF608" s="1" t="s">
        <v>11423</v>
      </c>
      <c r="AG608" s="1" t="s">
        <v>11424</v>
      </c>
      <c r="AH608" s="1" t="s">
        <v>477</v>
      </c>
      <c r="AI608" s="1" t="s">
        <v>131</v>
      </c>
      <c r="AJ608" s="1">
        <v>93.83</v>
      </c>
      <c r="AK608" s="1"/>
      <c r="AL608" s="1" t="s">
        <v>11423</v>
      </c>
      <c r="AM608" s="1" t="s">
        <v>11424</v>
      </c>
      <c r="AN608" s="1" t="s">
        <v>279</v>
      </c>
      <c r="AO608" s="1" t="s">
        <v>479</v>
      </c>
      <c r="AP608" s="1">
        <v>88.33</v>
      </c>
      <c r="AQ608" s="1"/>
      <c r="AR608" s="1"/>
      <c r="AS608" s="1"/>
      <c r="AT608" s="1"/>
      <c r="AU608" s="1"/>
      <c r="AV608" s="1"/>
      <c r="AW608" s="1"/>
      <c r="AX608" s="1" t="s">
        <v>1088</v>
      </c>
      <c r="AY608" s="1" t="s">
        <v>11425</v>
      </c>
      <c r="AZ608" s="1" t="s">
        <v>636</v>
      </c>
      <c r="BA608" s="1" t="s">
        <v>105</v>
      </c>
      <c r="BB608" s="1">
        <v>73.6</v>
      </c>
      <c r="BC608" s="1">
        <v>8.11</v>
      </c>
      <c r="BD608" s="1"/>
      <c r="BE608" s="1"/>
      <c r="BF608" s="1"/>
      <c r="BG608" s="1"/>
      <c r="BH608" s="1"/>
      <c r="BI608" s="1"/>
      <c r="BJ608" s="1" t="s">
        <v>364</v>
      </c>
      <c r="BK608" s="1" t="s">
        <v>11426</v>
      </c>
      <c r="BL608" s="1" t="s">
        <v>619</v>
      </c>
      <c r="BM608" s="1" t="s">
        <v>11427</v>
      </c>
      <c r="BN608" s="1">
        <v>8</v>
      </c>
      <c r="BO608" s="1"/>
      <c r="BP608" s="1" t="str">
        <f>HYPERLINK("https://nconnect.nicmar.ac.in/storage/profile/ProfilePhoto_P25700569_579436.jpg","Download")</f>
        <v>0</v>
      </c>
      <c r="BQ608" s="3"/>
      <c r="BR608" s="3"/>
    </row>
    <row r="609" spans="1:70">
      <c r="A609" s="1" t="s">
        <v>70</v>
      </c>
      <c r="B609" s="1" t="s">
        <v>1269</v>
      </c>
      <c r="C609" s="1" t="s">
        <v>11428</v>
      </c>
      <c r="D609" s="1" t="s">
        <v>2024</v>
      </c>
      <c r="E609" s="1" t="s">
        <v>10456</v>
      </c>
      <c r="F609" s="1" t="s">
        <v>5413</v>
      </c>
      <c r="G609" s="1" t="s">
        <v>11429</v>
      </c>
      <c r="H609" s="1" t="s">
        <v>11430</v>
      </c>
      <c r="I609" s="1" t="s">
        <v>11431</v>
      </c>
      <c r="J609" s="1">
        <v>7887430542</v>
      </c>
      <c r="K609" s="1" t="s">
        <v>79</v>
      </c>
      <c r="L609" s="1" t="s">
        <v>11432</v>
      </c>
      <c r="M609" s="1" t="s">
        <v>81</v>
      </c>
      <c r="N609" s="1" t="s">
        <v>1418</v>
      </c>
      <c r="O609" s="1"/>
      <c r="P609" s="1"/>
      <c r="Q609" s="1" t="s">
        <v>11433</v>
      </c>
      <c r="R609" s="1" t="s">
        <v>11434</v>
      </c>
      <c r="S609" s="1">
        <v>9325066663</v>
      </c>
      <c r="T609" s="1" t="s">
        <v>8410</v>
      </c>
      <c r="U609" s="1" t="s">
        <v>11435</v>
      </c>
      <c r="V609" s="1">
        <v>9168899240</v>
      </c>
      <c r="W609" s="1" t="s">
        <v>156</v>
      </c>
      <c r="X609" s="1" t="s">
        <v>11436</v>
      </c>
      <c r="Y609" s="1" t="s">
        <v>8603</v>
      </c>
      <c r="Z609" s="1" t="s">
        <v>92</v>
      </c>
      <c r="AA609" s="1" t="s">
        <v>11436</v>
      </c>
      <c r="AB609" s="1" t="s">
        <v>8603</v>
      </c>
      <c r="AC609" s="1" t="s">
        <v>92</v>
      </c>
      <c r="AD609" s="1">
        <v>6.66</v>
      </c>
      <c r="AE609" s="1" t="s">
        <v>93</v>
      </c>
      <c r="AF609" s="1" t="s">
        <v>11437</v>
      </c>
      <c r="AG609" s="1" t="s">
        <v>4453</v>
      </c>
      <c r="AH609" s="1" t="s">
        <v>161</v>
      </c>
      <c r="AI609" s="1" t="s">
        <v>162</v>
      </c>
      <c r="AJ609" s="1">
        <v>77.6</v>
      </c>
      <c r="AK609" s="1"/>
      <c r="AL609" s="1" t="s">
        <v>11438</v>
      </c>
      <c r="AM609" s="1" t="s">
        <v>160</v>
      </c>
      <c r="AN609" s="1" t="s">
        <v>1332</v>
      </c>
      <c r="AO609" s="1" t="s">
        <v>457</v>
      </c>
      <c r="AP609" s="1">
        <v>62.62</v>
      </c>
      <c r="AQ609" s="1"/>
      <c r="AR609" s="1" t="s">
        <v>98</v>
      </c>
      <c r="AS609" s="1" t="s">
        <v>11439</v>
      </c>
      <c r="AT609" s="1" t="s">
        <v>433</v>
      </c>
      <c r="AU609" s="1" t="s">
        <v>436</v>
      </c>
      <c r="AV609" s="1">
        <v>77.37</v>
      </c>
      <c r="AW609" s="1"/>
      <c r="AX609" s="1" t="s">
        <v>11440</v>
      </c>
      <c r="AY609" s="1" t="s">
        <v>11441</v>
      </c>
      <c r="AZ609" s="1" t="s">
        <v>1131</v>
      </c>
      <c r="BA609" s="1" t="s">
        <v>1939</v>
      </c>
      <c r="BB609" s="1">
        <v>68.77</v>
      </c>
      <c r="BC609" s="1">
        <v>7.47</v>
      </c>
      <c r="BD609" s="1"/>
      <c r="BE609" s="1"/>
      <c r="BF609" s="1"/>
      <c r="BG609" s="1"/>
      <c r="BH609" s="1"/>
      <c r="BI609" s="1"/>
      <c r="BJ609" s="1" t="s">
        <v>364</v>
      </c>
      <c r="BK609" s="1"/>
      <c r="BL609" s="1"/>
      <c r="BM609" s="1"/>
      <c r="BN609" s="1"/>
      <c r="BO609" s="1"/>
      <c r="BP609" s="1" t="str">
        <f>HYPERLINK("https://nconnect.nicmar.ac.in/storage/profile/ProfilePhoto_P25700570_237541.jpg","Download")</f>
        <v>0</v>
      </c>
      <c r="BQ609" s="3"/>
      <c r="BR609" s="3"/>
    </row>
    <row r="610" spans="1:70">
      <c r="A610" s="1" t="s">
        <v>70</v>
      </c>
      <c r="B610" s="1" t="s">
        <v>1269</v>
      </c>
      <c r="C610" s="1" t="s">
        <v>11442</v>
      </c>
      <c r="D610" s="1" t="s">
        <v>2896</v>
      </c>
      <c r="E610" s="1" t="s">
        <v>11443</v>
      </c>
      <c r="F610" s="1" t="s">
        <v>11444</v>
      </c>
      <c r="G610" s="1" t="s">
        <v>11445</v>
      </c>
      <c r="H610" s="1" t="s">
        <v>11446</v>
      </c>
      <c r="I610" s="1" t="s">
        <v>11447</v>
      </c>
      <c r="J610" s="1">
        <v>9156028208</v>
      </c>
      <c r="K610" s="1" t="s">
        <v>79</v>
      </c>
      <c r="L610" s="1" t="s">
        <v>11448</v>
      </c>
      <c r="M610" s="1" t="s">
        <v>81</v>
      </c>
      <c r="N610" s="1" t="s">
        <v>6782</v>
      </c>
      <c r="O610" s="1"/>
      <c r="P610" s="1" t="s">
        <v>1298</v>
      </c>
      <c r="Q610" s="1" t="s">
        <v>11449</v>
      </c>
      <c r="R610" s="1" t="s">
        <v>11450</v>
      </c>
      <c r="S610" s="1">
        <v>9503626399</v>
      </c>
      <c r="T610" s="1" t="s">
        <v>496</v>
      </c>
      <c r="U610" s="1" t="s">
        <v>11451</v>
      </c>
      <c r="V610" s="1">
        <v>9309591763</v>
      </c>
      <c r="W610" s="1" t="s">
        <v>651</v>
      </c>
      <c r="X610" s="1" t="s">
        <v>11452</v>
      </c>
      <c r="Y610" s="1" t="s">
        <v>219</v>
      </c>
      <c r="Z610" s="1" t="s">
        <v>92</v>
      </c>
      <c r="AA610" s="1" t="s">
        <v>11452</v>
      </c>
      <c r="AB610" s="1" t="s">
        <v>219</v>
      </c>
      <c r="AC610" s="1" t="s">
        <v>92</v>
      </c>
      <c r="AD610" s="1">
        <v>7.69</v>
      </c>
      <c r="AE610" s="1" t="s">
        <v>93</v>
      </c>
      <c r="AF610" s="1" t="s">
        <v>11453</v>
      </c>
      <c r="AG610" s="1" t="s">
        <v>11454</v>
      </c>
      <c r="AH610" s="1" t="s">
        <v>165</v>
      </c>
      <c r="AI610" s="1" t="s">
        <v>166</v>
      </c>
      <c r="AJ610" s="1">
        <v>79.8</v>
      </c>
      <c r="AK610" s="1"/>
      <c r="AL610" s="1"/>
      <c r="AM610" s="1"/>
      <c r="AN610" s="1"/>
      <c r="AO610" s="1"/>
      <c r="AP610" s="1"/>
      <c r="AQ610" s="1"/>
      <c r="AR610" s="1" t="s">
        <v>434</v>
      </c>
      <c r="AS610" s="1" t="s">
        <v>11455</v>
      </c>
      <c r="AT610" s="1" t="s">
        <v>636</v>
      </c>
      <c r="AU610" s="1" t="s">
        <v>436</v>
      </c>
      <c r="AV610" s="1">
        <v>88.89</v>
      </c>
      <c r="AW610" s="1"/>
      <c r="AX610" s="1" t="s">
        <v>9655</v>
      </c>
      <c r="AY610" s="1" t="s">
        <v>11456</v>
      </c>
      <c r="AZ610" s="1" t="s">
        <v>897</v>
      </c>
      <c r="BA610" s="1" t="s">
        <v>1939</v>
      </c>
      <c r="BB610" s="1">
        <v>70.8</v>
      </c>
      <c r="BC610" s="1">
        <v>7.08</v>
      </c>
      <c r="BD610" s="1"/>
      <c r="BE610" s="1"/>
      <c r="BF610" s="1"/>
      <c r="BG610" s="1"/>
      <c r="BH610" s="1"/>
      <c r="BI610" s="1"/>
      <c r="BJ610" s="1" t="s">
        <v>1383</v>
      </c>
      <c r="BK610" s="1"/>
      <c r="BL610" s="1"/>
      <c r="BM610" s="1" t="s">
        <v>11457</v>
      </c>
      <c r="BN610" s="1">
        <v>14</v>
      </c>
      <c r="BO610" s="1" t="s">
        <v>11458</v>
      </c>
      <c r="BP610" s="1" t="str">
        <f>HYPERLINK("https://nconnect.nicmar.ac.in/storage/profile/ProfilePhoto_P25700571_859736.jpg","Download")</f>
        <v>0</v>
      </c>
      <c r="BQ610" s="3"/>
      <c r="BR610" s="3"/>
    </row>
    <row r="611" spans="1:70">
      <c r="A611" s="1" t="s">
        <v>70</v>
      </c>
      <c r="B611" s="1" t="s">
        <v>1269</v>
      </c>
      <c r="C611" s="1" t="s">
        <v>11459</v>
      </c>
      <c r="D611" s="1" t="s">
        <v>1981</v>
      </c>
      <c r="E611" s="1" t="s">
        <v>1566</v>
      </c>
      <c r="F611" s="1" t="s">
        <v>11460</v>
      </c>
      <c r="G611" s="1" t="s">
        <v>11461</v>
      </c>
      <c r="H611" s="1" t="s">
        <v>11462</v>
      </c>
      <c r="I611" s="1" t="s">
        <v>11463</v>
      </c>
      <c r="J611" s="1">
        <v>8369748070</v>
      </c>
      <c r="K611" s="1" t="s">
        <v>79</v>
      </c>
      <c r="L611" s="1" t="s">
        <v>3552</v>
      </c>
      <c r="M611" s="1" t="s">
        <v>81</v>
      </c>
      <c r="N611" s="1" t="s">
        <v>1618</v>
      </c>
      <c r="O611" s="1"/>
      <c r="P611" s="1" t="s">
        <v>1278</v>
      </c>
      <c r="Q611" s="1" t="s">
        <v>11464</v>
      </c>
      <c r="R611" s="1" t="s">
        <v>1566</v>
      </c>
      <c r="S611" s="1">
        <v>9867615280</v>
      </c>
      <c r="T611" s="1" t="s">
        <v>932</v>
      </c>
      <c r="U611" s="1" t="s">
        <v>5837</v>
      </c>
      <c r="V611" s="1">
        <v>9769419594</v>
      </c>
      <c r="W611" s="1" t="s">
        <v>156</v>
      </c>
      <c r="X611" s="1" t="s">
        <v>11465</v>
      </c>
      <c r="Y611" s="1" t="s">
        <v>1623</v>
      </c>
      <c r="Z611" s="1" t="s">
        <v>92</v>
      </c>
      <c r="AA611" s="1" t="s">
        <v>11465</v>
      </c>
      <c r="AB611" s="1" t="s">
        <v>1623</v>
      </c>
      <c r="AC611" s="1" t="s">
        <v>92</v>
      </c>
      <c r="AD611" s="1">
        <v>8.54</v>
      </c>
      <c r="AE611" s="1" t="s">
        <v>93</v>
      </c>
      <c r="AF611" s="1" t="s">
        <v>11466</v>
      </c>
      <c r="AG611" s="1" t="s">
        <v>160</v>
      </c>
      <c r="AH611" s="1" t="s">
        <v>161</v>
      </c>
      <c r="AI611" s="1" t="s">
        <v>162</v>
      </c>
      <c r="AJ611" s="1">
        <v>85.4</v>
      </c>
      <c r="AK611" s="1"/>
      <c r="AL611" s="1"/>
      <c r="AM611" s="1"/>
      <c r="AN611" s="1"/>
      <c r="AO611" s="1"/>
      <c r="AP611" s="1"/>
      <c r="AQ611" s="1"/>
      <c r="AR611" s="1" t="s">
        <v>11467</v>
      </c>
      <c r="AS611" s="1" t="s">
        <v>11468</v>
      </c>
      <c r="AT611" s="1" t="s">
        <v>134</v>
      </c>
      <c r="AU611" s="1" t="s">
        <v>433</v>
      </c>
      <c r="AV611" s="1">
        <v>69.64</v>
      </c>
      <c r="AW611" s="1"/>
      <c r="AX611" s="1" t="s">
        <v>1024</v>
      </c>
      <c r="AY611" s="1" t="s">
        <v>11469</v>
      </c>
      <c r="AZ611" s="1" t="s">
        <v>201</v>
      </c>
      <c r="BA611" s="1" t="s">
        <v>105</v>
      </c>
      <c r="BB611" s="1">
        <v>69.08</v>
      </c>
      <c r="BC611" s="1">
        <v>7.75</v>
      </c>
      <c r="BD611" s="1"/>
      <c r="BE611" s="1"/>
      <c r="BF611" s="1"/>
      <c r="BG611" s="1"/>
      <c r="BH611" s="1"/>
      <c r="BI611" s="1"/>
      <c r="BJ611" s="1" t="s">
        <v>4325</v>
      </c>
      <c r="BK611" s="1" t="s">
        <v>11470</v>
      </c>
      <c r="BL611" s="1" t="s">
        <v>11471</v>
      </c>
      <c r="BM611" s="1" t="s">
        <v>11472</v>
      </c>
      <c r="BN611" s="1">
        <v>21</v>
      </c>
      <c r="BO611" s="1" t="s">
        <v>11473</v>
      </c>
      <c r="BP611" s="1" t="str">
        <f>HYPERLINK("https://nconnect.nicmar.ac.in/storage/profile/ProfilePhoto_P25700572_925681.jpg","Download")</f>
        <v>0</v>
      </c>
      <c r="BQ611" s="3"/>
      <c r="BR611" s="3"/>
    </row>
    <row r="612" spans="1:70">
      <c r="A612" s="1" t="s">
        <v>70</v>
      </c>
      <c r="B612" s="1" t="s">
        <v>1269</v>
      </c>
      <c r="C612" s="1" t="s">
        <v>11474</v>
      </c>
      <c r="D612" s="1" t="s">
        <v>4343</v>
      </c>
      <c r="E612" s="1" t="s">
        <v>5088</v>
      </c>
      <c r="F612" s="1" t="s">
        <v>11475</v>
      </c>
      <c r="G612" s="1" t="s">
        <v>11476</v>
      </c>
      <c r="H612" s="1" t="s">
        <v>11477</v>
      </c>
      <c r="I612" s="1" t="s">
        <v>11478</v>
      </c>
      <c r="J612" s="1">
        <v>7558352506</v>
      </c>
      <c r="K612" s="1" t="s">
        <v>79</v>
      </c>
      <c r="L612" s="1" t="s">
        <v>8992</v>
      </c>
      <c r="M612" s="1" t="s">
        <v>81</v>
      </c>
      <c r="N612" s="1" t="s">
        <v>1951</v>
      </c>
      <c r="O612" s="1"/>
      <c r="P612" s="1" t="s">
        <v>1323</v>
      </c>
      <c r="Q612" s="1" t="s">
        <v>11479</v>
      </c>
      <c r="R612" s="1" t="s">
        <v>11480</v>
      </c>
      <c r="S612" s="1">
        <v>9307965330</v>
      </c>
      <c r="T612" s="1" t="s">
        <v>1554</v>
      </c>
      <c r="U612" s="1" t="s">
        <v>11481</v>
      </c>
      <c r="V612" s="1">
        <v>9307965330</v>
      </c>
      <c r="W612" s="1" t="s">
        <v>273</v>
      </c>
      <c r="X612" s="1" t="s">
        <v>11482</v>
      </c>
      <c r="Y612" s="1" t="s">
        <v>191</v>
      </c>
      <c r="Z612" s="1" t="s">
        <v>92</v>
      </c>
      <c r="AA612" s="1" t="s">
        <v>11483</v>
      </c>
      <c r="AB612" s="1" t="s">
        <v>5840</v>
      </c>
      <c r="AC612" s="1" t="s">
        <v>92</v>
      </c>
      <c r="AD612" s="1" t="s">
        <v>93</v>
      </c>
      <c r="AE612" s="1" t="s">
        <v>93</v>
      </c>
      <c r="AF612" s="1" t="s">
        <v>1832</v>
      </c>
      <c r="AG612" s="1" t="s">
        <v>1665</v>
      </c>
      <c r="AH612" s="1" t="s">
        <v>165</v>
      </c>
      <c r="AI612" s="1" t="s">
        <v>101</v>
      </c>
      <c r="AJ612" s="1">
        <v>75</v>
      </c>
      <c r="AK612" s="1"/>
      <c r="AL612" s="1" t="s">
        <v>11484</v>
      </c>
      <c r="AM612" s="1" t="s">
        <v>7732</v>
      </c>
      <c r="AN612" s="1" t="s">
        <v>201</v>
      </c>
      <c r="AO612" s="1" t="s">
        <v>681</v>
      </c>
      <c r="AP612" s="1">
        <v>61</v>
      </c>
      <c r="AQ612" s="1"/>
      <c r="AR612" s="1"/>
      <c r="AS612" s="1"/>
      <c r="AT612" s="1"/>
      <c r="AU612" s="1"/>
      <c r="AV612" s="1"/>
      <c r="AW612" s="1"/>
      <c r="AX612" s="1" t="s">
        <v>11485</v>
      </c>
      <c r="AY612" s="1" t="s">
        <v>11486</v>
      </c>
      <c r="AZ612" s="1" t="s">
        <v>1131</v>
      </c>
      <c r="BA612" s="1" t="s">
        <v>1714</v>
      </c>
      <c r="BB612" s="1">
        <v>73</v>
      </c>
      <c r="BC612" s="1"/>
      <c r="BD612" s="1"/>
      <c r="BE612" s="1"/>
      <c r="BF612" s="1"/>
      <c r="BG612" s="1"/>
      <c r="BH612" s="1"/>
      <c r="BI612" s="1"/>
      <c r="BJ612" s="1" t="s">
        <v>734</v>
      </c>
      <c r="BK612" s="1"/>
      <c r="BL612" s="1"/>
      <c r="BM612" s="1" t="s">
        <v>11487</v>
      </c>
      <c r="BN612" s="1">
        <v>1</v>
      </c>
      <c r="BO612" s="1"/>
      <c r="BP612" s="1" t="str">
        <f>HYPERLINK("https://nconnect.nicmar.ac.in/storage/profile/ProfilePhoto_P25700573_289415.jpg","Download")</f>
        <v>0</v>
      </c>
      <c r="BQ612" s="3"/>
      <c r="BR612" s="3"/>
    </row>
    <row r="613" spans="1:70">
      <c r="A613" s="1" t="s">
        <v>70</v>
      </c>
      <c r="B613" s="1" t="s">
        <v>1269</v>
      </c>
      <c r="C613" s="1" t="s">
        <v>11488</v>
      </c>
      <c r="D613" s="1" t="s">
        <v>11489</v>
      </c>
      <c r="E613" s="1"/>
      <c r="F613" s="1" t="s">
        <v>4784</v>
      </c>
      <c r="G613" s="1" t="s">
        <v>11490</v>
      </c>
      <c r="H613" s="1" t="s">
        <v>11491</v>
      </c>
      <c r="I613" s="1" t="s">
        <v>11492</v>
      </c>
      <c r="J613" s="1">
        <v>9945972444</v>
      </c>
      <c r="K613" s="1" t="s">
        <v>79</v>
      </c>
      <c r="L613" s="1" t="s">
        <v>11493</v>
      </c>
      <c r="M613" s="1" t="s">
        <v>81</v>
      </c>
      <c r="N613" s="1" t="s">
        <v>11494</v>
      </c>
      <c r="O613" s="1"/>
      <c r="P613" s="1" t="s">
        <v>1278</v>
      </c>
      <c r="Q613" s="1" t="s">
        <v>11495</v>
      </c>
      <c r="R613" s="1" t="s">
        <v>11496</v>
      </c>
      <c r="S613" s="1">
        <v>9845139778</v>
      </c>
      <c r="T613" s="1" t="s">
        <v>842</v>
      </c>
      <c r="U613" s="1" t="s">
        <v>11497</v>
      </c>
      <c r="V613" s="1">
        <v>9902359778</v>
      </c>
      <c r="W613" s="1" t="s">
        <v>156</v>
      </c>
      <c r="X613" s="1" t="s">
        <v>11498</v>
      </c>
      <c r="Y613" s="1" t="s">
        <v>1083</v>
      </c>
      <c r="Z613" s="1" t="s">
        <v>1084</v>
      </c>
      <c r="AA613" s="1" t="s">
        <v>11498</v>
      </c>
      <c r="AB613" s="1" t="s">
        <v>1083</v>
      </c>
      <c r="AC613" s="1" t="s">
        <v>1084</v>
      </c>
      <c r="AD613" s="1">
        <v>9.31</v>
      </c>
      <c r="AE613" s="1" t="s">
        <v>93</v>
      </c>
      <c r="AF613" s="1" t="s">
        <v>11499</v>
      </c>
      <c r="AG613" s="1" t="s">
        <v>307</v>
      </c>
      <c r="AH613" s="1" t="s">
        <v>165</v>
      </c>
      <c r="AI613" s="1" t="s">
        <v>166</v>
      </c>
      <c r="AJ613" s="1">
        <v>94</v>
      </c>
      <c r="AK613" s="1"/>
      <c r="AL613" s="1" t="s">
        <v>11500</v>
      </c>
      <c r="AM613" s="1" t="s">
        <v>11501</v>
      </c>
      <c r="AN613" s="1" t="s">
        <v>433</v>
      </c>
      <c r="AO613" s="1" t="s">
        <v>173</v>
      </c>
      <c r="AP613" s="1">
        <v>90.67</v>
      </c>
      <c r="AQ613" s="1"/>
      <c r="AR613" s="1"/>
      <c r="AS613" s="1"/>
      <c r="AT613" s="1"/>
      <c r="AU613" s="1"/>
      <c r="AV613" s="1"/>
      <c r="AW613" s="1"/>
      <c r="AX613" s="1" t="s">
        <v>1088</v>
      </c>
      <c r="AY613" s="1" t="s">
        <v>11502</v>
      </c>
      <c r="AZ613" s="1" t="s">
        <v>228</v>
      </c>
      <c r="BA613" s="1" t="s">
        <v>202</v>
      </c>
      <c r="BB613" s="1">
        <v>77</v>
      </c>
      <c r="BC613" s="1">
        <v>8.45</v>
      </c>
      <c r="BD613" s="1"/>
      <c r="BE613" s="1"/>
      <c r="BF613" s="1"/>
      <c r="BG613" s="1"/>
      <c r="BH613" s="1"/>
      <c r="BI613" s="1"/>
      <c r="BJ613" s="1" t="s">
        <v>11503</v>
      </c>
      <c r="BK613" s="1"/>
      <c r="BL613" s="1"/>
      <c r="BM613" s="1" t="s">
        <v>11504</v>
      </c>
      <c r="BN613" s="1">
        <v>63</v>
      </c>
      <c r="BO613" s="1" t="s">
        <v>11505</v>
      </c>
      <c r="BP613" s="1" t="str">
        <f>HYPERLINK("https://nconnect.nicmar.ac.in/storage/profile/ProfilePhoto_P25700574_937814.jpg","Download")</f>
        <v>0</v>
      </c>
      <c r="BQ613" s="3"/>
      <c r="BR613" s="3"/>
    </row>
    <row r="614" spans="1:70">
      <c r="A614" s="1" t="s">
        <v>70</v>
      </c>
      <c r="B614" s="1" t="s">
        <v>1269</v>
      </c>
      <c r="C614" s="1" t="s">
        <v>11506</v>
      </c>
      <c r="D614" s="1" t="s">
        <v>2696</v>
      </c>
      <c r="E614" s="1" t="s">
        <v>11507</v>
      </c>
      <c r="F614" s="1" t="s">
        <v>11508</v>
      </c>
      <c r="G614" s="1" t="s">
        <v>11509</v>
      </c>
      <c r="H614" s="1" t="s">
        <v>11510</v>
      </c>
      <c r="I614" s="1" t="s">
        <v>11511</v>
      </c>
      <c r="J614" s="1">
        <v>8600868357</v>
      </c>
      <c r="K614" s="1" t="s">
        <v>79</v>
      </c>
      <c r="L614" s="1" t="s">
        <v>11512</v>
      </c>
      <c r="M614" s="1" t="s">
        <v>81</v>
      </c>
      <c r="N614" s="1" t="s">
        <v>11513</v>
      </c>
      <c r="O614" s="1"/>
      <c r="P614" s="1" t="s">
        <v>1323</v>
      </c>
      <c r="Q614" s="1" t="s">
        <v>11514</v>
      </c>
      <c r="R614" s="1" t="s">
        <v>11507</v>
      </c>
      <c r="S614" s="1">
        <v>9766268452</v>
      </c>
      <c r="T614" s="1" t="s">
        <v>122</v>
      </c>
      <c r="U614" s="1" t="s">
        <v>11515</v>
      </c>
      <c r="V614" s="1">
        <v>9766268452</v>
      </c>
      <c r="W614" s="1" t="s">
        <v>156</v>
      </c>
      <c r="X614" s="1" t="s">
        <v>11516</v>
      </c>
      <c r="Y614" s="1" t="s">
        <v>158</v>
      </c>
      <c r="Z614" s="1" t="s">
        <v>92</v>
      </c>
      <c r="AA614" s="1" t="s">
        <v>11516</v>
      </c>
      <c r="AB614" s="1" t="s">
        <v>158</v>
      </c>
      <c r="AC614" s="1" t="s">
        <v>92</v>
      </c>
      <c r="AD614" s="1">
        <v>7.57</v>
      </c>
      <c r="AE614" s="1" t="s">
        <v>93</v>
      </c>
      <c r="AF614" s="1" t="s">
        <v>11517</v>
      </c>
      <c r="AG614" s="1" t="s">
        <v>11518</v>
      </c>
      <c r="AH614" s="1" t="s">
        <v>162</v>
      </c>
      <c r="AI614" s="1" t="s">
        <v>165</v>
      </c>
      <c r="AJ614" s="1">
        <v>78.6</v>
      </c>
      <c r="AK614" s="1"/>
      <c r="AL614" s="1" t="s">
        <v>11519</v>
      </c>
      <c r="AM614" s="1" t="s">
        <v>11518</v>
      </c>
      <c r="AN614" s="1" t="s">
        <v>169</v>
      </c>
      <c r="AO614" s="1" t="s">
        <v>308</v>
      </c>
      <c r="AP614" s="1">
        <v>73.54</v>
      </c>
      <c r="AQ614" s="1"/>
      <c r="AR614" s="1"/>
      <c r="AS614" s="1"/>
      <c r="AT614" s="1"/>
      <c r="AU614" s="1"/>
      <c r="AV614" s="1"/>
      <c r="AW614" s="1"/>
      <c r="AX614" s="1" t="s">
        <v>437</v>
      </c>
      <c r="AY614" s="1" t="s">
        <v>11520</v>
      </c>
      <c r="AZ614" s="1" t="s">
        <v>201</v>
      </c>
      <c r="BA614" s="1" t="s">
        <v>174</v>
      </c>
      <c r="BB614" s="1">
        <v>70.43</v>
      </c>
      <c r="BC614" s="1">
        <v>8.32</v>
      </c>
      <c r="BD614" s="1"/>
      <c r="BE614" s="1"/>
      <c r="BF614" s="1"/>
      <c r="BG614" s="1"/>
      <c r="BH614" s="1"/>
      <c r="BI614" s="1"/>
      <c r="BJ614" s="1" t="s">
        <v>11521</v>
      </c>
      <c r="BK614" s="1"/>
      <c r="BL614" s="1"/>
      <c r="BM614" s="1" t="s">
        <v>11522</v>
      </c>
      <c r="BN614" s="1">
        <v>41</v>
      </c>
      <c r="BO614" s="1"/>
      <c r="BP614" s="1" t="str">
        <f>HYPERLINK("https://nconnect.nicmar.ac.in/storage/profile/ProfilePhoto_P25700575_561478.jpg","Download")</f>
        <v>0</v>
      </c>
      <c r="BQ614" s="3"/>
      <c r="BR614" s="3"/>
    </row>
    <row r="615" spans="1:70">
      <c r="A615" s="1" t="s">
        <v>70</v>
      </c>
      <c r="B615" s="1" t="s">
        <v>1269</v>
      </c>
      <c r="C615" s="1" t="s">
        <v>11523</v>
      </c>
      <c r="D615" s="1" t="s">
        <v>6726</v>
      </c>
      <c r="E615" s="1" t="s">
        <v>10423</v>
      </c>
      <c r="F615" s="1" t="s">
        <v>11524</v>
      </c>
      <c r="G615" s="1" t="s">
        <v>11525</v>
      </c>
      <c r="H615" s="1" t="s">
        <v>11526</v>
      </c>
      <c r="I615" s="1" t="s">
        <v>11527</v>
      </c>
      <c r="J615" s="1">
        <v>7058974553</v>
      </c>
      <c r="K615" s="1" t="s">
        <v>79</v>
      </c>
      <c r="L615" s="1" t="s">
        <v>11013</v>
      </c>
      <c r="M615" s="1" t="s">
        <v>81</v>
      </c>
      <c r="N615" s="1" t="s">
        <v>2008</v>
      </c>
      <c r="O615" s="1"/>
      <c r="P615" s="1" t="s">
        <v>1278</v>
      </c>
      <c r="Q615" s="1" t="s">
        <v>11528</v>
      </c>
      <c r="R615" s="1" t="s">
        <v>11529</v>
      </c>
      <c r="S615" s="1">
        <v>8805424938</v>
      </c>
      <c r="T615" s="1" t="s">
        <v>496</v>
      </c>
      <c r="U615" s="1" t="s">
        <v>11530</v>
      </c>
      <c r="V615" s="1">
        <v>8530017722</v>
      </c>
      <c r="W615" s="1" t="s">
        <v>156</v>
      </c>
      <c r="X615" s="1" t="s">
        <v>11531</v>
      </c>
      <c r="Y615" s="1" t="s">
        <v>191</v>
      </c>
      <c r="Z615" s="1" t="s">
        <v>92</v>
      </c>
      <c r="AA615" s="1" t="s">
        <v>11531</v>
      </c>
      <c r="AB615" s="1" t="s">
        <v>191</v>
      </c>
      <c r="AC615" s="1" t="s">
        <v>92</v>
      </c>
      <c r="AD615" s="1">
        <v>7.82</v>
      </c>
      <c r="AE615" s="1" t="s">
        <v>93</v>
      </c>
      <c r="AF615" s="1" t="s">
        <v>11532</v>
      </c>
      <c r="AG615" s="1" t="s">
        <v>307</v>
      </c>
      <c r="AH615" s="1" t="s">
        <v>1307</v>
      </c>
      <c r="AI615" s="1" t="s">
        <v>198</v>
      </c>
      <c r="AJ615" s="1">
        <v>80.6</v>
      </c>
      <c r="AK615" s="1"/>
      <c r="AL615" s="1" t="s">
        <v>11533</v>
      </c>
      <c r="AM615" s="1" t="s">
        <v>11534</v>
      </c>
      <c r="AN615" s="1" t="s">
        <v>433</v>
      </c>
      <c r="AO615" s="1" t="s">
        <v>1712</v>
      </c>
      <c r="AP615" s="1">
        <v>83</v>
      </c>
      <c r="AQ615" s="1"/>
      <c r="AR615" s="1"/>
      <c r="AS615" s="1"/>
      <c r="AT615" s="1"/>
      <c r="AU615" s="1"/>
      <c r="AV615" s="1"/>
      <c r="AW615" s="1"/>
      <c r="AX615" s="1" t="s">
        <v>361</v>
      </c>
      <c r="AY615" s="1" t="s">
        <v>11535</v>
      </c>
      <c r="AZ615" s="1" t="s">
        <v>897</v>
      </c>
      <c r="BA615" s="1" t="s">
        <v>1714</v>
      </c>
      <c r="BB615" s="1">
        <v>66.1</v>
      </c>
      <c r="BC615" s="1">
        <v>7.36</v>
      </c>
      <c r="BD615" s="1"/>
      <c r="BE615" s="1"/>
      <c r="BF615" s="1"/>
      <c r="BG615" s="1"/>
      <c r="BH615" s="1"/>
      <c r="BI615" s="1"/>
      <c r="BJ615" s="1" t="s">
        <v>1383</v>
      </c>
      <c r="BK615" s="1"/>
      <c r="BL615" s="1"/>
      <c r="BM615" s="1" t="s">
        <v>11536</v>
      </c>
      <c r="BN615" s="1">
        <v>13</v>
      </c>
      <c r="BO615" s="1" t="s">
        <v>11537</v>
      </c>
      <c r="BP615" s="1" t="str">
        <f>HYPERLINK("https://nconnect.nicmar.ac.in/storage/profile/ProfilePhoto_P25700576_435176.jpg","Download")</f>
        <v>0</v>
      </c>
      <c r="BQ615" s="3"/>
      <c r="BR615" s="3"/>
    </row>
    <row r="616" spans="1:70">
      <c r="A616" s="1" t="s">
        <v>70</v>
      </c>
      <c r="B616" s="1" t="s">
        <v>1269</v>
      </c>
      <c r="C616" s="1" t="s">
        <v>11538</v>
      </c>
      <c r="D616" s="1" t="s">
        <v>11539</v>
      </c>
      <c r="E616" s="1" t="s">
        <v>7571</v>
      </c>
      <c r="F616" s="1" t="s">
        <v>11540</v>
      </c>
      <c r="G616" s="1" t="s">
        <v>11541</v>
      </c>
      <c r="H616" s="1" t="s">
        <v>11542</v>
      </c>
      <c r="I616" s="1" t="s">
        <v>11543</v>
      </c>
      <c r="J616" s="1">
        <v>7378390992</v>
      </c>
      <c r="K616" s="1" t="s">
        <v>79</v>
      </c>
      <c r="L616" s="1" t="s">
        <v>11544</v>
      </c>
      <c r="M616" s="1" t="s">
        <v>81</v>
      </c>
      <c r="N616" s="1" t="s">
        <v>1765</v>
      </c>
      <c r="O616" s="1"/>
      <c r="P616" s="1" t="s">
        <v>1278</v>
      </c>
      <c r="Q616" s="1" t="s">
        <v>11545</v>
      </c>
      <c r="R616" s="1" t="s">
        <v>11546</v>
      </c>
      <c r="S616" s="1">
        <v>9403014432</v>
      </c>
      <c r="T616" s="1" t="s">
        <v>1351</v>
      </c>
      <c r="U616" s="1" t="s">
        <v>11547</v>
      </c>
      <c r="V616" s="1">
        <v>9403014429</v>
      </c>
      <c r="W616" s="1" t="s">
        <v>89</v>
      </c>
      <c r="X616" s="1" t="s">
        <v>11548</v>
      </c>
      <c r="Y616" s="1" t="s">
        <v>405</v>
      </c>
      <c r="Z616" s="1" t="s">
        <v>92</v>
      </c>
      <c r="AA616" s="1" t="s">
        <v>11548</v>
      </c>
      <c r="AB616" s="1" t="s">
        <v>405</v>
      </c>
      <c r="AC616" s="1" t="s">
        <v>92</v>
      </c>
      <c r="AD616" s="1">
        <v>8.28</v>
      </c>
      <c r="AE616" s="1" t="s">
        <v>93</v>
      </c>
      <c r="AF616" s="1" t="s">
        <v>11549</v>
      </c>
      <c r="AG616" s="1" t="s">
        <v>6029</v>
      </c>
      <c r="AH616" s="1" t="s">
        <v>1666</v>
      </c>
      <c r="AI616" s="1" t="s">
        <v>166</v>
      </c>
      <c r="AJ616" s="1">
        <v>92.6</v>
      </c>
      <c r="AK616" s="1">
        <v>0</v>
      </c>
      <c r="AL616" s="1" t="s">
        <v>11550</v>
      </c>
      <c r="AM616" s="1" t="s">
        <v>6029</v>
      </c>
      <c r="AN616" s="1" t="s">
        <v>169</v>
      </c>
      <c r="AO616" s="1" t="s">
        <v>173</v>
      </c>
      <c r="AP616" s="1">
        <v>76</v>
      </c>
      <c r="AQ616" s="1">
        <v>0</v>
      </c>
      <c r="AR616" s="1"/>
      <c r="AS616" s="1"/>
      <c r="AT616" s="1"/>
      <c r="AU616" s="1"/>
      <c r="AV616" s="1"/>
      <c r="AW616" s="1"/>
      <c r="AX616" s="1" t="s">
        <v>410</v>
      </c>
      <c r="AY616" s="1" t="s">
        <v>11551</v>
      </c>
      <c r="AZ616" s="1" t="s">
        <v>2016</v>
      </c>
      <c r="BA616" s="1" t="s">
        <v>202</v>
      </c>
      <c r="BB616" s="1">
        <v>83.5</v>
      </c>
      <c r="BC616" s="1">
        <v>8.35</v>
      </c>
      <c r="BD616" s="1"/>
      <c r="BE616" s="1"/>
      <c r="BF616" s="1"/>
      <c r="BG616" s="1"/>
      <c r="BH616" s="1"/>
      <c r="BI616" s="1"/>
      <c r="BJ616" s="1" t="s">
        <v>11552</v>
      </c>
      <c r="BK616" s="1"/>
      <c r="BL616" s="1"/>
      <c r="BM616" s="1" t="s">
        <v>11553</v>
      </c>
      <c r="BN616" s="1">
        <v>36</v>
      </c>
      <c r="BO616" s="1"/>
      <c r="BP616" s="1" t="str">
        <f>HYPERLINK("https://nconnect.nicmar.ac.in/storage/profile/ProfilePhoto_P25700577_523498.jpg","Download")</f>
        <v>0</v>
      </c>
      <c r="BQ616" s="3"/>
      <c r="BR616" s="3"/>
    </row>
    <row r="617" spans="1:70">
      <c r="A617" s="1" t="s">
        <v>70</v>
      </c>
      <c r="B617" s="1" t="s">
        <v>1269</v>
      </c>
      <c r="C617" s="1" t="s">
        <v>11554</v>
      </c>
      <c r="D617" s="1" t="s">
        <v>11555</v>
      </c>
      <c r="E617" s="1" t="s">
        <v>3208</v>
      </c>
      <c r="F617" s="1" t="s">
        <v>3911</v>
      </c>
      <c r="G617" s="1" t="s">
        <v>11556</v>
      </c>
      <c r="H617" s="1" t="s">
        <v>11557</v>
      </c>
      <c r="I617" s="1" t="s">
        <v>11558</v>
      </c>
      <c r="J617" s="1">
        <v>9356706658</v>
      </c>
      <c r="K617" s="1" t="s">
        <v>148</v>
      </c>
      <c r="L617" s="1" t="s">
        <v>11559</v>
      </c>
      <c r="M617" s="1" t="s">
        <v>81</v>
      </c>
      <c r="N617" s="1" t="s">
        <v>1418</v>
      </c>
      <c r="O617" s="1"/>
      <c r="P617" s="1" t="s">
        <v>1323</v>
      </c>
      <c r="Q617" s="1" t="s">
        <v>11560</v>
      </c>
      <c r="R617" s="1" t="s">
        <v>11561</v>
      </c>
      <c r="S617" s="1">
        <v>9822306522</v>
      </c>
      <c r="T617" s="1" t="s">
        <v>154</v>
      </c>
      <c r="U617" s="1" t="s">
        <v>11562</v>
      </c>
      <c r="V617" s="1">
        <v>9028232927</v>
      </c>
      <c r="W617" s="1" t="s">
        <v>651</v>
      </c>
      <c r="X617" s="1" t="s">
        <v>11563</v>
      </c>
      <c r="Y617" s="1" t="s">
        <v>328</v>
      </c>
      <c r="Z617" s="1" t="s">
        <v>92</v>
      </c>
      <c r="AA617" s="1" t="s">
        <v>11563</v>
      </c>
      <c r="AB617" s="1" t="s">
        <v>328</v>
      </c>
      <c r="AC617" s="1" t="s">
        <v>92</v>
      </c>
      <c r="AD617" s="1">
        <v>8.13</v>
      </c>
      <c r="AE617" s="1" t="s">
        <v>93</v>
      </c>
      <c r="AF617" s="1" t="s">
        <v>11564</v>
      </c>
      <c r="AG617" s="1" t="s">
        <v>11565</v>
      </c>
      <c r="AH617" s="1" t="s">
        <v>162</v>
      </c>
      <c r="AI617" s="1" t="s">
        <v>433</v>
      </c>
      <c r="AJ617" s="1">
        <v>82.8</v>
      </c>
      <c r="AK617" s="1"/>
      <c r="AL617" s="1" t="s">
        <v>11566</v>
      </c>
      <c r="AM617" s="1" t="s">
        <v>7414</v>
      </c>
      <c r="AN617" s="1" t="s">
        <v>310</v>
      </c>
      <c r="AO617" s="1" t="s">
        <v>506</v>
      </c>
      <c r="AP617" s="1">
        <v>90.33</v>
      </c>
      <c r="AQ617" s="1"/>
      <c r="AR617" s="1"/>
      <c r="AS617" s="1"/>
      <c r="AT617" s="1"/>
      <c r="AU617" s="1"/>
      <c r="AV617" s="1"/>
      <c r="AW617" s="1"/>
      <c r="AX617" s="1" t="s">
        <v>361</v>
      </c>
      <c r="AY617" s="1" t="s">
        <v>11567</v>
      </c>
      <c r="AZ617" s="1" t="s">
        <v>897</v>
      </c>
      <c r="BA617" s="1" t="s">
        <v>1714</v>
      </c>
      <c r="BB617" s="1">
        <v>71.4</v>
      </c>
      <c r="BC617" s="1">
        <v>7.86</v>
      </c>
      <c r="BD617" s="1"/>
      <c r="BE617" s="1"/>
      <c r="BF617" s="1"/>
      <c r="BG617" s="1"/>
      <c r="BH617" s="1"/>
      <c r="BI617" s="1"/>
      <c r="BJ617" s="1" t="s">
        <v>11568</v>
      </c>
      <c r="BK617" s="1"/>
      <c r="BL617" s="1"/>
      <c r="BM617" s="1" t="s">
        <v>11569</v>
      </c>
      <c r="BN617" s="1">
        <v>32</v>
      </c>
      <c r="BO617" s="1"/>
      <c r="BP617" s="1" t="str">
        <f>HYPERLINK("https://nconnect.nicmar.ac.in/storage/profile/ProfilePhoto_P25700578_347951.jpg","Download")</f>
        <v>0</v>
      </c>
      <c r="BQ617" s="3"/>
      <c r="BR617" s="3"/>
    </row>
    <row r="618" spans="1:70">
      <c r="A618" s="1" t="s">
        <v>70</v>
      </c>
      <c r="B618" s="1" t="s">
        <v>1269</v>
      </c>
      <c r="C618" s="1" t="s">
        <v>11570</v>
      </c>
      <c r="D618" s="1" t="s">
        <v>11571</v>
      </c>
      <c r="E618" s="1"/>
      <c r="F618" s="1" t="s">
        <v>11572</v>
      </c>
      <c r="G618" s="1" t="s">
        <v>11573</v>
      </c>
      <c r="H618" s="1" t="s">
        <v>11574</v>
      </c>
      <c r="I618" s="1" t="s">
        <v>11575</v>
      </c>
      <c r="J618" s="1">
        <v>9538487535</v>
      </c>
      <c r="K618" s="1" t="s">
        <v>148</v>
      </c>
      <c r="L618" s="1" t="s">
        <v>11576</v>
      </c>
      <c r="M618" s="1" t="s">
        <v>81</v>
      </c>
      <c r="N618" s="1" t="s">
        <v>11577</v>
      </c>
      <c r="O618" s="1"/>
      <c r="P618" s="1" t="s">
        <v>1278</v>
      </c>
      <c r="Q618" s="1" t="s">
        <v>11578</v>
      </c>
      <c r="R618" s="1" t="s">
        <v>11579</v>
      </c>
      <c r="S618" s="1">
        <v>9844309756</v>
      </c>
      <c r="T618" s="1" t="s">
        <v>11580</v>
      </c>
      <c r="U618" s="1" t="s">
        <v>11581</v>
      </c>
      <c r="V618" s="1">
        <v>8088735595</v>
      </c>
      <c r="W618" s="1" t="s">
        <v>651</v>
      </c>
      <c r="X618" s="1" t="s">
        <v>11582</v>
      </c>
      <c r="Y618" s="1" t="s">
        <v>1083</v>
      </c>
      <c r="Z618" s="1" t="s">
        <v>1084</v>
      </c>
      <c r="AA618" s="1" t="s">
        <v>11582</v>
      </c>
      <c r="AB618" s="1" t="s">
        <v>1083</v>
      </c>
      <c r="AC618" s="1" t="s">
        <v>1084</v>
      </c>
      <c r="AD618" s="1">
        <v>8.68</v>
      </c>
      <c r="AE618" s="1" t="s">
        <v>93</v>
      </c>
      <c r="AF618" s="1" t="s">
        <v>11583</v>
      </c>
      <c r="AG618" s="1" t="s">
        <v>307</v>
      </c>
      <c r="AH618" s="1" t="s">
        <v>4223</v>
      </c>
      <c r="AI618" s="1" t="s">
        <v>1197</v>
      </c>
      <c r="AJ618" s="1">
        <v>85.5</v>
      </c>
      <c r="AK618" s="1">
        <v>9</v>
      </c>
      <c r="AL618" s="1" t="s">
        <v>11583</v>
      </c>
      <c r="AM618" s="1" t="s">
        <v>307</v>
      </c>
      <c r="AN618" s="1" t="s">
        <v>503</v>
      </c>
      <c r="AO618" s="1" t="s">
        <v>527</v>
      </c>
      <c r="AP618" s="1">
        <v>78.6</v>
      </c>
      <c r="AQ618" s="1"/>
      <c r="AR618" s="1"/>
      <c r="AS618" s="1"/>
      <c r="AT618" s="1"/>
      <c r="AU618" s="1"/>
      <c r="AV618" s="1"/>
      <c r="AW618" s="1"/>
      <c r="AX618" s="1" t="s">
        <v>11584</v>
      </c>
      <c r="AY618" s="1" t="s">
        <v>11585</v>
      </c>
      <c r="AZ618" s="1" t="s">
        <v>134</v>
      </c>
      <c r="BA618" s="1" t="s">
        <v>436</v>
      </c>
      <c r="BB618" s="1">
        <v>62</v>
      </c>
      <c r="BC618" s="1">
        <v>6.95</v>
      </c>
      <c r="BD618" s="1"/>
      <c r="BE618" s="1"/>
      <c r="BF618" s="1"/>
      <c r="BG618" s="1"/>
      <c r="BH618" s="1"/>
      <c r="BI618" s="1"/>
      <c r="BJ618" s="1" t="s">
        <v>11586</v>
      </c>
      <c r="BK618" s="1" t="s">
        <v>11587</v>
      </c>
      <c r="BL618" s="1" t="s">
        <v>11471</v>
      </c>
      <c r="BM618" s="1" t="s">
        <v>11588</v>
      </c>
      <c r="BN618" s="1">
        <v>34</v>
      </c>
      <c r="BO618" s="1"/>
      <c r="BP618" s="1" t="str">
        <f>HYPERLINK("https://nconnect.nicmar.ac.in/storage/profile/ProfilePhoto_P25700579_237859.jpg","Download")</f>
        <v>0</v>
      </c>
      <c r="BQ618" s="3"/>
      <c r="BR618" s="3"/>
    </row>
    <row r="619" spans="1:70">
      <c r="A619" s="1" t="s">
        <v>70</v>
      </c>
      <c r="B619" s="1" t="s">
        <v>1269</v>
      </c>
      <c r="C619" s="1" t="s">
        <v>11589</v>
      </c>
      <c r="D619" s="1" t="s">
        <v>11590</v>
      </c>
      <c r="E619" s="1" t="s">
        <v>11591</v>
      </c>
      <c r="F619" s="1" t="s">
        <v>11592</v>
      </c>
      <c r="G619" s="1" t="s">
        <v>11593</v>
      </c>
      <c r="H619" s="1" t="s">
        <v>11594</v>
      </c>
      <c r="I619" s="1" t="s">
        <v>11595</v>
      </c>
      <c r="J619" s="1">
        <v>7558618682</v>
      </c>
      <c r="K619" s="1" t="s">
        <v>79</v>
      </c>
      <c r="L619" s="1" t="s">
        <v>11596</v>
      </c>
      <c r="M619" s="1" t="s">
        <v>81</v>
      </c>
      <c r="N619" s="1" t="s">
        <v>5731</v>
      </c>
      <c r="O619" s="1"/>
      <c r="P619" s="1" t="s">
        <v>1278</v>
      </c>
      <c r="Q619" s="1" t="s">
        <v>11597</v>
      </c>
      <c r="R619" s="1" t="s">
        <v>11592</v>
      </c>
      <c r="S619" s="1">
        <v>9271359295</v>
      </c>
      <c r="T619" s="1" t="s">
        <v>11598</v>
      </c>
      <c r="U619" s="1" t="s">
        <v>11599</v>
      </c>
      <c r="V619" s="1">
        <v>8830255877</v>
      </c>
      <c r="W619" s="1" t="s">
        <v>122</v>
      </c>
      <c r="X619" s="1" t="s">
        <v>11600</v>
      </c>
      <c r="Y619" s="1" t="s">
        <v>6399</v>
      </c>
      <c r="Z619" s="1" t="s">
        <v>92</v>
      </c>
      <c r="AA619" s="1" t="s">
        <v>11600</v>
      </c>
      <c r="AB619" s="1" t="s">
        <v>6399</v>
      </c>
      <c r="AC619" s="1" t="s">
        <v>92</v>
      </c>
      <c r="AD619" s="1">
        <v>8.13</v>
      </c>
      <c r="AE619" s="1" t="s">
        <v>93</v>
      </c>
      <c r="AF619" s="1" t="s">
        <v>11601</v>
      </c>
      <c r="AG619" s="1" t="s">
        <v>11602</v>
      </c>
      <c r="AH619" s="1" t="s">
        <v>281</v>
      </c>
      <c r="AI619" s="1" t="s">
        <v>409</v>
      </c>
      <c r="AJ619" s="1">
        <v>71.4</v>
      </c>
      <c r="AK619" s="1"/>
      <c r="AL619" s="1" t="s">
        <v>5757</v>
      </c>
      <c r="AM619" s="1" t="s">
        <v>9531</v>
      </c>
      <c r="AN619" s="1" t="s">
        <v>409</v>
      </c>
      <c r="AO619" s="1" t="s">
        <v>504</v>
      </c>
      <c r="AP619" s="1">
        <v>85.33</v>
      </c>
      <c r="AQ619" s="1"/>
      <c r="AR619" s="1"/>
      <c r="AS619" s="1"/>
      <c r="AT619" s="1"/>
      <c r="AU619" s="1"/>
      <c r="AV619" s="1"/>
      <c r="AW619" s="1"/>
      <c r="AX619" s="1" t="s">
        <v>102</v>
      </c>
      <c r="AY619" s="1" t="s">
        <v>11603</v>
      </c>
      <c r="AZ619" s="1" t="s">
        <v>1051</v>
      </c>
      <c r="BA619" s="1" t="s">
        <v>1584</v>
      </c>
      <c r="BB619" s="1">
        <v>62.7</v>
      </c>
      <c r="BC619" s="1">
        <v>6.77</v>
      </c>
      <c r="BD619" s="1"/>
      <c r="BE619" s="1"/>
      <c r="BF619" s="1"/>
      <c r="BG619" s="1"/>
      <c r="BH619" s="1"/>
      <c r="BI619" s="1"/>
      <c r="BJ619" s="1" t="s">
        <v>11604</v>
      </c>
      <c r="BK619" s="1"/>
      <c r="BL619" s="1"/>
      <c r="BM619" s="1" t="s">
        <v>11605</v>
      </c>
      <c r="BN619" s="1">
        <v>21</v>
      </c>
      <c r="BO619" s="1" t="s">
        <v>11606</v>
      </c>
      <c r="BP619" s="1" t="str">
        <f>HYPERLINK("https://nconnect.nicmar.ac.in/storage/profile/ProfilePhoto_P25700580_295186.jpg","Download")</f>
        <v>0</v>
      </c>
      <c r="BQ619" s="3"/>
      <c r="BR619" s="3"/>
    </row>
    <row r="620" spans="1:70">
      <c r="A620" s="1" t="s">
        <v>70</v>
      </c>
      <c r="B620" s="1" t="s">
        <v>1269</v>
      </c>
      <c r="C620" s="1" t="s">
        <v>11607</v>
      </c>
      <c r="D620" s="1" t="s">
        <v>11608</v>
      </c>
      <c r="E620" s="1" t="s">
        <v>11609</v>
      </c>
      <c r="F620" s="1" t="s">
        <v>11610</v>
      </c>
      <c r="G620" s="1" t="s">
        <v>11611</v>
      </c>
      <c r="H620" s="1" t="s">
        <v>11612</v>
      </c>
      <c r="I620" s="1" t="s">
        <v>11613</v>
      </c>
      <c r="J620" s="1">
        <v>8999391739</v>
      </c>
      <c r="K620" s="1" t="s">
        <v>148</v>
      </c>
      <c r="L620" s="1" t="s">
        <v>11614</v>
      </c>
      <c r="M620" s="1" t="s">
        <v>81</v>
      </c>
      <c r="N620" s="1" t="s">
        <v>11615</v>
      </c>
      <c r="O620" s="1"/>
      <c r="P620" s="1" t="s">
        <v>1298</v>
      </c>
      <c r="Q620" s="1" t="s">
        <v>11616</v>
      </c>
      <c r="R620" s="1" t="s">
        <v>11617</v>
      </c>
      <c r="S620" s="1">
        <v>8484086900</v>
      </c>
      <c r="T620" s="1" t="s">
        <v>496</v>
      </c>
      <c r="U620" s="1" t="s">
        <v>11618</v>
      </c>
      <c r="V620" s="1">
        <v>9096360330</v>
      </c>
      <c r="W620" s="1" t="s">
        <v>156</v>
      </c>
      <c r="X620" s="1" t="s">
        <v>11619</v>
      </c>
      <c r="Y620" s="1" t="s">
        <v>1887</v>
      </c>
      <c r="Z620" s="1" t="s">
        <v>92</v>
      </c>
      <c r="AA620" s="1" t="s">
        <v>11619</v>
      </c>
      <c r="AB620" s="1" t="s">
        <v>1887</v>
      </c>
      <c r="AC620" s="1" t="s">
        <v>92</v>
      </c>
      <c r="AD620" s="1">
        <v>8.23</v>
      </c>
      <c r="AE620" s="1" t="s">
        <v>93</v>
      </c>
      <c r="AF620" s="1" t="s">
        <v>11620</v>
      </c>
      <c r="AG620" s="1" t="s">
        <v>3484</v>
      </c>
      <c r="AH620" s="1" t="s">
        <v>281</v>
      </c>
      <c r="AI620" s="1" t="s">
        <v>409</v>
      </c>
      <c r="AJ620" s="1">
        <v>86.4</v>
      </c>
      <c r="AK620" s="1"/>
      <c r="AL620" s="1"/>
      <c r="AM620" s="1"/>
      <c r="AN620" s="1"/>
      <c r="AO620" s="1"/>
      <c r="AP620" s="1"/>
      <c r="AQ620" s="1"/>
      <c r="AR620" s="1" t="s">
        <v>98</v>
      </c>
      <c r="AS620" s="1" t="s">
        <v>11621</v>
      </c>
      <c r="AT620" s="1" t="s">
        <v>201</v>
      </c>
      <c r="AU620" s="1" t="s">
        <v>481</v>
      </c>
      <c r="AV620" s="1">
        <v>81.42</v>
      </c>
      <c r="AW620" s="1"/>
      <c r="AX620" s="1" t="s">
        <v>11622</v>
      </c>
      <c r="AY620" s="1" t="s">
        <v>11623</v>
      </c>
      <c r="AZ620" s="1" t="s">
        <v>105</v>
      </c>
      <c r="BA620" s="1" t="s">
        <v>1584</v>
      </c>
      <c r="BB620" s="1">
        <v>62.9</v>
      </c>
      <c r="BC620" s="1">
        <v>6.79</v>
      </c>
      <c r="BD620" s="1"/>
      <c r="BE620" s="1"/>
      <c r="BF620" s="1"/>
      <c r="BG620" s="1"/>
      <c r="BH620" s="1"/>
      <c r="BI620" s="1"/>
      <c r="BJ620" s="1" t="s">
        <v>11624</v>
      </c>
      <c r="BK620" s="1"/>
      <c r="BL620" s="1"/>
      <c r="BM620" s="1" t="s">
        <v>11625</v>
      </c>
      <c r="BN620" s="1">
        <v>8</v>
      </c>
      <c r="BO620" s="1" t="s">
        <v>11626</v>
      </c>
      <c r="BP620" s="1" t="str">
        <f>HYPERLINK("https://nconnect.nicmar.ac.in/storage/profile/ProfilePhoto_P25700581_985367.jpg","Download")</f>
        <v>0</v>
      </c>
      <c r="BQ620" s="3"/>
      <c r="BR620" s="3"/>
    </row>
    <row r="621" spans="1:70">
      <c r="A621" s="1" t="s">
        <v>70</v>
      </c>
      <c r="B621" s="1" t="s">
        <v>1269</v>
      </c>
      <c r="C621" s="1" t="s">
        <v>11627</v>
      </c>
      <c r="D621" s="1" t="s">
        <v>6949</v>
      </c>
      <c r="E621" s="1" t="s">
        <v>11628</v>
      </c>
      <c r="F621" s="1" t="s">
        <v>11629</v>
      </c>
      <c r="G621" s="1" t="s">
        <v>11630</v>
      </c>
      <c r="H621" s="1" t="s">
        <v>11631</v>
      </c>
      <c r="I621" s="1" t="s">
        <v>11632</v>
      </c>
      <c r="J621" s="1">
        <v>8849148767</v>
      </c>
      <c r="K621" s="1" t="s">
        <v>79</v>
      </c>
      <c r="L621" s="1" t="s">
        <v>5730</v>
      </c>
      <c r="M621" s="1" t="s">
        <v>81</v>
      </c>
      <c r="N621" s="1" t="s">
        <v>5991</v>
      </c>
      <c r="O621" s="1"/>
      <c r="P621" s="1" t="s">
        <v>1298</v>
      </c>
      <c r="Q621" s="1" t="s">
        <v>11633</v>
      </c>
      <c r="R621" s="1" t="s">
        <v>11628</v>
      </c>
      <c r="S621" s="1">
        <v>9428489738</v>
      </c>
      <c r="T621" s="1" t="s">
        <v>7444</v>
      </c>
      <c r="U621" s="1" t="s">
        <v>11634</v>
      </c>
      <c r="V621" s="1">
        <v>7383888802</v>
      </c>
      <c r="W621" s="1" t="s">
        <v>156</v>
      </c>
      <c r="X621" s="1" t="s">
        <v>11635</v>
      </c>
      <c r="Y621" s="1" t="s">
        <v>1018</v>
      </c>
      <c r="Z621" s="1" t="s">
        <v>92</v>
      </c>
      <c r="AA621" s="1" t="s">
        <v>11635</v>
      </c>
      <c r="AB621" s="1" t="s">
        <v>1018</v>
      </c>
      <c r="AC621" s="1" t="s">
        <v>92</v>
      </c>
      <c r="AD621" s="1">
        <v>8.44</v>
      </c>
      <c r="AE621" s="1" t="s">
        <v>93</v>
      </c>
      <c r="AF621" s="1" t="s">
        <v>11636</v>
      </c>
      <c r="AG621" s="1" t="s">
        <v>11637</v>
      </c>
      <c r="AH621" s="1" t="s">
        <v>456</v>
      </c>
      <c r="AI621" s="1" t="s">
        <v>195</v>
      </c>
      <c r="AJ621" s="1">
        <v>81.7</v>
      </c>
      <c r="AK621" s="1">
        <v>8.6</v>
      </c>
      <c r="AL621" s="1" t="s">
        <v>11638</v>
      </c>
      <c r="AM621" s="1" t="s">
        <v>11637</v>
      </c>
      <c r="AN621" s="1" t="s">
        <v>479</v>
      </c>
      <c r="AO621" s="1" t="s">
        <v>308</v>
      </c>
      <c r="AP621" s="1">
        <v>68.8</v>
      </c>
      <c r="AQ621" s="1"/>
      <c r="AR621" s="1"/>
      <c r="AS621" s="1"/>
      <c r="AT621" s="1"/>
      <c r="AU621" s="1"/>
      <c r="AV621" s="1"/>
      <c r="AW621" s="1"/>
      <c r="AX621" s="1" t="s">
        <v>5322</v>
      </c>
      <c r="AY621" s="1" t="s">
        <v>11639</v>
      </c>
      <c r="AZ621" s="1" t="s">
        <v>201</v>
      </c>
      <c r="BA621" s="1" t="s">
        <v>174</v>
      </c>
      <c r="BB621" s="1">
        <v>85.14</v>
      </c>
      <c r="BC621" s="1">
        <v>9.69</v>
      </c>
      <c r="BD621" s="1"/>
      <c r="BE621" s="1"/>
      <c r="BF621" s="1"/>
      <c r="BG621" s="1"/>
      <c r="BH621" s="1"/>
      <c r="BI621" s="1"/>
      <c r="BJ621" s="1" t="s">
        <v>364</v>
      </c>
      <c r="BK621" s="1" t="s">
        <v>11640</v>
      </c>
      <c r="BL621" s="1" t="s">
        <v>639</v>
      </c>
      <c r="BM621" s="1" t="s">
        <v>11641</v>
      </c>
      <c r="BN621" s="1">
        <v>4</v>
      </c>
      <c r="BO621" s="1"/>
      <c r="BP621" s="1" t="str">
        <f>HYPERLINK("https://nconnect.nicmar.ac.in/storage/profile/ProfilePhoto_P25700582_791845.jpg","Download")</f>
        <v>0</v>
      </c>
      <c r="BQ621" s="3"/>
      <c r="BR621" s="3"/>
    </row>
    <row r="622" spans="1:70">
      <c r="A622" s="1" t="s">
        <v>70</v>
      </c>
      <c r="B622" s="1" t="s">
        <v>1269</v>
      </c>
      <c r="C622" s="1" t="s">
        <v>11642</v>
      </c>
      <c r="D622" s="1" t="s">
        <v>367</v>
      </c>
      <c r="E622" s="1" t="s">
        <v>5986</v>
      </c>
      <c r="F622" s="1" t="s">
        <v>11643</v>
      </c>
      <c r="G622" s="1" t="s">
        <v>11644</v>
      </c>
      <c r="H622" s="1" t="s">
        <v>11645</v>
      </c>
      <c r="I622" s="1" t="s">
        <v>11646</v>
      </c>
      <c r="J622" s="1">
        <v>9130974324</v>
      </c>
      <c r="K622" s="1" t="s">
        <v>79</v>
      </c>
      <c r="L622" s="1" t="s">
        <v>6394</v>
      </c>
      <c r="M622" s="1" t="s">
        <v>81</v>
      </c>
      <c r="N622" s="1" t="s">
        <v>1765</v>
      </c>
      <c r="O622" s="1"/>
      <c r="P622" s="1" t="s">
        <v>1278</v>
      </c>
      <c r="Q622" s="1" t="s">
        <v>11647</v>
      </c>
      <c r="R622" s="1" t="s">
        <v>5986</v>
      </c>
      <c r="S622" s="1">
        <v>9011512929</v>
      </c>
      <c r="T622" s="1" t="s">
        <v>496</v>
      </c>
      <c r="U622" s="1" t="s">
        <v>11648</v>
      </c>
      <c r="V622" s="1">
        <v>7776907979</v>
      </c>
      <c r="W622" s="1" t="s">
        <v>496</v>
      </c>
      <c r="X622" s="1" t="s">
        <v>11649</v>
      </c>
      <c r="Y622" s="1" t="s">
        <v>4337</v>
      </c>
      <c r="Z622" s="1" t="s">
        <v>92</v>
      </c>
      <c r="AA622" s="1" t="s">
        <v>11649</v>
      </c>
      <c r="AB622" s="1" t="s">
        <v>4337</v>
      </c>
      <c r="AC622" s="1" t="s">
        <v>92</v>
      </c>
      <c r="AD622" s="1" t="s">
        <v>93</v>
      </c>
      <c r="AE622" s="1" t="s">
        <v>93</v>
      </c>
      <c r="AF622" s="1" t="s">
        <v>11650</v>
      </c>
      <c r="AG622" s="1" t="s">
        <v>11651</v>
      </c>
      <c r="AH622" s="1" t="s">
        <v>165</v>
      </c>
      <c r="AI622" s="1" t="s">
        <v>281</v>
      </c>
      <c r="AJ622" s="1">
        <v>85</v>
      </c>
      <c r="AK622" s="1"/>
      <c r="AL622" s="1" t="s">
        <v>11652</v>
      </c>
      <c r="AM622" s="1" t="s">
        <v>11651</v>
      </c>
      <c r="AN622" s="1" t="s">
        <v>433</v>
      </c>
      <c r="AO622" s="1" t="s">
        <v>360</v>
      </c>
      <c r="AP622" s="1">
        <v>69.23</v>
      </c>
      <c r="AQ622" s="1"/>
      <c r="AR622" s="1"/>
      <c r="AS622" s="1"/>
      <c r="AT622" s="1"/>
      <c r="AU622" s="1"/>
      <c r="AV622" s="1"/>
      <c r="AW622" s="1"/>
      <c r="AX622" s="1" t="s">
        <v>361</v>
      </c>
      <c r="AY622" s="1" t="s">
        <v>11653</v>
      </c>
      <c r="AZ622" s="1" t="s">
        <v>363</v>
      </c>
      <c r="BA622" s="1" t="s">
        <v>8434</v>
      </c>
      <c r="BB622" s="1">
        <v>65.9</v>
      </c>
      <c r="BC622" s="1">
        <v>7.34</v>
      </c>
      <c r="BD622" s="1"/>
      <c r="BE622" s="1"/>
      <c r="BF622" s="1"/>
      <c r="BG622" s="1"/>
      <c r="BH622" s="1"/>
      <c r="BI622" s="1"/>
      <c r="BJ622" s="1" t="s">
        <v>11654</v>
      </c>
      <c r="BK622" s="1"/>
      <c r="BL622" s="1"/>
      <c r="BM622" s="1" t="s">
        <v>11655</v>
      </c>
      <c r="BN622" s="1">
        <v>60</v>
      </c>
      <c r="BO622" s="1"/>
      <c r="BP622" s="1" t="str">
        <f>HYPERLINK("https://nconnect.nicmar.ac.in/storage/profile/ProfilePhoto_P25700583_527169.jpg","Download")</f>
        <v>0</v>
      </c>
      <c r="BQ622" s="3"/>
      <c r="BR622" s="3"/>
    </row>
    <row r="623" spans="1:70">
      <c r="A623" s="1" t="s">
        <v>70</v>
      </c>
      <c r="B623" s="1" t="s">
        <v>1269</v>
      </c>
      <c r="C623" s="1" t="s">
        <v>11656</v>
      </c>
      <c r="D623" s="1" t="s">
        <v>1206</v>
      </c>
      <c r="E623" s="1" t="s">
        <v>2767</v>
      </c>
      <c r="F623" s="1" t="s">
        <v>11657</v>
      </c>
      <c r="G623" s="1" t="s">
        <v>11658</v>
      </c>
      <c r="H623" s="1" t="s">
        <v>11659</v>
      </c>
      <c r="I623" s="1" t="s">
        <v>11660</v>
      </c>
      <c r="J623" s="1">
        <v>6360851156</v>
      </c>
      <c r="K623" s="1" t="s">
        <v>79</v>
      </c>
      <c r="L623" s="1" t="s">
        <v>11661</v>
      </c>
      <c r="M623" s="1" t="s">
        <v>81</v>
      </c>
      <c r="N623" s="1" t="s">
        <v>11662</v>
      </c>
      <c r="O623" s="1"/>
      <c r="P623" s="1" t="s">
        <v>1323</v>
      </c>
      <c r="Q623" s="1" t="s">
        <v>11663</v>
      </c>
      <c r="R623" s="1" t="s">
        <v>11664</v>
      </c>
      <c r="S623" s="1">
        <v>9964110480</v>
      </c>
      <c r="T623" s="1" t="s">
        <v>11665</v>
      </c>
      <c r="U623" s="1" t="s">
        <v>11666</v>
      </c>
      <c r="V623" s="1">
        <v>9449551923</v>
      </c>
      <c r="W623" s="1" t="s">
        <v>156</v>
      </c>
      <c r="X623" s="1" t="s">
        <v>11667</v>
      </c>
      <c r="Y623" s="1" t="s">
        <v>5193</v>
      </c>
      <c r="Z623" s="1" t="s">
        <v>1084</v>
      </c>
      <c r="AA623" s="1" t="s">
        <v>11667</v>
      </c>
      <c r="AB623" s="1" t="s">
        <v>5193</v>
      </c>
      <c r="AC623" s="1" t="s">
        <v>1084</v>
      </c>
      <c r="AD623" s="1">
        <v>7.98</v>
      </c>
      <c r="AE623" s="1" t="s">
        <v>93</v>
      </c>
      <c r="AF623" s="1" t="s">
        <v>11668</v>
      </c>
      <c r="AG623" s="1" t="s">
        <v>11669</v>
      </c>
      <c r="AH623" s="1" t="s">
        <v>527</v>
      </c>
      <c r="AI623" s="1" t="s">
        <v>678</v>
      </c>
      <c r="AJ623" s="1">
        <v>64</v>
      </c>
      <c r="AK623" s="1"/>
      <c r="AL623" s="1"/>
      <c r="AM623" s="1"/>
      <c r="AN623" s="1"/>
      <c r="AO623" s="1"/>
      <c r="AP623" s="1"/>
      <c r="AQ623" s="1"/>
      <c r="AR623" s="1" t="s">
        <v>98</v>
      </c>
      <c r="AS623" s="1" t="s">
        <v>11670</v>
      </c>
      <c r="AT623" s="1" t="s">
        <v>6279</v>
      </c>
      <c r="AU623" s="1" t="s">
        <v>2463</v>
      </c>
      <c r="AV623" s="1">
        <v>68.7</v>
      </c>
      <c r="AW623" s="1"/>
      <c r="AX623" s="1" t="s">
        <v>1088</v>
      </c>
      <c r="AY623" s="1" t="s">
        <v>11671</v>
      </c>
      <c r="AZ623" s="1" t="s">
        <v>170</v>
      </c>
      <c r="BA623" s="1" t="s">
        <v>8434</v>
      </c>
      <c r="BB623" s="1">
        <v>70.3</v>
      </c>
      <c r="BC623" s="1">
        <v>7.78</v>
      </c>
      <c r="BD623" s="1"/>
      <c r="BE623" s="1"/>
      <c r="BF623" s="1"/>
      <c r="BG623" s="1"/>
      <c r="BH623" s="1"/>
      <c r="BI623" s="1"/>
      <c r="BJ623" s="1" t="s">
        <v>11672</v>
      </c>
      <c r="BK623" s="1"/>
      <c r="BL623" s="1"/>
      <c r="BM623" s="1" t="s">
        <v>11673</v>
      </c>
      <c r="BN623" s="1">
        <v>24</v>
      </c>
      <c r="BO623" s="1" t="s">
        <v>11674</v>
      </c>
      <c r="BP623" s="1" t="str">
        <f>HYPERLINK("https://nconnect.nicmar.ac.in/storage/profile/ProfilePhoto_P25700585_357829.jpg","Download")</f>
        <v>0</v>
      </c>
      <c r="BQ623" s="3"/>
      <c r="BR623" s="3"/>
    </row>
    <row r="624" spans="1:70">
      <c r="A624" s="1" t="s">
        <v>70</v>
      </c>
      <c r="B624" s="1" t="s">
        <v>1269</v>
      </c>
      <c r="C624" s="1" t="s">
        <v>11675</v>
      </c>
      <c r="D624" s="1" t="s">
        <v>11676</v>
      </c>
      <c r="E624" s="1" t="s">
        <v>3251</v>
      </c>
      <c r="F624" s="1" t="s">
        <v>11677</v>
      </c>
      <c r="G624" s="1" t="s">
        <v>11678</v>
      </c>
      <c r="H624" s="1" t="s">
        <v>11679</v>
      </c>
      <c r="I624" s="1" t="s">
        <v>11680</v>
      </c>
      <c r="J624" s="1">
        <v>8767204123</v>
      </c>
      <c r="K624" s="1" t="s">
        <v>148</v>
      </c>
      <c r="L624" s="1" t="s">
        <v>9872</v>
      </c>
      <c r="M624" s="1" t="s">
        <v>81</v>
      </c>
      <c r="N624" s="1" t="s">
        <v>1765</v>
      </c>
      <c r="O624" s="1"/>
      <c r="P624" s="1" t="s">
        <v>1278</v>
      </c>
      <c r="Q624" s="1" t="s">
        <v>11681</v>
      </c>
      <c r="R624" s="1" t="s">
        <v>11682</v>
      </c>
      <c r="S624" s="1">
        <v>9167759199</v>
      </c>
      <c r="T624" s="1" t="s">
        <v>120</v>
      </c>
      <c r="U624" s="1" t="s">
        <v>11683</v>
      </c>
      <c r="V624" s="1">
        <v>9167759198</v>
      </c>
      <c r="W624" s="1" t="s">
        <v>89</v>
      </c>
      <c r="X624" s="1" t="s">
        <v>11684</v>
      </c>
      <c r="Y624" s="1" t="s">
        <v>191</v>
      </c>
      <c r="Z624" s="1" t="s">
        <v>92</v>
      </c>
      <c r="AA624" s="1" t="s">
        <v>11685</v>
      </c>
      <c r="AB624" s="1" t="s">
        <v>1623</v>
      </c>
      <c r="AC624" s="1" t="s">
        <v>92</v>
      </c>
      <c r="AD624" s="1">
        <v>8.08</v>
      </c>
      <c r="AE624" s="1" t="s">
        <v>93</v>
      </c>
      <c r="AF624" s="1" t="s">
        <v>11686</v>
      </c>
      <c r="AG624" s="1" t="s">
        <v>8066</v>
      </c>
      <c r="AH624" s="1" t="s">
        <v>162</v>
      </c>
      <c r="AI624" s="1" t="s">
        <v>195</v>
      </c>
      <c r="AJ624" s="1">
        <v>95</v>
      </c>
      <c r="AK624" s="1"/>
      <c r="AL624" s="1" t="s">
        <v>11687</v>
      </c>
      <c r="AM624" s="1" t="s">
        <v>8066</v>
      </c>
      <c r="AN624" s="1" t="s">
        <v>165</v>
      </c>
      <c r="AO624" s="1" t="s">
        <v>198</v>
      </c>
      <c r="AP624" s="1">
        <v>73.23</v>
      </c>
      <c r="AQ624" s="1"/>
      <c r="AR624" s="1"/>
      <c r="AS624" s="1"/>
      <c r="AT624" s="1"/>
      <c r="AU624" s="1"/>
      <c r="AV624" s="1"/>
      <c r="AW624" s="1"/>
      <c r="AX624" s="1" t="s">
        <v>253</v>
      </c>
      <c r="AY624" s="1" t="s">
        <v>11688</v>
      </c>
      <c r="AZ624" s="1" t="s">
        <v>310</v>
      </c>
      <c r="BA624" s="1" t="s">
        <v>413</v>
      </c>
      <c r="BB624" s="1">
        <v>74.01</v>
      </c>
      <c r="BC624" s="1">
        <v>8.38</v>
      </c>
      <c r="BD624" s="1"/>
      <c r="BE624" s="1"/>
      <c r="BF624" s="1"/>
      <c r="BG624" s="1"/>
      <c r="BH624" s="1"/>
      <c r="BI624" s="1"/>
      <c r="BJ624" s="1" t="s">
        <v>11689</v>
      </c>
      <c r="BK624" s="1"/>
      <c r="BL624" s="1"/>
      <c r="BM624" s="1" t="s">
        <v>11690</v>
      </c>
      <c r="BN624" s="1">
        <v>23</v>
      </c>
      <c r="BO624" s="1" t="s">
        <v>11691</v>
      </c>
      <c r="BP624" s="1" t="str">
        <f>HYPERLINK("https://nconnect.nicmar.ac.in/storage/profile/ProfilePhoto_P25700586_826451.jpg","Download")</f>
        <v>0</v>
      </c>
      <c r="BQ624" s="3"/>
      <c r="BR624" s="3"/>
    </row>
    <row r="625" spans="1:70">
      <c r="A625" s="1" t="s">
        <v>70</v>
      </c>
      <c r="B625" s="1" t="s">
        <v>1269</v>
      </c>
      <c r="C625" s="1" t="s">
        <v>11692</v>
      </c>
      <c r="D625" s="1" t="s">
        <v>11693</v>
      </c>
      <c r="E625" s="1" t="s">
        <v>11694</v>
      </c>
      <c r="F625" s="1" t="s">
        <v>3911</v>
      </c>
      <c r="G625" s="1" t="s">
        <v>11695</v>
      </c>
      <c r="H625" s="1" t="s">
        <v>11696</v>
      </c>
      <c r="I625" s="1" t="s">
        <v>11697</v>
      </c>
      <c r="J625" s="1">
        <v>8788278658</v>
      </c>
      <c r="K625" s="1" t="s">
        <v>79</v>
      </c>
      <c r="L625" s="1" t="s">
        <v>11698</v>
      </c>
      <c r="M625" s="1" t="s">
        <v>81</v>
      </c>
      <c r="N625" s="1" t="s">
        <v>1930</v>
      </c>
      <c r="O625" s="1"/>
      <c r="P625" s="1" t="s">
        <v>1323</v>
      </c>
      <c r="Q625" s="1" t="s">
        <v>11699</v>
      </c>
      <c r="R625" s="1" t="s">
        <v>11700</v>
      </c>
      <c r="S625" s="1">
        <v>9822923991</v>
      </c>
      <c r="T625" s="1" t="s">
        <v>154</v>
      </c>
      <c r="U625" s="1" t="s">
        <v>11701</v>
      </c>
      <c r="V625" s="1">
        <v>9404509307</v>
      </c>
      <c r="W625" s="1" t="s">
        <v>156</v>
      </c>
      <c r="X625" s="1" t="s">
        <v>11702</v>
      </c>
      <c r="Y625" s="1" t="s">
        <v>328</v>
      </c>
      <c r="Z625" s="1" t="s">
        <v>92</v>
      </c>
      <c r="AA625" s="1" t="s">
        <v>11702</v>
      </c>
      <c r="AB625" s="1" t="s">
        <v>328</v>
      </c>
      <c r="AC625" s="1" t="s">
        <v>92</v>
      </c>
      <c r="AD625" s="1">
        <v>8.01</v>
      </c>
      <c r="AE625" s="1" t="s">
        <v>93</v>
      </c>
      <c r="AF625" s="1" t="s">
        <v>11703</v>
      </c>
      <c r="AG625" s="1" t="s">
        <v>160</v>
      </c>
      <c r="AH625" s="1" t="s">
        <v>165</v>
      </c>
      <c r="AI625" s="1" t="s">
        <v>281</v>
      </c>
      <c r="AJ625" s="1">
        <v>75.8</v>
      </c>
      <c r="AK625" s="1"/>
      <c r="AL625" s="1" t="s">
        <v>11704</v>
      </c>
      <c r="AM625" s="1" t="s">
        <v>160</v>
      </c>
      <c r="AN625" s="1" t="s">
        <v>198</v>
      </c>
      <c r="AO625" s="1" t="s">
        <v>360</v>
      </c>
      <c r="AP625" s="1">
        <v>73.85</v>
      </c>
      <c r="AQ625" s="1"/>
      <c r="AR625" s="1"/>
      <c r="AS625" s="1"/>
      <c r="AT625" s="1"/>
      <c r="AU625" s="1"/>
      <c r="AV625" s="1"/>
      <c r="AW625" s="1"/>
      <c r="AX625" s="1" t="s">
        <v>11705</v>
      </c>
      <c r="AY625" s="1" t="s">
        <v>11706</v>
      </c>
      <c r="AZ625" s="1" t="s">
        <v>699</v>
      </c>
      <c r="BA625" s="1" t="s">
        <v>202</v>
      </c>
      <c r="BB625" s="1">
        <v>68.9</v>
      </c>
      <c r="BC625" s="1">
        <v>7.64</v>
      </c>
      <c r="BD625" s="1"/>
      <c r="BE625" s="1"/>
      <c r="BF625" s="1"/>
      <c r="BG625" s="1"/>
      <c r="BH625" s="1"/>
      <c r="BI625" s="1"/>
      <c r="BJ625" s="1" t="s">
        <v>11707</v>
      </c>
      <c r="BK625" s="1"/>
      <c r="BL625" s="1"/>
      <c r="BM625" s="1" t="s">
        <v>11708</v>
      </c>
      <c r="BN625" s="1">
        <v>42</v>
      </c>
      <c r="BO625" s="1"/>
      <c r="BP625" s="1" t="str">
        <f>HYPERLINK("https://nconnect.nicmar.ac.in/storage/profile/ProfilePhoto_P25700587_216584.jpg","Download")</f>
        <v>0</v>
      </c>
      <c r="BQ625" s="3"/>
      <c r="BR625" s="3"/>
    </row>
    <row r="626" spans="1:70">
      <c r="A626" s="1" t="s">
        <v>70</v>
      </c>
      <c r="B626" s="1" t="s">
        <v>1269</v>
      </c>
      <c r="C626" s="1" t="s">
        <v>11709</v>
      </c>
      <c r="D626" s="1" t="s">
        <v>11710</v>
      </c>
      <c r="E626" s="1"/>
      <c r="F626" s="1" t="s">
        <v>11711</v>
      </c>
      <c r="G626" s="1" t="s">
        <v>11712</v>
      </c>
      <c r="H626" s="1" t="s">
        <v>11713</v>
      </c>
      <c r="I626" s="1" t="s">
        <v>11714</v>
      </c>
      <c r="J626" s="1">
        <v>9686028662</v>
      </c>
      <c r="K626" s="1" t="s">
        <v>148</v>
      </c>
      <c r="L626" s="1" t="s">
        <v>11715</v>
      </c>
      <c r="M626" s="1" t="s">
        <v>81</v>
      </c>
      <c r="N626" s="1" t="s">
        <v>4962</v>
      </c>
      <c r="O626" s="1"/>
      <c r="P626" s="1" t="s">
        <v>1298</v>
      </c>
      <c r="Q626" s="1" t="s">
        <v>11716</v>
      </c>
      <c r="R626" s="1" t="s">
        <v>11717</v>
      </c>
      <c r="S626" s="1">
        <v>9844658446</v>
      </c>
      <c r="T626" s="1" t="s">
        <v>520</v>
      </c>
      <c r="U626" s="1" t="s">
        <v>11718</v>
      </c>
      <c r="V626" s="1">
        <v>9900314017</v>
      </c>
      <c r="W626" s="1" t="s">
        <v>89</v>
      </c>
      <c r="X626" s="1" t="s">
        <v>11719</v>
      </c>
      <c r="Y626" s="1" t="s">
        <v>1083</v>
      </c>
      <c r="Z626" s="1" t="s">
        <v>1084</v>
      </c>
      <c r="AA626" s="1" t="s">
        <v>11719</v>
      </c>
      <c r="AB626" s="1" t="s">
        <v>1083</v>
      </c>
      <c r="AC626" s="1" t="s">
        <v>1084</v>
      </c>
      <c r="AD626" s="1">
        <v>9.1</v>
      </c>
      <c r="AE626" s="1" t="s">
        <v>93</v>
      </c>
      <c r="AF626" s="1" t="s">
        <v>11720</v>
      </c>
      <c r="AG626" s="1" t="s">
        <v>307</v>
      </c>
      <c r="AH626" s="1" t="s">
        <v>162</v>
      </c>
      <c r="AI626" s="1" t="s">
        <v>165</v>
      </c>
      <c r="AJ626" s="1">
        <v>85.5</v>
      </c>
      <c r="AK626" s="1">
        <v>9</v>
      </c>
      <c r="AL626" s="1" t="s">
        <v>11721</v>
      </c>
      <c r="AM626" s="1" t="s">
        <v>11722</v>
      </c>
      <c r="AN626" s="1" t="s">
        <v>101</v>
      </c>
      <c r="AO626" s="1" t="s">
        <v>1065</v>
      </c>
      <c r="AP626" s="1">
        <v>79</v>
      </c>
      <c r="AQ626" s="1"/>
      <c r="AR626" s="1"/>
      <c r="AS626" s="1"/>
      <c r="AT626" s="1"/>
      <c r="AU626" s="1"/>
      <c r="AV626" s="1"/>
      <c r="AW626" s="1"/>
      <c r="AX626" s="1" t="s">
        <v>4969</v>
      </c>
      <c r="AY626" s="1" t="s">
        <v>11723</v>
      </c>
      <c r="AZ626" s="1" t="s">
        <v>201</v>
      </c>
      <c r="BA626" s="1" t="s">
        <v>1939</v>
      </c>
      <c r="BB626" s="1">
        <v>68.8</v>
      </c>
      <c r="BC626" s="1">
        <v>7.63</v>
      </c>
      <c r="BD626" s="1"/>
      <c r="BE626" s="1"/>
      <c r="BF626" s="1"/>
      <c r="BG626" s="1"/>
      <c r="BH626" s="1"/>
      <c r="BI626" s="1"/>
      <c r="BJ626" s="1" t="s">
        <v>11724</v>
      </c>
      <c r="BK626" s="1" t="s">
        <v>11725</v>
      </c>
      <c r="BL626" s="1" t="s">
        <v>619</v>
      </c>
      <c r="BM626" s="1" t="s">
        <v>11726</v>
      </c>
      <c r="BN626" s="1">
        <v>24</v>
      </c>
      <c r="BO626" s="1" t="s">
        <v>11727</v>
      </c>
      <c r="BP626" s="1" t="str">
        <f>HYPERLINK("https://nconnect.nicmar.ac.in/storage/profile/ProfilePhoto_P25700588_849236.jpg","Download")</f>
        <v>0</v>
      </c>
      <c r="BQ626" s="3"/>
      <c r="BR626" s="3"/>
    </row>
    <row r="627" spans="1:70">
      <c r="A627" s="1" t="s">
        <v>70</v>
      </c>
      <c r="B627" s="1" t="s">
        <v>1269</v>
      </c>
      <c r="C627" s="1" t="s">
        <v>11728</v>
      </c>
      <c r="D627" s="1" t="s">
        <v>643</v>
      </c>
      <c r="E627" s="1"/>
      <c r="F627" s="1" t="s">
        <v>11729</v>
      </c>
      <c r="G627" s="1" t="s">
        <v>11730</v>
      </c>
      <c r="H627" s="1" t="s">
        <v>11731</v>
      </c>
      <c r="I627" s="1" t="s">
        <v>11732</v>
      </c>
      <c r="J627" s="1">
        <v>8890169699</v>
      </c>
      <c r="K627" s="1" t="s">
        <v>79</v>
      </c>
      <c r="L627" s="1" t="s">
        <v>11733</v>
      </c>
      <c r="M627" s="1" t="s">
        <v>81</v>
      </c>
      <c r="N627" s="1" t="s">
        <v>2880</v>
      </c>
      <c r="O627" s="1"/>
      <c r="P627" s="1" t="s">
        <v>1323</v>
      </c>
      <c r="Q627" s="1" t="s">
        <v>11734</v>
      </c>
      <c r="R627" s="1" t="s">
        <v>11735</v>
      </c>
      <c r="S627" s="1">
        <v>8619349481</v>
      </c>
      <c r="T627" s="1" t="s">
        <v>120</v>
      </c>
      <c r="U627" s="1" t="s">
        <v>11736</v>
      </c>
      <c r="V627" s="1">
        <v>9413764080</v>
      </c>
      <c r="W627" s="1" t="s">
        <v>89</v>
      </c>
      <c r="X627" s="1" t="s">
        <v>11737</v>
      </c>
      <c r="Y627" s="1" t="s">
        <v>866</v>
      </c>
      <c r="Z627" s="1" t="s">
        <v>867</v>
      </c>
      <c r="AA627" s="1" t="s">
        <v>11737</v>
      </c>
      <c r="AB627" s="1" t="s">
        <v>866</v>
      </c>
      <c r="AC627" s="1" t="s">
        <v>867</v>
      </c>
      <c r="AD627" s="1">
        <v>8.24</v>
      </c>
      <c r="AE627" s="1" t="s">
        <v>93</v>
      </c>
      <c r="AF627" s="1" t="s">
        <v>11738</v>
      </c>
      <c r="AG627" s="1" t="s">
        <v>11739</v>
      </c>
      <c r="AH627" s="1" t="s">
        <v>131</v>
      </c>
      <c r="AI627" s="1" t="s">
        <v>527</v>
      </c>
      <c r="AJ627" s="1">
        <v>89.3</v>
      </c>
      <c r="AK627" s="1">
        <v>9.4</v>
      </c>
      <c r="AL627" s="1" t="s">
        <v>11740</v>
      </c>
      <c r="AM627" s="1" t="s">
        <v>11741</v>
      </c>
      <c r="AN627" s="1" t="s">
        <v>479</v>
      </c>
      <c r="AO627" s="1" t="s">
        <v>166</v>
      </c>
      <c r="AP627" s="1">
        <v>68.8</v>
      </c>
      <c r="AQ627" s="1"/>
      <c r="AR627" s="1"/>
      <c r="AS627" s="1"/>
      <c r="AT627" s="1"/>
      <c r="AU627" s="1"/>
      <c r="AV627" s="1"/>
      <c r="AW627" s="1"/>
      <c r="AX627" s="1" t="s">
        <v>4565</v>
      </c>
      <c r="AY627" s="1" t="s">
        <v>11742</v>
      </c>
      <c r="AZ627" s="1" t="s">
        <v>169</v>
      </c>
      <c r="BA627" s="1" t="s">
        <v>481</v>
      </c>
      <c r="BB627" s="1">
        <v>84.6</v>
      </c>
      <c r="BC627" s="1">
        <v>8.46</v>
      </c>
      <c r="BD627" s="1"/>
      <c r="BE627" s="1"/>
      <c r="BF627" s="1"/>
      <c r="BG627" s="1"/>
      <c r="BH627" s="1"/>
      <c r="BI627" s="1"/>
      <c r="BJ627" s="1" t="s">
        <v>11743</v>
      </c>
      <c r="BK627" s="1" t="s">
        <v>11744</v>
      </c>
      <c r="BL627" s="1" t="s">
        <v>1920</v>
      </c>
      <c r="BM627" s="1" t="s">
        <v>11745</v>
      </c>
      <c r="BN627" s="1">
        <v>25</v>
      </c>
      <c r="BO627" s="1"/>
      <c r="BP627" s="1" t="str">
        <f>HYPERLINK("https://nconnect.nicmar.ac.in/storage/profile/ProfilePhoto_P25700589_315784.jpg","Download")</f>
        <v>0</v>
      </c>
      <c r="BQ627" s="3"/>
      <c r="BR627" s="3"/>
    </row>
    <row r="628" spans="1:70">
      <c r="A628" s="1" t="s">
        <v>70</v>
      </c>
      <c r="B628" s="1" t="s">
        <v>1269</v>
      </c>
      <c r="C628" s="1" t="s">
        <v>11746</v>
      </c>
      <c r="D628" s="1" t="s">
        <v>10052</v>
      </c>
      <c r="E628" s="1" t="s">
        <v>596</v>
      </c>
      <c r="F628" s="1" t="s">
        <v>4699</v>
      </c>
      <c r="G628" s="1" t="s">
        <v>11747</v>
      </c>
      <c r="H628" s="1" t="s">
        <v>11748</v>
      </c>
      <c r="I628" s="1" t="s">
        <v>11749</v>
      </c>
      <c r="J628" s="1">
        <v>9778888438</v>
      </c>
      <c r="K628" s="1" t="s">
        <v>79</v>
      </c>
      <c r="L628" s="1" t="s">
        <v>11750</v>
      </c>
      <c r="M628" s="1" t="s">
        <v>81</v>
      </c>
      <c r="N628" s="1" t="s">
        <v>1724</v>
      </c>
      <c r="O628" s="1"/>
      <c r="P628" s="1" t="s">
        <v>1766</v>
      </c>
      <c r="Q628" s="1" t="s">
        <v>11751</v>
      </c>
      <c r="R628" s="1" t="s">
        <v>11752</v>
      </c>
      <c r="S628" s="1">
        <v>9556882551</v>
      </c>
      <c r="T628" s="1" t="s">
        <v>87</v>
      </c>
      <c r="U628" s="1" t="s">
        <v>11753</v>
      </c>
      <c r="V628" s="1">
        <v>9348985862</v>
      </c>
      <c r="W628" s="1" t="s">
        <v>156</v>
      </c>
      <c r="X628" s="1" t="s">
        <v>11754</v>
      </c>
      <c r="Y628" s="1" t="s">
        <v>11755</v>
      </c>
      <c r="Z628" s="1" t="s">
        <v>1731</v>
      </c>
      <c r="AA628" s="1" t="s">
        <v>11754</v>
      </c>
      <c r="AB628" s="1" t="s">
        <v>11755</v>
      </c>
      <c r="AC628" s="1" t="s">
        <v>1731</v>
      </c>
      <c r="AD628" s="1">
        <v>8.54</v>
      </c>
      <c r="AE628" s="1" t="s">
        <v>93</v>
      </c>
      <c r="AF628" s="1" t="s">
        <v>11756</v>
      </c>
      <c r="AG628" s="1" t="s">
        <v>11757</v>
      </c>
      <c r="AH628" s="1" t="s">
        <v>131</v>
      </c>
      <c r="AI628" s="1" t="s">
        <v>527</v>
      </c>
      <c r="AJ628" s="1">
        <v>91.2</v>
      </c>
      <c r="AK628" s="1">
        <v>9.6</v>
      </c>
      <c r="AL628" s="1" t="s">
        <v>11756</v>
      </c>
      <c r="AM628" s="1" t="s">
        <v>11757</v>
      </c>
      <c r="AN628" s="1" t="s">
        <v>479</v>
      </c>
      <c r="AO628" s="1" t="s">
        <v>101</v>
      </c>
      <c r="AP628" s="1">
        <v>80.6</v>
      </c>
      <c r="AQ628" s="1"/>
      <c r="AR628" s="1"/>
      <c r="AS628" s="1"/>
      <c r="AT628" s="1"/>
      <c r="AU628" s="1"/>
      <c r="AV628" s="1"/>
      <c r="AW628" s="1"/>
      <c r="AX628" s="1" t="s">
        <v>5215</v>
      </c>
      <c r="AY628" s="1" t="s">
        <v>11758</v>
      </c>
      <c r="AZ628" s="1" t="s">
        <v>173</v>
      </c>
      <c r="BA628" s="1" t="s">
        <v>944</v>
      </c>
      <c r="BB628" s="1">
        <v>65.8</v>
      </c>
      <c r="BC628" s="1">
        <v>7.08</v>
      </c>
      <c r="BD628" s="1"/>
      <c r="BE628" s="1"/>
      <c r="BF628" s="1"/>
      <c r="BG628" s="1"/>
      <c r="BH628" s="1"/>
      <c r="BI628" s="1"/>
      <c r="BJ628" s="1" t="s">
        <v>1383</v>
      </c>
      <c r="BK628" s="1"/>
      <c r="BL628" s="1"/>
      <c r="BM628" s="1" t="s">
        <v>11759</v>
      </c>
      <c r="BN628" s="1">
        <v>13</v>
      </c>
      <c r="BO628" s="1" t="s">
        <v>11760</v>
      </c>
      <c r="BP628" s="1" t="str">
        <f>HYPERLINK("https://nconnect.nicmar.ac.in/storage/profile/ProfilePhoto_P25700590_136924.jpg","Download")</f>
        <v>0</v>
      </c>
      <c r="BQ628" s="3"/>
      <c r="BR628" s="3"/>
    </row>
    <row r="629" spans="1:70">
      <c r="A629" s="1" t="s">
        <v>70</v>
      </c>
      <c r="B629" s="1" t="s">
        <v>1269</v>
      </c>
      <c r="C629" s="1" t="s">
        <v>11761</v>
      </c>
      <c r="D629" s="1" t="s">
        <v>11762</v>
      </c>
      <c r="E629" s="1" t="s">
        <v>11763</v>
      </c>
      <c r="F629" s="1" t="s">
        <v>11764</v>
      </c>
      <c r="G629" s="1" t="s">
        <v>11765</v>
      </c>
      <c r="H629" s="1" t="s">
        <v>11766</v>
      </c>
      <c r="I629" s="1" t="s">
        <v>11767</v>
      </c>
      <c r="J629" s="1">
        <v>7058619818</v>
      </c>
      <c r="K629" s="1" t="s">
        <v>79</v>
      </c>
      <c r="L629" s="1" t="s">
        <v>11768</v>
      </c>
      <c r="M629" s="1" t="s">
        <v>81</v>
      </c>
      <c r="N629" s="1" t="s">
        <v>11769</v>
      </c>
      <c r="O629" s="1"/>
      <c r="P629" s="1" t="s">
        <v>1278</v>
      </c>
      <c r="Q629" s="1" t="s">
        <v>11770</v>
      </c>
      <c r="R629" s="1" t="s">
        <v>11771</v>
      </c>
      <c r="S629" s="1">
        <v>8806477198</v>
      </c>
      <c r="T629" s="1" t="s">
        <v>11772</v>
      </c>
      <c r="U629" s="1" t="s">
        <v>11773</v>
      </c>
      <c r="V629" s="1">
        <v>7058375013</v>
      </c>
      <c r="W629" s="1" t="s">
        <v>11774</v>
      </c>
      <c r="X629" s="1" t="s">
        <v>11775</v>
      </c>
      <c r="Y629" s="1" t="s">
        <v>2790</v>
      </c>
      <c r="Z629" s="1" t="s">
        <v>92</v>
      </c>
      <c r="AA629" s="1" t="s">
        <v>11775</v>
      </c>
      <c r="AB629" s="1" t="s">
        <v>2790</v>
      </c>
      <c r="AC629" s="1" t="s">
        <v>92</v>
      </c>
      <c r="AD629" s="1">
        <v>8.54</v>
      </c>
      <c r="AE629" s="1" t="s">
        <v>93</v>
      </c>
      <c r="AF629" s="1" t="s">
        <v>11776</v>
      </c>
      <c r="AG629" s="1" t="s">
        <v>160</v>
      </c>
      <c r="AH629" s="1" t="s">
        <v>162</v>
      </c>
      <c r="AI629" s="1" t="s">
        <v>383</v>
      </c>
      <c r="AJ629" s="1">
        <v>90.8</v>
      </c>
      <c r="AK629" s="1">
        <v>0</v>
      </c>
      <c r="AL629" s="1" t="s">
        <v>11777</v>
      </c>
      <c r="AM629" s="1" t="s">
        <v>160</v>
      </c>
      <c r="AN629" s="1" t="s">
        <v>101</v>
      </c>
      <c r="AO629" s="1" t="s">
        <v>198</v>
      </c>
      <c r="AP629" s="1">
        <v>58</v>
      </c>
      <c r="AQ629" s="1">
        <v>0</v>
      </c>
      <c r="AR629" s="1" t="s">
        <v>98</v>
      </c>
      <c r="AS629" s="1" t="s">
        <v>11778</v>
      </c>
      <c r="AT629" s="1" t="s">
        <v>433</v>
      </c>
      <c r="AU629" s="1" t="s">
        <v>436</v>
      </c>
      <c r="AV629" s="1">
        <v>87.47</v>
      </c>
      <c r="AW629" s="1">
        <v>0</v>
      </c>
      <c r="AX629" s="1" t="s">
        <v>4506</v>
      </c>
      <c r="AY629" s="1" t="s">
        <v>11779</v>
      </c>
      <c r="AZ629" s="1" t="s">
        <v>897</v>
      </c>
      <c r="BA629" s="1" t="s">
        <v>202</v>
      </c>
      <c r="BB629" s="1">
        <v>70.5</v>
      </c>
      <c r="BC629" s="1">
        <v>7.8</v>
      </c>
      <c r="BD629" s="1"/>
      <c r="BE629" s="1"/>
      <c r="BF629" s="1"/>
      <c r="BG629" s="1"/>
      <c r="BH629" s="1"/>
      <c r="BI629" s="1"/>
      <c r="BJ629" s="1" t="s">
        <v>11780</v>
      </c>
      <c r="BK629" s="1" t="s">
        <v>11781</v>
      </c>
      <c r="BL629" s="1" t="s">
        <v>1475</v>
      </c>
      <c r="BM629" s="1" t="s">
        <v>11782</v>
      </c>
      <c r="BN629" s="1">
        <v>30</v>
      </c>
      <c r="BO629" s="1"/>
      <c r="BP629" s="1" t="str">
        <f>HYPERLINK("https://nconnect.nicmar.ac.in/storage/profile/ProfilePhoto_P25700591_413927.jpg","Download")</f>
        <v>0</v>
      </c>
      <c r="BQ629" s="3"/>
      <c r="BR629" s="3"/>
    </row>
    <row r="630" spans="1:70">
      <c r="A630" s="1" t="s">
        <v>70</v>
      </c>
      <c r="B630" s="1" t="s">
        <v>1269</v>
      </c>
      <c r="C630" s="1" t="s">
        <v>11783</v>
      </c>
      <c r="D630" s="1" t="s">
        <v>580</v>
      </c>
      <c r="E630" s="1"/>
      <c r="F630" s="1" t="s">
        <v>835</v>
      </c>
      <c r="G630" s="1" t="s">
        <v>11784</v>
      </c>
      <c r="H630" s="1" t="s">
        <v>11785</v>
      </c>
      <c r="I630" s="1" t="s">
        <v>11786</v>
      </c>
      <c r="J630" s="1">
        <v>7876584754</v>
      </c>
      <c r="K630" s="1" t="s">
        <v>79</v>
      </c>
      <c r="L630" s="1" t="s">
        <v>11787</v>
      </c>
      <c r="M630" s="1" t="s">
        <v>81</v>
      </c>
      <c r="N630" s="1" t="s">
        <v>493</v>
      </c>
      <c r="O630" s="1"/>
      <c r="P630" s="1" t="s">
        <v>1298</v>
      </c>
      <c r="Q630" s="1" t="s">
        <v>11788</v>
      </c>
      <c r="R630" s="1" t="s">
        <v>11789</v>
      </c>
      <c r="S630" s="1">
        <v>9418893004</v>
      </c>
      <c r="T630" s="1" t="s">
        <v>2397</v>
      </c>
      <c r="U630" s="1" t="s">
        <v>11790</v>
      </c>
      <c r="V630" s="1">
        <v>9418421722</v>
      </c>
      <c r="W630" s="1" t="s">
        <v>11791</v>
      </c>
      <c r="X630" s="1" t="s">
        <v>11792</v>
      </c>
      <c r="Y630" s="1" t="s">
        <v>191</v>
      </c>
      <c r="Z630" s="1" t="s">
        <v>92</v>
      </c>
      <c r="AA630" s="1" t="s">
        <v>11793</v>
      </c>
      <c r="AB630" s="1" t="s">
        <v>3425</v>
      </c>
      <c r="AC630" s="1" t="s">
        <v>3426</v>
      </c>
      <c r="AD630" s="1">
        <v>8.62</v>
      </c>
      <c r="AE630" s="1" t="s">
        <v>93</v>
      </c>
      <c r="AF630" s="1" t="s">
        <v>11794</v>
      </c>
      <c r="AG630" s="1" t="s">
        <v>2951</v>
      </c>
      <c r="AH630" s="1" t="s">
        <v>162</v>
      </c>
      <c r="AI630" s="1" t="s">
        <v>165</v>
      </c>
      <c r="AJ630" s="1">
        <v>91.2</v>
      </c>
      <c r="AK630" s="1">
        <v>9.6</v>
      </c>
      <c r="AL630" s="1" t="s">
        <v>11794</v>
      </c>
      <c r="AM630" s="1" t="s">
        <v>2951</v>
      </c>
      <c r="AN630" s="1" t="s">
        <v>1307</v>
      </c>
      <c r="AO630" s="1" t="s">
        <v>308</v>
      </c>
      <c r="AP630" s="1">
        <v>83.2</v>
      </c>
      <c r="AQ630" s="1">
        <v>8.7</v>
      </c>
      <c r="AR630" s="1"/>
      <c r="AS630" s="1"/>
      <c r="AT630" s="1"/>
      <c r="AU630" s="1"/>
      <c r="AV630" s="1"/>
      <c r="AW630" s="1"/>
      <c r="AX630" s="1" t="s">
        <v>11795</v>
      </c>
      <c r="AY630" s="1" t="s">
        <v>11796</v>
      </c>
      <c r="AZ630" s="1" t="s">
        <v>201</v>
      </c>
      <c r="BA630" s="1" t="s">
        <v>682</v>
      </c>
      <c r="BB630" s="1">
        <v>64.98</v>
      </c>
      <c r="BC630" s="1">
        <v>6.84</v>
      </c>
      <c r="BD630" s="1"/>
      <c r="BE630" s="1"/>
      <c r="BF630" s="1"/>
      <c r="BG630" s="1"/>
      <c r="BH630" s="1"/>
      <c r="BI630" s="1"/>
      <c r="BJ630" s="1" t="s">
        <v>1383</v>
      </c>
      <c r="BK630" s="1"/>
      <c r="BL630" s="1"/>
      <c r="BM630" s="1" t="s">
        <v>11797</v>
      </c>
      <c r="BN630" s="1">
        <v>30</v>
      </c>
      <c r="BO630" s="1"/>
      <c r="BP630" s="1" t="str">
        <f>HYPERLINK("https://nconnect.nicmar.ac.in/storage/profile/ProfilePhoto_P25700592_416579.jpg","Download")</f>
        <v>0</v>
      </c>
      <c r="BQ630" s="3"/>
      <c r="BR630" s="3"/>
    </row>
    <row r="631" spans="1:70">
      <c r="A631" s="1" t="s">
        <v>70</v>
      </c>
      <c r="B631" s="1" t="s">
        <v>1269</v>
      </c>
      <c r="C631" s="1" t="s">
        <v>11798</v>
      </c>
      <c r="D631" s="1" t="s">
        <v>11799</v>
      </c>
      <c r="E631" s="1" t="s">
        <v>6490</v>
      </c>
      <c r="F631" s="1" t="s">
        <v>11800</v>
      </c>
      <c r="G631" s="1" t="s">
        <v>11801</v>
      </c>
      <c r="H631" s="1" t="s">
        <v>11802</v>
      </c>
      <c r="I631" s="1" t="s">
        <v>11803</v>
      </c>
      <c r="J631" s="1">
        <v>9403058818</v>
      </c>
      <c r="K631" s="1" t="s">
        <v>79</v>
      </c>
      <c r="L631" s="1" t="s">
        <v>11804</v>
      </c>
      <c r="M631" s="1" t="s">
        <v>81</v>
      </c>
      <c r="N631" s="1" t="s">
        <v>11805</v>
      </c>
      <c r="O631" s="1"/>
      <c r="P631" s="1" t="s">
        <v>1323</v>
      </c>
      <c r="Q631" s="1" t="s">
        <v>11806</v>
      </c>
      <c r="R631" s="1" t="s">
        <v>11807</v>
      </c>
      <c r="S631" s="1">
        <v>1234567890</v>
      </c>
      <c r="T631" s="1" t="s">
        <v>93</v>
      </c>
      <c r="U631" s="1" t="s">
        <v>11808</v>
      </c>
      <c r="V631" s="1">
        <v>9423778073</v>
      </c>
      <c r="W631" s="1" t="s">
        <v>11809</v>
      </c>
      <c r="X631" s="1" t="s">
        <v>11810</v>
      </c>
      <c r="Y631" s="1" t="s">
        <v>191</v>
      </c>
      <c r="Z631" s="1" t="s">
        <v>92</v>
      </c>
      <c r="AA631" s="1" t="s">
        <v>11810</v>
      </c>
      <c r="AB631" s="1" t="s">
        <v>191</v>
      </c>
      <c r="AC631" s="1" t="s">
        <v>92</v>
      </c>
      <c r="AD631" s="1">
        <v>8.64</v>
      </c>
      <c r="AE631" s="1" t="s">
        <v>93</v>
      </c>
      <c r="AF631" s="1" t="s">
        <v>11811</v>
      </c>
      <c r="AG631" s="1" t="s">
        <v>11812</v>
      </c>
      <c r="AH631" s="1" t="s">
        <v>129</v>
      </c>
      <c r="AI631" s="1" t="s">
        <v>166</v>
      </c>
      <c r="AJ631" s="1">
        <v>79.8</v>
      </c>
      <c r="AK631" s="1">
        <v>7.98</v>
      </c>
      <c r="AL631" s="1" t="s">
        <v>11813</v>
      </c>
      <c r="AM631" s="1" t="s">
        <v>11812</v>
      </c>
      <c r="AN631" s="1" t="s">
        <v>166</v>
      </c>
      <c r="AO631" s="1" t="s">
        <v>173</v>
      </c>
      <c r="AP631" s="1">
        <v>73.85</v>
      </c>
      <c r="AQ631" s="1">
        <v>7.38</v>
      </c>
      <c r="AR631" s="1"/>
      <c r="AS631" s="1"/>
      <c r="AT631" s="1"/>
      <c r="AU631" s="1"/>
      <c r="AV631" s="1"/>
      <c r="AW631" s="1"/>
      <c r="AX631" s="1" t="s">
        <v>10208</v>
      </c>
      <c r="AY631" s="1" t="s">
        <v>11814</v>
      </c>
      <c r="AZ631" s="1" t="s">
        <v>941</v>
      </c>
      <c r="BA631" s="1" t="s">
        <v>1714</v>
      </c>
      <c r="BB631" s="1">
        <v>67.64</v>
      </c>
      <c r="BC631" s="1">
        <v>7.12</v>
      </c>
      <c r="BD631" s="1"/>
      <c r="BE631" s="1"/>
      <c r="BF631" s="1"/>
      <c r="BG631" s="1"/>
      <c r="BH631" s="1"/>
      <c r="BI631" s="1"/>
      <c r="BJ631" s="1" t="s">
        <v>11815</v>
      </c>
      <c r="BK631" s="1"/>
      <c r="BL631" s="1"/>
      <c r="BM631" s="1" t="s">
        <v>11816</v>
      </c>
      <c r="BN631" s="1">
        <v>26</v>
      </c>
      <c r="BO631" s="1" t="s">
        <v>11817</v>
      </c>
      <c r="BP631" s="1" t="str">
        <f>HYPERLINK("https://nconnect.nicmar.ac.in/storage/profile/ProfilePhoto_P25700593_914835.jpg","Download")</f>
        <v>0</v>
      </c>
      <c r="BQ631" s="3"/>
      <c r="BR631" s="3"/>
    </row>
    <row r="632" spans="1:70">
      <c r="A632" s="1" t="s">
        <v>70</v>
      </c>
      <c r="B632" s="1" t="s">
        <v>1269</v>
      </c>
      <c r="C632" s="1" t="s">
        <v>11818</v>
      </c>
      <c r="D632" s="1" t="s">
        <v>11819</v>
      </c>
      <c r="E632" s="1"/>
      <c r="F632" s="1" t="s">
        <v>11820</v>
      </c>
      <c r="G632" s="1" t="s">
        <v>11821</v>
      </c>
      <c r="H632" s="1" t="s">
        <v>11822</v>
      </c>
      <c r="I632" s="1" t="s">
        <v>11823</v>
      </c>
      <c r="J632" s="1">
        <v>8827043777</v>
      </c>
      <c r="K632" s="1" t="s">
        <v>148</v>
      </c>
      <c r="L632" s="1" t="s">
        <v>11824</v>
      </c>
      <c r="M632" s="1" t="s">
        <v>81</v>
      </c>
      <c r="N632" s="1" t="s">
        <v>5056</v>
      </c>
      <c r="O632" s="1"/>
      <c r="P632" s="1" t="s">
        <v>1278</v>
      </c>
      <c r="Q632" s="1" t="s">
        <v>11825</v>
      </c>
      <c r="R632" s="1" t="s">
        <v>11826</v>
      </c>
      <c r="S632" s="1">
        <v>9425224720</v>
      </c>
      <c r="T632" s="1" t="s">
        <v>842</v>
      </c>
      <c r="U632" s="1" t="s">
        <v>11827</v>
      </c>
      <c r="V632" s="1">
        <v>9589902131</v>
      </c>
      <c r="W632" s="1" t="s">
        <v>156</v>
      </c>
      <c r="X632" s="1" t="s">
        <v>11828</v>
      </c>
      <c r="Y632" s="1" t="s">
        <v>11829</v>
      </c>
      <c r="Z632" s="1" t="s">
        <v>1237</v>
      </c>
      <c r="AA632" s="1" t="s">
        <v>11828</v>
      </c>
      <c r="AB632" s="1" t="s">
        <v>11829</v>
      </c>
      <c r="AC632" s="1" t="s">
        <v>1237</v>
      </c>
      <c r="AD632" s="1">
        <v>8.05</v>
      </c>
      <c r="AE632" s="1" t="s">
        <v>93</v>
      </c>
      <c r="AF632" s="1" t="s">
        <v>11830</v>
      </c>
      <c r="AG632" s="1" t="s">
        <v>894</v>
      </c>
      <c r="AH632" s="1" t="s">
        <v>503</v>
      </c>
      <c r="AI632" s="1" t="s">
        <v>527</v>
      </c>
      <c r="AJ632" s="1">
        <v>91.2</v>
      </c>
      <c r="AK632" s="1">
        <v>9.6</v>
      </c>
      <c r="AL632" s="1" t="s">
        <v>11830</v>
      </c>
      <c r="AM632" s="1" t="s">
        <v>894</v>
      </c>
      <c r="AN632" s="1" t="s">
        <v>678</v>
      </c>
      <c r="AO632" s="1" t="s">
        <v>166</v>
      </c>
      <c r="AP632" s="1">
        <v>71.8</v>
      </c>
      <c r="AQ632" s="1"/>
      <c r="AR632" s="1"/>
      <c r="AS632" s="1"/>
      <c r="AT632" s="1"/>
      <c r="AU632" s="1"/>
      <c r="AV632" s="1"/>
      <c r="AW632" s="1"/>
      <c r="AX632" s="1" t="s">
        <v>410</v>
      </c>
      <c r="AY632" s="1" t="s">
        <v>11831</v>
      </c>
      <c r="AZ632" s="1" t="s">
        <v>636</v>
      </c>
      <c r="BA632" s="1" t="s">
        <v>229</v>
      </c>
      <c r="BB632" s="1">
        <v>66.3</v>
      </c>
      <c r="BC632" s="1">
        <v>7.38</v>
      </c>
      <c r="BD632" s="1"/>
      <c r="BE632" s="1"/>
      <c r="BF632" s="1"/>
      <c r="BG632" s="1"/>
      <c r="BH632" s="1"/>
      <c r="BI632" s="1"/>
      <c r="BJ632" s="1" t="s">
        <v>11832</v>
      </c>
      <c r="BK632" s="1" t="s">
        <v>11833</v>
      </c>
      <c r="BL632" s="1" t="s">
        <v>2892</v>
      </c>
      <c r="BM632" s="1" t="s">
        <v>11834</v>
      </c>
      <c r="BN632" s="1">
        <v>36</v>
      </c>
      <c r="BO632" s="1"/>
      <c r="BP632" s="1" t="str">
        <f>HYPERLINK("https://nconnect.nicmar.ac.in/storage/profile/ProfilePhoto_P25700594_156829.jpg","Download")</f>
        <v>0</v>
      </c>
      <c r="BQ632" s="3"/>
      <c r="BR632" s="3"/>
    </row>
    <row r="633" spans="1:70">
      <c r="A633" s="1" t="s">
        <v>70</v>
      </c>
      <c r="B633" s="1" t="s">
        <v>1269</v>
      </c>
      <c r="C633" s="1" t="s">
        <v>11835</v>
      </c>
      <c r="D633" s="1" t="s">
        <v>11836</v>
      </c>
      <c r="E633" s="1" t="s">
        <v>1566</v>
      </c>
      <c r="F633" s="1" t="s">
        <v>11837</v>
      </c>
      <c r="G633" s="1" t="s">
        <v>11838</v>
      </c>
      <c r="H633" s="1" t="s">
        <v>11839</v>
      </c>
      <c r="I633" s="1" t="s">
        <v>11840</v>
      </c>
      <c r="J633" s="1">
        <v>9975404883</v>
      </c>
      <c r="K633" s="1" t="s">
        <v>148</v>
      </c>
      <c r="L633" s="1" t="s">
        <v>6394</v>
      </c>
      <c r="M633" s="1" t="s">
        <v>81</v>
      </c>
      <c r="N633" s="1" t="s">
        <v>11841</v>
      </c>
      <c r="O633" s="1"/>
      <c r="P633" s="1" t="s">
        <v>1323</v>
      </c>
      <c r="Q633" s="1" t="s">
        <v>11842</v>
      </c>
      <c r="R633" s="1" t="s">
        <v>11843</v>
      </c>
      <c r="S633" s="1">
        <v>9975403456</v>
      </c>
      <c r="T633" s="1" t="s">
        <v>1256</v>
      </c>
      <c r="U633" s="1" t="s">
        <v>11844</v>
      </c>
      <c r="V633" s="1">
        <v>9881348474</v>
      </c>
      <c r="W633" s="1" t="s">
        <v>89</v>
      </c>
      <c r="X633" s="1" t="s">
        <v>11845</v>
      </c>
      <c r="Y633" s="1" t="s">
        <v>499</v>
      </c>
      <c r="Z633" s="1" t="s">
        <v>500</v>
      </c>
      <c r="AA633" s="1" t="s">
        <v>11845</v>
      </c>
      <c r="AB633" s="1" t="s">
        <v>499</v>
      </c>
      <c r="AC633" s="1" t="s">
        <v>500</v>
      </c>
      <c r="AD633" s="1">
        <v>8.46</v>
      </c>
      <c r="AE633" s="1" t="s">
        <v>93</v>
      </c>
      <c r="AF633" s="1" t="s">
        <v>11846</v>
      </c>
      <c r="AG633" s="1" t="s">
        <v>11847</v>
      </c>
      <c r="AH633" s="1" t="s">
        <v>165</v>
      </c>
      <c r="AI633" s="1" t="s">
        <v>101</v>
      </c>
      <c r="AJ633" s="1">
        <v>82.66</v>
      </c>
      <c r="AK633" s="1"/>
      <c r="AL633" s="1" t="s">
        <v>11848</v>
      </c>
      <c r="AM633" s="1" t="s">
        <v>11847</v>
      </c>
      <c r="AN633" s="1" t="s">
        <v>433</v>
      </c>
      <c r="AO633" s="1" t="s">
        <v>699</v>
      </c>
      <c r="AP633" s="1">
        <v>67.17</v>
      </c>
      <c r="AQ633" s="1"/>
      <c r="AR633" s="1"/>
      <c r="AS633" s="1"/>
      <c r="AT633" s="1"/>
      <c r="AU633" s="1"/>
      <c r="AV633" s="1"/>
      <c r="AW633" s="1"/>
      <c r="AX633" s="1" t="s">
        <v>11849</v>
      </c>
      <c r="AY633" s="1" t="s">
        <v>11850</v>
      </c>
      <c r="AZ633" s="1" t="s">
        <v>681</v>
      </c>
      <c r="BA633" s="1" t="s">
        <v>2103</v>
      </c>
      <c r="BB633" s="1">
        <v>79</v>
      </c>
      <c r="BC633" s="1">
        <v>8.65</v>
      </c>
      <c r="BD633" s="1"/>
      <c r="BE633" s="1"/>
      <c r="BF633" s="1"/>
      <c r="BG633" s="1"/>
      <c r="BH633" s="1"/>
      <c r="BI633" s="1"/>
      <c r="BJ633" s="1" t="s">
        <v>9156</v>
      </c>
      <c r="BK633" s="1"/>
      <c r="BL633" s="1"/>
      <c r="BM633" s="1" t="s">
        <v>11851</v>
      </c>
      <c r="BN633" s="1">
        <v>16</v>
      </c>
      <c r="BO633" s="1" t="s">
        <v>11852</v>
      </c>
      <c r="BP633" s="1" t="str">
        <f>HYPERLINK("https://nconnect.nicmar.ac.in/storage/profile/ProfilePhoto_P25700595_861492.jpg","Download")</f>
        <v>0</v>
      </c>
      <c r="BQ633" s="3"/>
      <c r="BR633" s="3"/>
    </row>
    <row r="634" spans="1:70">
      <c r="A634" s="1" t="s">
        <v>70</v>
      </c>
      <c r="B634" s="1" t="s">
        <v>1269</v>
      </c>
      <c r="C634" s="1" t="s">
        <v>11853</v>
      </c>
      <c r="D634" s="1" t="s">
        <v>11854</v>
      </c>
      <c r="E634" s="1" t="s">
        <v>1039</v>
      </c>
      <c r="F634" s="1" t="s">
        <v>8145</v>
      </c>
      <c r="G634" s="1" t="s">
        <v>11855</v>
      </c>
      <c r="H634" s="1" t="s">
        <v>11856</v>
      </c>
      <c r="I634" s="1" t="s">
        <v>11857</v>
      </c>
      <c r="J634" s="1">
        <v>9922401880</v>
      </c>
      <c r="K634" s="1" t="s">
        <v>148</v>
      </c>
      <c r="L634" s="1" t="s">
        <v>3174</v>
      </c>
      <c r="M634" s="1" t="s">
        <v>81</v>
      </c>
      <c r="N634" s="1" t="s">
        <v>11513</v>
      </c>
      <c r="O634" s="1"/>
      <c r="P634" s="1" t="s">
        <v>1298</v>
      </c>
      <c r="Q634" s="1" t="s">
        <v>11858</v>
      </c>
      <c r="R634" s="1" t="s">
        <v>11859</v>
      </c>
      <c r="S634" s="1">
        <v>7230953999</v>
      </c>
      <c r="T634" s="1" t="s">
        <v>763</v>
      </c>
      <c r="U634" s="1" t="s">
        <v>11860</v>
      </c>
      <c r="V634" s="1">
        <v>7231953999</v>
      </c>
      <c r="W634" s="1" t="s">
        <v>89</v>
      </c>
      <c r="X634" s="1" t="s">
        <v>11861</v>
      </c>
      <c r="Y634" s="1" t="s">
        <v>191</v>
      </c>
      <c r="Z634" s="1" t="s">
        <v>92</v>
      </c>
      <c r="AA634" s="1" t="s">
        <v>11861</v>
      </c>
      <c r="AB634" s="1" t="s">
        <v>191</v>
      </c>
      <c r="AC634" s="1" t="s">
        <v>92</v>
      </c>
      <c r="AD634" s="1">
        <v>8.87</v>
      </c>
      <c r="AE634" s="1" t="s">
        <v>93</v>
      </c>
      <c r="AF634" s="1" t="s">
        <v>11862</v>
      </c>
      <c r="AG634" s="1" t="s">
        <v>11863</v>
      </c>
      <c r="AH634" s="1" t="s">
        <v>161</v>
      </c>
      <c r="AI634" s="1" t="s">
        <v>456</v>
      </c>
      <c r="AJ634" s="1">
        <v>91.2</v>
      </c>
      <c r="AK634" s="1"/>
      <c r="AL634" s="1" t="s">
        <v>11864</v>
      </c>
      <c r="AM634" s="1" t="s">
        <v>307</v>
      </c>
      <c r="AN634" s="1" t="s">
        <v>678</v>
      </c>
      <c r="AO634" s="1" t="s">
        <v>166</v>
      </c>
      <c r="AP634" s="1">
        <v>79.4</v>
      </c>
      <c r="AQ634" s="1"/>
      <c r="AR634" s="1"/>
      <c r="AS634" s="1"/>
      <c r="AT634" s="1"/>
      <c r="AU634" s="1"/>
      <c r="AV634" s="1"/>
      <c r="AW634" s="1"/>
      <c r="AX634" s="1" t="s">
        <v>361</v>
      </c>
      <c r="AY634" s="1" t="s">
        <v>11865</v>
      </c>
      <c r="AZ634" s="1" t="s">
        <v>636</v>
      </c>
      <c r="BA634" s="1" t="s">
        <v>590</v>
      </c>
      <c r="BB634" s="1">
        <v>84.93</v>
      </c>
      <c r="BC634" s="1">
        <v>9.54</v>
      </c>
      <c r="BD634" s="1"/>
      <c r="BE634" s="1"/>
      <c r="BF634" s="1"/>
      <c r="BG634" s="1"/>
      <c r="BH634" s="1"/>
      <c r="BI634" s="1"/>
      <c r="BJ634" s="1" t="s">
        <v>11866</v>
      </c>
      <c r="BK634" s="1" t="s">
        <v>11867</v>
      </c>
      <c r="BL634" s="1" t="s">
        <v>1385</v>
      </c>
      <c r="BM634" s="1" t="s">
        <v>11868</v>
      </c>
      <c r="BN634" s="1">
        <v>35</v>
      </c>
      <c r="BO634" s="1" t="s">
        <v>11869</v>
      </c>
      <c r="BP634" s="1" t="str">
        <f>HYPERLINK("https://nconnect.nicmar.ac.in/storage/profile/ProfilePhoto_P25700596_394516.jpg","Download")</f>
        <v>0</v>
      </c>
      <c r="BQ634" s="3"/>
      <c r="BR634" s="3"/>
    </row>
    <row r="635" spans="1:70">
      <c r="A635" s="1" t="s">
        <v>70</v>
      </c>
      <c r="B635" s="1" t="s">
        <v>1269</v>
      </c>
      <c r="C635" s="1" t="s">
        <v>11870</v>
      </c>
      <c r="D635" s="1" t="s">
        <v>11871</v>
      </c>
      <c r="E635" s="1" t="s">
        <v>11872</v>
      </c>
      <c r="F635" s="1" t="s">
        <v>11873</v>
      </c>
      <c r="G635" s="1" t="s">
        <v>11874</v>
      </c>
      <c r="H635" s="1" t="s">
        <v>11875</v>
      </c>
      <c r="I635" s="1" t="s">
        <v>11876</v>
      </c>
      <c r="J635" s="1">
        <v>9606531866</v>
      </c>
      <c r="K635" s="1" t="s">
        <v>148</v>
      </c>
      <c r="L635" s="1" t="s">
        <v>11877</v>
      </c>
      <c r="M635" s="1" t="s">
        <v>81</v>
      </c>
      <c r="N635" s="1" t="s">
        <v>2046</v>
      </c>
      <c r="O635" s="1"/>
      <c r="P635" s="1" t="s">
        <v>1323</v>
      </c>
      <c r="Q635" s="1" t="s">
        <v>11878</v>
      </c>
      <c r="R635" s="1" t="s">
        <v>11872</v>
      </c>
      <c r="S635" s="1">
        <v>9342951866</v>
      </c>
      <c r="T635" s="1" t="s">
        <v>11879</v>
      </c>
      <c r="U635" s="1" t="s">
        <v>11880</v>
      </c>
      <c r="V635" s="1">
        <v>9535198077</v>
      </c>
      <c r="W635" s="1" t="s">
        <v>89</v>
      </c>
      <c r="X635" s="1" t="s">
        <v>11881</v>
      </c>
      <c r="Y635" s="1" t="s">
        <v>4771</v>
      </c>
      <c r="Z635" s="1" t="s">
        <v>1084</v>
      </c>
      <c r="AA635" s="1" t="s">
        <v>11881</v>
      </c>
      <c r="AB635" s="1" t="s">
        <v>4771</v>
      </c>
      <c r="AC635" s="1" t="s">
        <v>1084</v>
      </c>
      <c r="AD635" s="1">
        <v>8.49</v>
      </c>
      <c r="AE635" s="1" t="s">
        <v>93</v>
      </c>
      <c r="AF635" s="1" t="s">
        <v>11882</v>
      </c>
      <c r="AG635" s="1" t="s">
        <v>11883</v>
      </c>
      <c r="AH635" s="1" t="s">
        <v>161</v>
      </c>
      <c r="AI635" s="1" t="s">
        <v>527</v>
      </c>
      <c r="AJ635" s="1">
        <v>89.44</v>
      </c>
      <c r="AK635" s="1"/>
      <c r="AL635" s="1" t="s">
        <v>11884</v>
      </c>
      <c r="AM635" s="1" t="s">
        <v>11885</v>
      </c>
      <c r="AN635" s="1" t="s">
        <v>165</v>
      </c>
      <c r="AO635" s="1" t="s">
        <v>166</v>
      </c>
      <c r="AP635" s="1">
        <v>75</v>
      </c>
      <c r="AQ635" s="1"/>
      <c r="AR635" s="1"/>
      <c r="AS635" s="1"/>
      <c r="AT635" s="1"/>
      <c r="AU635" s="1"/>
      <c r="AV635" s="1"/>
      <c r="AW635" s="1"/>
      <c r="AX635" s="1" t="s">
        <v>1519</v>
      </c>
      <c r="AY635" s="1" t="s">
        <v>11886</v>
      </c>
      <c r="AZ635" s="1" t="s">
        <v>101</v>
      </c>
      <c r="BA635" s="1" t="s">
        <v>229</v>
      </c>
      <c r="BB635" s="1">
        <v>71.3</v>
      </c>
      <c r="BC635" s="1">
        <v>7.88</v>
      </c>
      <c r="BD635" s="1"/>
      <c r="BE635" s="1"/>
      <c r="BF635" s="1"/>
      <c r="BG635" s="1"/>
      <c r="BH635" s="1"/>
      <c r="BI635" s="1"/>
      <c r="BJ635" s="1" t="s">
        <v>11887</v>
      </c>
      <c r="BK635" s="1" t="s">
        <v>11888</v>
      </c>
      <c r="BL635" s="1" t="s">
        <v>2187</v>
      </c>
      <c r="BM635" s="1" t="s">
        <v>11889</v>
      </c>
      <c r="BN635" s="1">
        <v>27</v>
      </c>
      <c r="BO635" s="1"/>
      <c r="BP635" s="1" t="str">
        <f>HYPERLINK("https://nconnect.nicmar.ac.in/storage/profile/ProfilePhoto_P25700597_285793.jpg","Download")</f>
        <v>0</v>
      </c>
      <c r="BQ635" s="3"/>
      <c r="BR635" s="3"/>
    </row>
    <row r="636" spans="1:70">
      <c r="A636" s="1" t="s">
        <v>70</v>
      </c>
      <c r="B636" s="1" t="s">
        <v>1269</v>
      </c>
      <c r="C636" s="1" t="s">
        <v>11890</v>
      </c>
      <c r="D636" s="1" t="s">
        <v>11891</v>
      </c>
      <c r="E636" s="1" t="s">
        <v>1925</v>
      </c>
      <c r="F636" s="1" t="s">
        <v>11892</v>
      </c>
      <c r="G636" s="1" t="s">
        <v>11893</v>
      </c>
      <c r="H636" s="1" t="s">
        <v>11894</v>
      </c>
      <c r="I636" s="1" t="s">
        <v>11895</v>
      </c>
      <c r="J636" s="1">
        <v>9822359165</v>
      </c>
      <c r="K636" s="1" t="s">
        <v>79</v>
      </c>
      <c r="L636" s="1" t="s">
        <v>6765</v>
      </c>
      <c r="M636" s="1" t="s">
        <v>81</v>
      </c>
      <c r="N636" s="1" t="s">
        <v>1765</v>
      </c>
      <c r="O636" s="1"/>
      <c r="P636" s="1" t="s">
        <v>1278</v>
      </c>
      <c r="Q636" s="1" t="s">
        <v>11896</v>
      </c>
      <c r="R636" s="1" t="s">
        <v>1925</v>
      </c>
      <c r="S636" s="1">
        <v>9960745082</v>
      </c>
      <c r="T636" s="1" t="s">
        <v>11897</v>
      </c>
      <c r="U636" s="1" t="s">
        <v>693</v>
      </c>
      <c r="V636" s="1">
        <v>9890658542</v>
      </c>
      <c r="W636" s="1" t="s">
        <v>976</v>
      </c>
      <c r="X636" s="1" t="s">
        <v>11898</v>
      </c>
      <c r="Y636" s="1" t="s">
        <v>379</v>
      </c>
      <c r="Z636" s="1" t="s">
        <v>92</v>
      </c>
      <c r="AA636" s="1" t="s">
        <v>11898</v>
      </c>
      <c r="AB636" s="1" t="s">
        <v>379</v>
      </c>
      <c r="AC636" s="1" t="s">
        <v>92</v>
      </c>
      <c r="AD636" s="1">
        <v>8.41</v>
      </c>
      <c r="AE636" s="1" t="s">
        <v>93</v>
      </c>
      <c r="AF636" s="1" t="s">
        <v>11899</v>
      </c>
      <c r="AG636" s="1" t="s">
        <v>11900</v>
      </c>
      <c r="AH636" s="1" t="s">
        <v>96</v>
      </c>
      <c r="AI636" s="1" t="s">
        <v>97</v>
      </c>
      <c r="AJ636" s="1">
        <v>89.8</v>
      </c>
      <c r="AK636" s="1"/>
      <c r="AL636" s="1" t="s">
        <v>11901</v>
      </c>
      <c r="AM636" s="1" t="s">
        <v>11902</v>
      </c>
      <c r="AN636" s="1" t="s">
        <v>162</v>
      </c>
      <c r="AO636" s="1" t="s">
        <v>1332</v>
      </c>
      <c r="AP636" s="1">
        <v>64.77</v>
      </c>
      <c r="AQ636" s="1"/>
      <c r="AR636" s="1"/>
      <c r="AS636" s="1"/>
      <c r="AT636" s="1"/>
      <c r="AU636" s="1"/>
      <c r="AV636" s="1"/>
      <c r="AW636" s="1"/>
      <c r="AX636" s="1" t="s">
        <v>11903</v>
      </c>
      <c r="AY636" s="1" t="s">
        <v>11904</v>
      </c>
      <c r="AZ636" s="1" t="s">
        <v>383</v>
      </c>
      <c r="BA636" s="1" t="s">
        <v>3088</v>
      </c>
      <c r="BB636" s="1">
        <v>77.6</v>
      </c>
      <c r="BC636" s="1">
        <v>8.26</v>
      </c>
      <c r="BD636" s="1"/>
      <c r="BE636" s="1"/>
      <c r="BF636" s="1"/>
      <c r="BG636" s="1"/>
      <c r="BH636" s="1"/>
      <c r="BI636" s="1"/>
      <c r="BJ636" s="1" t="s">
        <v>2080</v>
      </c>
      <c r="BK636" s="1"/>
      <c r="BL636" s="1"/>
      <c r="BM636" s="1"/>
      <c r="BN636" s="1"/>
      <c r="BO636" s="1"/>
      <c r="BP636" s="1" t="str">
        <f>HYPERLINK("https://nconnect.nicmar.ac.in/storage/profile/ProfilePhoto_P25700598_387159.jpg","Download")</f>
        <v>0</v>
      </c>
      <c r="BQ636" s="3"/>
      <c r="BR636" s="3"/>
    </row>
    <row r="637" spans="1:70">
      <c r="A637" s="1" t="s">
        <v>70</v>
      </c>
      <c r="B637" s="1" t="s">
        <v>1269</v>
      </c>
      <c r="C637" s="1" t="s">
        <v>11905</v>
      </c>
      <c r="D637" s="1" t="s">
        <v>11906</v>
      </c>
      <c r="E637" s="1"/>
      <c r="F637" s="1" t="s">
        <v>4344</v>
      </c>
      <c r="G637" s="1" t="s">
        <v>11907</v>
      </c>
      <c r="H637" s="1" t="s">
        <v>11908</v>
      </c>
      <c r="I637" s="1" t="s">
        <v>11909</v>
      </c>
      <c r="J637" s="1">
        <v>9778364400</v>
      </c>
      <c r="K637" s="1" t="s">
        <v>148</v>
      </c>
      <c r="L637" s="1" t="s">
        <v>4809</v>
      </c>
      <c r="M637" s="1" t="s">
        <v>81</v>
      </c>
      <c r="N637" s="1" t="s">
        <v>11910</v>
      </c>
      <c r="O637" s="1"/>
      <c r="P637" s="1" t="s">
        <v>1766</v>
      </c>
      <c r="Q637" s="1" t="s">
        <v>11911</v>
      </c>
      <c r="R637" s="1" t="s">
        <v>11912</v>
      </c>
      <c r="S637" s="1">
        <v>9434777343</v>
      </c>
      <c r="T637" s="1" t="s">
        <v>763</v>
      </c>
      <c r="U637" s="1" t="s">
        <v>11913</v>
      </c>
      <c r="V637" s="1">
        <v>9434986538</v>
      </c>
      <c r="W637" s="1" t="s">
        <v>122</v>
      </c>
      <c r="X637" s="1" t="s">
        <v>11914</v>
      </c>
      <c r="Y637" s="1" t="s">
        <v>191</v>
      </c>
      <c r="Z637" s="1" t="s">
        <v>92</v>
      </c>
      <c r="AA637" s="1" t="s">
        <v>11915</v>
      </c>
      <c r="AB637" s="1" t="s">
        <v>11916</v>
      </c>
      <c r="AC637" s="1" t="s">
        <v>783</v>
      </c>
      <c r="AD637" s="1">
        <v>9.0</v>
      </c>
      <c r="AE637" s="1" t="s">
        <v>93</v>
      </c>
      <c r="AF637" s="1" t="s">
        <v>11917</v>
      </c>
      <c r="AG637" s="1" t="s">
        <v>11918</v>
      </c>
      <c r="AH637" s="1" t="s">
        <v>162</v>
      </c>
      <c r="AI637" s="1" t="s">
        <v>165</v>
      </c>
      <c r="AJ637" s="1">
        <v>95</v>
      </c>
      <c r="AK637" s="1">
        <v>10</v>
      </c>
      <c r="AL637" s="1" t="s">
        <v>11917</v>
      </c>
      <c r="AM637" s="1" t="s">
        <v>11918</v>
      </c>
      <c r="AN637" s="1" t="s">
        <v>166</v>
      </c>
      <c r="AO637" s="1" t="s">
        <v>308</v>
      </c>
      <c r="AP637" s="1">
        <v>76.66</v>
      </c>
      <c r="AQ637" s="1"/>
      <c r="AR637" s="1"/>
      <c r="AS637" s="1"/>
      <c r="AT637" s="1"/>
      <c r="AU637" s="1"/>
      <c r="AV637" s="1"/>
      <c r="AW637" s="1"/>
      <c r="AX637" s="1" t="s">
        <v>2380</v>
      </c>
      <c r="AY637" s="1" t="s">
        <v>11919</v>
      </c>
      <c r="AZ637" s="1" t="s">
        <v>170</v>
      </c>
      <c r="BA637" s="1" t="s">
        <v>1584</v>
      </c>
      <c r="BB637" s="1">
        <v>73.1</v>
      </c>
      <c r="BC637" s="1">
        <v>7.31</v>
      </c>
      <c r="BD637" s="1"/>
      <c r="BE637" s="1"/>
      <c r="BF637" s="1"/>
      <c r="BG637" s="1"/>
      <c r="BH637" s="1"/>
      <c r="BI637" s="1"/>
      <c r="BJ637" s="1" t="s">
        <v>11920</v>
      </c>
      <c r="BK637" s="1"/>
      <c r="BL637" s="1"/>
      <c r="BM637" s="1" t="s">
        <v>11921</v>
      </c>
      <c r="BN637" s="1">
        <v>33</v>
      </c>
      <c r="BO637" s="1"/>
      <c r="BP637" s="1" t="str">
        <f>HYPERLINK("https://nconnect.nicmar.ac.in/storage/profile/ProfilePhoto_P25700599_658143.jpg","Download")</f>
        <v>0</v>
      </c>
      <c r="BQ637" s="3"/>
      <c r="BR637" s="3"/>
    </row>
    <row r="638" spans="1:70">
      <c r="A638" s="1" t="s">
        <v>70</v>
      </c>
      <c r="B638" s="1" t="s">
        <v>1269</v>
      </c>
      <c r="C638" s="1" t="s">
        <v>11922</v>
      </c>
      <c r="D638" s="1" t="s">
        <v>11923</v>
      </c>
      <c r="E638" s="1" t="s">
        <v>11924</v>
      </c>
      <c r="F638" s="1" t="s">
        <v>1741</v>
      </c>
      <c r="G638" s="1" t="s">
        <v>11925</v>
      </c>
      <c r="H638" s="1" t="s">
        <v>11926</v>
      </c>
      <c r="I638" s="1" t="s">
        <v>11927</v>
      </c>
      <c r="J638" s="1">
        <v>7337288598</v>
      </c>
      <c r="K638" s="1" t="s">
        <v>79</v>
      </c>
      <c r="L638" s="1" t="s">
        <v>537</v>
      </c>
      <c r="M638" s="1" t="s">
        <v>81</v>
      </c>
      <c r="N638" s="1" t="s">
        <v>3893</v>
      </c>
      <c r="O638" s="1"/>
      <c r="P638" s="1" t="s">
        <v>1323</v>
      </c>
      <c r="Q638" s="1" t="s">
        <v>11928</v>
      </c>
      <c r="R638" s="1" t="s">
        <v>11929</v>
      </c>
      <c r="S638" s="1">
        <v>7337288598</v>
      </c>
      <c r="T638" s="1" t="s">
        <v>11930</v>
      </c>
      <c r="U638" s="1" t="s">
        <v>11931</v>
      </c>
      <c r="V638" s="1">
        <v>9396420765</v>
      </c>
      <c r="W638" s="1" t="s">
        <v>651</v>
      </c>
      <c r="X638" s="1" t="s">
        <v>11932</v>
      </c>
      <c r="Y638" s="1" t="s">
        <v>11933</v>
      </c>
      <c r="Z638" s="1" t="s">
        <v>276</v>
      </c>
      <c r="AA638" s="1" t="s">
        <v>11932</v>
      </c>
      <c r="AB638" s="1" t="s">
        <v>11933</v>
      </c>
      <c r="AC638" s="1" t="s">
        <v>276</v>
      </c>
      <c r="AD638" s="1">
        <v>8.51</v>
      </c>
      <c r="AE638" s="1" t="s">
        <v>93</v>
      </c>
      <c r="AF638" s="1" t="s">
        <v>11934</v>
      </c>
      <c r="AG638" s="1" t="s">
        <v>2245</v>
      </c>
      <c r="AH638" s="1" t="s">
        <v>134</v>
      </c>
      <c r="AI638" s="1" t="s">
        <v>479</v>
      </c>
      <c r="AJ638" s="1">
        <v>93</v>
      </c>
      <c r="AK638" s="1">
        <v>9.3</v>
      </c>
      <c r="AL638" s="1" t="s">
        <v>11935</v>
      </c>
      <c r="AM638" s="1" t="s">
        <v>2247</v>
      </c>
      <c r="AN638" s="1" t="s">
        <v>225</v>
      </c>
      <c r="AO638" s="1" t="s">
        <v>1065</v>
      </c>
      <c r="AP638" s="1">
        <v>86.01</v>
      </c>
      <c r="AQ638" s="1">
        <v>8.61</v>
      </c>
      <c r="AR638" s="1"/>
      <c r="AS638" s="1"/>
      <c r="AT638" s="1"/>
      <c r="AU638" s="1"/>
      <c r="AV638" s="1"/>
      <c r="AW638" s="1"/>
      <c r="AX638" s="1" t="s">
        <v>7967</v>
      </c>
      <c r="AY638" s="1" t="s">
        <v>11936</v>
      </c>
      <c r="AZ638" s="1" t="s">
        <v>201</v>
      </c>
      <c r="BA638" s="1" t="s">
        <v>682</v>
      </c>
      <c r="BB638" s="1">
        <v>63.5</v>
      </c>
      <c r="BC638" s="1">
        <v>6.85</v>
      </c>
      <c r="BD638" s="1"/>
      <c r="BE638" s="1"/>
      <c r="BF638" s="1"/>
      <c r="BG638" s="1"/>
      <c r="BH638" s="1"/>
      <c r="BI638" s="1"/>
      <c r="BJ638" s="1" t="s">
        <v>11937</v>
      </c>
      <c r="BK638" s="1"/>
      <c r="BL638" s="1"/>
      <c r="BM638" s="1" t="s">
        <v>11938</v>
      </c>
      <c r="BN638" s="1">
        <v>7</v>
      </c>
      <c r="BO638" s="1"/>
      <c r="BP638" s="1" t="str">
        <f>HYPERLINK("https://nconnect.nicmar.ac.in/storage/profile/ProfilePhoto_P25700600_762981.jpg","Download")</f>
        <v>0</v>
      </c>
      <c r="BQ638" s="3"/>
      <c r="BR638" s="3"/>
    </row>
    <row r="639" spans="1:70">
      <c r="A639" s="1" t="s">
        <v>70</v>
      </c>
      <c r="B639" s="1" t="s">
        <v>1269</v>
      </c>
      <c r="C639" s="1" t="s">
        <v>11939</v>
      </c>
      <c r="D639" s="1" t="s">
        <v>11940</v>
      </c>
      <c r="E639" s="1"/>
      <c r="F639" s="1" t="s">
        <v>11941</v>
      </c>
      <c r="G639" s="1" t="s">
        <v>11942</v>
      </c>
      <c r="H639" s="1" t="s">
        <v>11943</v>
      </c>
      <c r="I639" s="1" t="s">
        <v>11944</v>
      </c>
      <c r="J639" s="1">
        <v>9315683290</v>
      </c>
      <c r="K639" s="1" t="s">
        <v>79</v>
      </c>
      <c r="L639" s="1" t="s">
        <v>11945</v>
      </c>
      <c r="M639" s="1" t="s">
        <v>81</v>
      </c>
      <c r="N639" s="1" t="s">
        <v>1951</v>
      </c>
      <c r="O639" s="1"/>
      <c r="P639" s="1" t="s">
        <v>1462</v>
      </c>
      <c r="Q639" s="1" t="s">
        <v>11946</v>
      </c>
      <c r="R639" s="1" t="s">
        <v>11947</v>
      </c>
      <c r="S639" s="1">
        <v>9350290844</v>
      </c>
      <c r="T639" s="1" t="s">
        <v>11948</v>
      </c>
      <c r="U639" s="1" t="s">
        <v>11949</v>
      </c>
      <c r="V639" s="1">
        <v>9810549827</v>
      </c>
      <c r="W639" s="1" t="s">
        <v>520</v>
      </c>
      <c r="X639" s="1" t="s">
        <v>11950</v>
      </c>
      <c r="Y639" s="1" t="s">
        <v>721</v>
      </c>
      <c r="Z639" s="1" t="s">
        <v>722</v>
      </c>
      <c r="AA639" s="1" t="s">
        <v>11950</v>
      </c>
      <c r="AB639" s="1" t="s">
        <v>721</v>
      </c>
      <c r="AC639" s="1" t="s">
        <v>722</v>
      </c>
      <c r="AD639" s="1">
        <v>9.18</v>
      </c>
      <c r="AE639" s="1" t="s">
        <v>93</v>
      </c>
      <c r="AF639" s="1" t="s">
        <v>11951</v>
      </c>
      <c r="AG639" s="1" t="s">
        <v>894</v>
      </c>
      <c r="AH639" s="1" t="s">
        <v>678</v>
      </c>
      <c r="AI639" s="1" t="s">
        <v>166</v>
      </c>
      <c r="AJ639" s="1">
        <v>73.4</v>
      </c>
      <c r="AK639" s="1"/>
      <c r="AL639" s="1" t="s">
        <v>11952</v>
      </c>
      <c r="AM639" s="1" t="s">
        <v>894</v>
      </c>
      <c r="AN639" s="1" t="s">
        <v>1065</v>
      </c>
      <c r="AO639" s="1" t="s">
        <v>173</v>
      </c>
      <c r="AP639" s="1">
        <v>84.2</v>
      </c>
      <c r="AQ639" s="1"/>
      <c r="AR639" s="1"/>
      <c r="AS639" s="1"/>
      <c r="AT639" s="1"/>
      <c r="AU639" s="1"/>
      <c r="AV639" s="1"/>
      <c r="AW639" s="1"/>
      <c r="AX639" s="1" t="s">
        <v>11953</v>
      </c>
      <c r="AY639" s="1" t="s">
        <v>11954</v>
      </c>
      <c r="AZ639" s="1" t="s">
        <v>681</v>
      </c>
      <c r="BA639" s="1" t="s">
        <v>1939</v>
      </c>
      <c r="BB639" s="1">
        <v>93.9</v>
      </c>
      <c r="BC639" s="1">
        <v>9.39</v>
      </c>
      <c r="BD639" s="1"/>
      <c r="BE639" s="1"/>
      <c r="BF639" s="1"/>
      <c r="BG639" s="1"/>
      <c r="BH639" s="1"/>
      <c r="BI639" s="1"/>
      <c r="BJ639" s="1" t="s">
        <v>11955</v>
      </c>
      <c r="BK639" s="1"/>
      <c r="BL639" s="1"/>
      <c r="BM639" s="1" t="s">
        <v>11956</v>
      </c>
      <c r="BN639" s="1">
        <v>33</v>
      </c>
      <c r="BO639" s="1" t="s">
        <v>11957</v>
      </c>
      <c r="BP639" s="1" t="str">
        <f>HYPERLINK("https://nconnect.nicmar.ac.in/storage/profile/ProfilePhoto_P25700601_924578.jpg","Download")</f>
        <v>0</v>
      </c>
      <c r="BQ639" s="3"/>
      <c r="BR639" s="3"/>
    </row>
    <row r="640" spans="1:70">
      <c r="A640" s="1" t="s">
        <v>70</v>
      </c>
      <c r="B640" s="1" t="s">
        <v>1269</v>
      </c>
      <c r="C640" s="1" t="s">
        <v>11958</v>
      </c>
      <c r="D640" s="1" t="s">
        <v>5530</v>
      </c>
      <c r="E640" s="1"/>
      <c r="F640" s="1" t="s">
        <v>835</v>
      </c>
      <c r="G640" s="1" t="s">
        <v>11959</v>
      </c>
      <c r="H640" s="1" t="s">
        <v>11960</v>
      </c>
      <c r="I640" s="1" t="s">
        <v>11961</v>
      </c>
      <c r="J640" s="1">
        <v>8103718673</v>
      </c>
      <c r="K640" s="1" t="s">
        <v>148</v>
      </c>
      <c r="L640" s="1" t="s">
        <v>11962</v>
      </c>
      <c r="M640" s="1" t="s">
        <v>81</v>
      </c>
      <c r="N640" s="1" t="s">
        <v>11963</v>
      </c>
      <c r="O640" s="1"/>
      <c r="P640" s="1" t="s">
        <v>1278</v>
      </c>
      <c r="Q640" s="1" t="s">
        <v>11964</v>
      </c>
      <c r="R640" s="1" t="s">
        <v>11965</v>
      </c>
      <c r="S640" s="1">
        <v>9406741911</v>
      </c>
      <c r="T640" s="1" t="s">
        <v>4581</v>
      </c>
      <c r="U640" s="1" t="s">
        <v>11966</v>
      </c>
      <c r="V640" s="1">
        <v>8450038475</v>
      </c>
      <c r="W640" s="1" t="s">
        <v>273</v>
      </c>
      <c r="X640" s="1" t="s">
        <v>11967</v>
      </c>
      <c r="Y640" s="1" t="s">
        <v>191</v>
      </c>
      <c r="Z640" s="1" t="s">
        <v>92</v>
      </c>
      <c r="AA640" s="1" t="s">
        <v>11968</v>
      </c>
      <c r="AB640" s="1" t="s">
        <v>10918</v>
      </c>
      <c r="AC640" s="1" t="s">
        <v>936</v>
      </c>
      <c r="AD640" s="1">
        <v>8.54</v>
      </c>
      <c r="AE640" s="1" t="s">
        <v>93</v>
      </c>
      <c r="AF640" s="1" t="s">
        <v>11969</v>
      </c>
      <c r="AG640" s="1" t="s">
        <v>11970</v>
      </c>
      <c r="AH640" s="1" t="s">
        <v>456</v>
      </c>
      <c r="AI640" s="1" t="s">
        <v>195</v>
      </c>
      <c r="AJ640" s="1">
        <v>64</v>
      </c>
      <c r="AK640" s="1"/>
      <c r="AL640" s="1" t="s">
        <v>11971</v>
      </c>
      <c r="AM640" s="1" t="s">
        <v>307</v>
      </c>
      <c r="AN640" s="1" t="s">
        <v>281</v>
      </c>
      <c r="AO640" s="1" t="s">
        <v>308</v>
      </c>
      <c r="AP640" s="1">
        <v>71</v>
      </c>
      <c r="AQ640" s="1"/>
      <c r="AR640" s="1"/>
      <c r="AS640" s="1"/>
      <c r="AT640" s="1"/>
      <c r="AU640" s="1"/>
      <c r="AV640" s="1"/>
      <c r="AW640" s="1"/>
      <c r="AX640" s="1" t="s">
        <v>2998</v>
      </c>
      <c r="AY640" s="1" t="s">
        <v>11972</v>
      </c>
      <c r="AZ640" s="1" t="s">
        <v>201</v>
      </c>
      <c r="BA640" s="1" t="s">
        <v>682</v>
      </c>
      <c r="BB640" s="1">
        <v>85.2</v>
      </c>
      <c r="BC640" s="1"/>
      <c r="BD640" s="1"/>
      <c r="BE640" s="1"/>
      <c r="BF640" s="1"/>
      <c r="BG640" s="1"/>
      <c r="BH640" s="1"/>
      <c r="BI640" s="1"/>
      <c r="BJ640" s="1" t="s">
        <v>11973</v>
      </c>
      <c r="BK640" s="1" t="s">
        <v>11974</v>
      </c>
      <c r="BL640" s="1" t="s">
        <v>4933</v>
      </c>
      <c r="BM640" s="1" t="s">
        <v>11975</v>
      </c>
      <c r="BN640" s="1">
        <v>9</v>
      </c>
      <c r="BO640" s="1"/>
      <c r="BP640" s="1" t="str">
        <f>HYPERLINK("https://nconnect.nicmar.ac.in/storage/profile/ProfilePhoto_P25700602_218567.jpg","Download")</f>
        <v>0</v>
      </c>
      <c r="BQ640" s="3"/>
      <c r="BR640" s="3"/>
    </row>
    <row r="641" spans="1:70">
      <c r="A641" s="1" t="s">
        <v>70</v>
      </c>
      <c r="B641" s="1" t="s">
        <v>1269</v>
      </c>
      <c r="C641" s="1" t="s">
        <v>11976</v>
      </c>
      <c r="D641" s="1" t="s">
        <v>11977</v>
      </c>
      <c r="E641" s="1"/>
      <c r="F641" s="1" t="s">
        <v>3036</v>
      </c>
      <c r="G641" s="1" t="s">
        <v>11978</v>
      </c>
      <c r="H641" s="1" t="s">
        <v>11979</v>
      </c>
      <c r="I641" s="1" t="s">
        <v>11980</v>
      </c>
      <c r="J641" s="1">
        <v>7024373533</v>
      </c>
      <c r="K641" s="1" t="s">
        <v>79</v>
      </c>
      <c r="L641" s="1" t="s">
        <v>11981</v>
      </c>
      <c r="M641" s="1" t="s">
        <v>81</v>
      </c>
      <c r="N641" s="1" t="s">
        <v>5056</v>
      </c>
      <c r="O641" s="1"/>
      <c r="P641" s="1" t="s">
        <v>1298</v>
      </c>
      <c r="Q641" s="1" t="s">
        <v>11982</v>
      </c>
      <c r="R641" s="1" t="s">
        <v>11983</v>
      </c>
      <c r="S641" s="1">
        <v>7999628047</v>
      </c>
      <c r="T641" s="1" t="s">
        <v>7676</v>
      </c>
      <c r="U641" s="1" t="s">
        <v>11984</v>
      </c>
      <c r="V641" s="1">
        <v>9165549327</v>
      </c>
      <c r="W641" s="1" t="s">
        <v>156</v>
      </c>
      <c r="X641" s="1" t="s">
        <v>11985</v>
      </c>
      <c r="Y641" s="1" t="s">
        <v>11986</v>
      </c>
      <c r="Z641" s="1" t="s">
        <v>936</v>
      </c>
      <c r="AA641" s="1" t="s">
        <v>11985</v>
      </c>
      <c r="AB641" s="1" t="s">
        <v>11986</v>
      </c>
      <c r="AC641" s="1" t="s">
        <v>936</v>
      </c>
      <c r="AD641" s="1">
        <v>8.23</v>
      </c>
      <c r="AE641" s="1" t="s">
        <v>93</v>
      </c>
      <c r="AF641" s="1" t="s">
        <v>11987</v>
      </c>
      <c r="AG641" s="1" t="s">
        <v>11988</v>
      </c>
      <c r="AH641" s="1" t="s">
        <v>503</v>
      </c>
      <c r="AI641" s="1" t="s">
        <v>456</v>
      </c>
      <c r="AJ641" s="1">
        <v>77.9</v>
      </c>
      <c r="AK641" s="1">
        <v>8.2</v>
      </c>
      <c r="AL641" s="1" t="s">
        <v>11987</v>
      </c>
      <c r="AM641" s="1" t="s">
        <v>11988</v>
      </c>
      <c r="AN641" s="1" t="s">
        <v>678</v>
      </c>
      <c r="AO641" s="1" t="s">
        <v>281</v>
      </c>
      <c r="AP641" s="1">
        <v>72.2</v>
      </c>
      <c r="AQ641" s="1"/>
      <c r="AR641" s="1"/>
      <c r="AS641" s="1"/>
      <c r="AT641" s="1"/>
      <c r="AU641" s="1"/>
      <c r="AV641" s="1"/>
      <c r="AW641" s="1"/>
      <c r="AX641" s="1" t="s">
        <v>11989</v>
      </c>
      <c r="AY641" s="1" t="s">
        <v>11989</v>
      </c>
      <c r="AZ641" s="1" t="s">
        <v>636</v>
      </c>
      <c r="BA641" s="1" t="s">
        <v>1003</v>
      </c>
      <c r="BB641" s="1">
        <v>78.5</v>
      </c>
      <c r="BC641" s="1">
        <v>7.85</v>
      </c>
      <c r="BD641" s="1"/>
      <c r="BE641" s="1"/>
      <c r="BF641" s="1"/>
      <c r="BG641" s="1"/>
      <c r="BH641" s="1"/>
      <c r="BI641" s="1"/>
      <c r="BJ641" s="1" t="s">
        <v>364</v>
      </c>
      <c r="BK641" s="1"/>
      <c r="BL641" s="1"/>
      <c r="BM641" s="1" t="s">
        <v>11990</v>
      </c>
      <c r="BN641" s="1">
        <v>80</v>
      </c>
      <c r="BO641" s="1"/>
      <c r="BP641" s="1" t="str">
        <f>HYPERLINK("https://nconnect.nicmar.ac.in/storage/profile/ProfilePhoto_P25700603_281359.jpg","Download")</f>
        <v>0</v>
      </c>
      <c r="BQ641" s="3"/>
      <c r="BR641" s="3"/>
    </row>
    <row r="642" spans="1:70">
      <c r="A642" s="1" t="s">
        <v>70</v>
      </c>
      <c r="B642" s="1" t="s">
        <v>1269</v>
      </c>
      <c r="C642" s="1" t="s">
        <v>11991</v>
      </c>
      <c r="D642" s="1" t="s">
        <v>11992</v>
      </c>
      <c r="E642" s="1"/>
      <c r="F642" s="1" t="s">
        <v>11993</v>
      </c>
      <c r="G642" s="1" t="s">
        <v>11994</v>
      </c>
      <c r="H642" s="1" t="s">
        <v>11995</v>
      </c>
      <c r="I642" s="1" t="s">
        <v>11996</v>
      </c>
      <c r="J642" s="1">
        <v>9881552934</v>
      </c>
      <c r="K642" s="1" t="s">
        <v>148</v>
      </c>
      <c r="L642" s="1" t="s">
        <v>4961</v>
      </c>
      <c r="M642" s="1" t="s">
        <v>81</v>
      </c>
      <c r="N642" s="1" t="s">
        <v>6219</v>
      </c>
      <c r="O642" s="1"/>
      <c r="P642" s="1" t="s">
        <v>1298</v>
      </c>
      <c r="Q642" s="1" t="s">
        <v>11997</v>
      </c>
      <c r="R642" s="1" t="s">
        <v>11998</v>
      </c>
      <c r="S642" s="1">
        <v>8668851926</v>
      </c>
      <c r="T642" s="1" t="s">
        <v>122</v>
      </c>
      <c r="U642" s="1" t="s">
        <v>11999</v>
      </c>
      <c r="V642" s="1">
        <v>9850257734</v>
      </c>
      <c r="W642" s="1" t="s">
        <v>156</v>
      </c>
      <c r="X642" s="1" t="s">
        <v>12000</v>
      </c>
      <c r="Y642" s="1" t="s">
        <v>6399</v>
      </c>
      <c r="Z642" s="1" t="s">
        <v>92</v>
      </c>
      <c r="AA642" s="1" t="s">
        <v>12001</v>
      </c>
      <c r="AB642" s="1" t="s">
        <v>6399</v>
      </c>
      <c r="AC642" s="1" t="s">
        <v>92</v>
      </c>
      <c r="AD642" s="1">
        <v>8.8</v>
      </c>
      <c r="AE642" s="1" t="s">
        <v>93</v>
      </c>
      <c r="AF642" s="1" t="s">
        <v>12002</v>
      </c>
      <c r="AG642" s="1" t="s">
        <v>160</v>
      </c>
      <c r="AH642" s="1" t="s">
        <v>162</v>
      </c>
      <c r="AI642" s="1" t="s">
        <v>165</v>
      </c>
      <c r="AJ642" s="1">
        <v>96.4</v>
      </c>
      <c r="AK642" s="1"/>
      <c r="AL642" s="1" t="s">
        <v>12003</v>
      </c>
      <c r="AM642" s="1" t="s">
        <v>160</v>
      </c>
      <c r="AN642" s="1" t="s">
        <v>101</v>
      </c>
      <c r="AO642" s="1" t="s">
        <v>308</v>
      </c>
      <c r="AP642" s="1">
        <v>77.85</v>
      </c>
      <c r="AQ642" s="1"/>
      <c r="AR642" s="1"/>
      <c r="AS642" s="1"/>
      <c r="AT642" s="1"/>
      <c r="AU642" s="1"/>
      <c r="AV642" s="1"/>
      <c r="AW642" s="1"/>
      <c r="AX642" s="1" t="s">
        <v>253</v>
      </c>
      <c r="AY642" s="1" t="s">
        <v>12004</v>
      </c>
      <c r="AZ642" s="1" t="s">
        <v>310</v>
      </c>
      <c r="BA642" s="1" t="s">
        <v>682</v>
      </c>
      <c r="BB642" s="1">
        <v>67.7</v>
      </c>
      <c r="BC642" s="1">
        <v>7.52</v>
      </c>
      <c r="BD642" s="1"/>
      <c r="BE642" s="1"/>
      <c r="BF642" s="1"/>
      <c r="BG642" s="1"/>
      <c r="BH642" s="1"/>
      <c r="BI642" s="1"/>
      <c r="BJ642" s="1" t="s">
        <v>364</v>
      </c>
      <c r="BK642" s="1" t="s">
        <v>12005</v>
      </c>
      <c r="BL642" s="1" t="s">
        <v>2187</v>
      </c>
      <c r="BM642" s="1" t="s">
        <v>12006</v>
      </c>
      <c r="BN642" s="1">
        <v>17</v>
      </c>
      <c r="BO642" s="1"/>
      <c r="BP642" s="1" t="str">
        <f>HYPERLINK("https://nconnect.nicmar.ac.in/storage/profile/ProfilePhoto_P25700604_461283.jpg","Download")</f>
        <v>0</v>
      </c>
      <c r="BQ642" s="3"/>
      <c r="BR642" s="3"/>
    </row>
    <row r="643" spans="1:70">
      <c r="A643" s="1" t="s">
        <v>70</v>
      </c>
      <c r="B643" s="1" t="s">
        <v>1269</v>
      </c>
      <c r="C643" s="1" t="s">
        <v>12007</v>
      </c>
      <c r="D643" s="1" t="s">
        <v>12008</v>
      </c>
      <c r="E643" s="1" t="s">
        <v>12009</v>
      </c>
      <c r="F643" s="1" t="s">
        <v>12010</v>
      </c>
      <c r="G643" s="1" t="s">
        <v>12011</v>
      </c>
      <c r="H643" s="1" t="s">
        <v>12012</v>
      </c>
      <c r="I643" s="1" t="s">
        <v>12013</v>
      </c>
      <c r="J643" s="1">
        <v>9595924024</v>
      </c>
      <c r="K643" s="1" t="s">
        <v>79</v>
      </c>
      <c r="L643" s="1" t="s">
        <v>12014</v>
      </c>
      <c r="M643" s="1" t="s">
        <v>81</v>
      </c>
      <c r="N643" s="1" t="s">
        <v>2008</v>
      </c>
      <c r="O643" s="1"/>
      <c r="P643" s="1" t="s">
        <v>1278</v>
      </c>
      <c r="Q643" s="1" t="s">
        <v>12015</v>
      </c>
      <c r="R643" s="1" t="s">
        <v>12009</v>
      </c>
      <c r="S643" s="1">
        <v>9527599777</v>
      </c>
      <c r="T643" s="1" t="s">
        <v>496</v>
      </c>
      <c r="U643" s="1" t="s">
        <v>12016</v>
      </c>
      <c r="V643" s="1">
        <v>9850490299</v>
      </c>
      <c r="W643" s="1" t="s">
        <v>89</v>
      </c>
      <c r="X643" s="1" t="s">
        <v>12017</v>
      </c>
      <c r="Y643" s="1" t="s">
        <v>1174</v>
      </c>
      <c r="Z643" s="1" t="s">
        <v>92</v>
      </c>
      <c r="AA643" s="1" t="s">
        <v>12018</v>
      </c>
      <c r="AB643" s="1" t="s">
        <v>1174</v>
      </c>
      <c r="AC643" s="1" t="s">
        <v>92</v>
      </c>
      <c r="AD643" s="1">
        <v>9.11</v>
      </c>
      <c r="AE643" s="1" t="s">
        <v>93</v>
      </c>
      <c r="AF643" s="1" t="s">
        <v>12019</v>
      </c>
      <c r="AG643" s="1" t="s">
        <v>12020</v>
      </c>
      <c r="AH643" s="1" t="s">
        <v>503</v>
      </c>
      <c r="AI643" s="1" t="s">
        <v>527</v>
      </c>
      <c r="AJ643" s="1">
        <v>90.2</v>
      </c>
      <c r="AK643" s="1">
        <v>9.6</v>
      </c>
      <c r="AL643" s="1" t="s">
        <v>12021</v>
      </c>
      <c r="AM643" s="1" t="s">
        <v>12022</v>
      </c>
      <c r="AN643" s="1" t="s">
        <v>678</v>
      </c>
      <c r="AO643" s="1" t="s">
        <v>166</v>
      </c>
      <c r="AP643" s="1">
        <v>86.92</v>
      </c>
      <c r="AQ643" s="1">
        <v>0</v>
      </c>
      <c r="AR643" s="1"/>
      <c r="AS643" s="1"/>
      <c r="AT643" s="1"/>
      <c r="AU643" s="1"/>
      <c r="AV643" s="1"/>
      <c r="AW643" s="1"/>
      <c r="AX643" s="1" t="s">
        <v>361</v>
      </c>
      <c r="AY643" s="1" t="s">
        <v>12023</v>
      </c>
      <c r="AZ643" s="1" t="s">
        <v>636</v>
      </c>
      <c r="BA643" s="1" t="s">
        <v>105</v>
      </c>
      <c r="BB643" s="1">
        <v>83.5</v>
      </c>
      <c r="BC643" s="1">
        <v>9.49</v>
      </c>
      <c r="BD643" s="1"/>
      <c r="BE643" s="1"/>
      <c r="BF643" s="1"/>
      <c r="BG643" s="1"/>
      <c r="BH643" s="1"/>
      <c r="BI643" s="1"/>
      <c r="BJ643" s="1" t="s">
        <v>12024</v>
      </c>
      <c r="BK643" s="1"/>
      <c r="BL643" s="1"/>
      <c r="BM643" s="1" t="s">
        <v>12025</v>
      </c>
      <c r="BN643" s="1">
        <v>9</v>
      </c>
      <c r="BO643" s="1" t="s">
        <v>12026</v>
      </c>
      <c r="BP643" s="1" t="str">
        <f>HYPERLINK("https://nconnect.nicmar.ac.in/storage/profile/ProfilePhoto_P25700605_372681.jpg","Download")</f>
        <v>0</v>
      </c>
      <c r="BQ643" s="3"/>
      <c r="BR643" s="3"/>
    </row>
    <row r="644" spans="1:70">
      <c r="A644" s="1" t="s">
        <v>70</v>
      </c>
      <c r="B644" s="1" t="s">
        <v>1269</v>
      </c>
      <c r="C644" s="1" t="s">
        <v>12027</v>
      </c>
      <c r="D644" s="1" t="s">
        <v>10805</v>
      </c>
      <c r="E644" s="1" t="s">
        <v>12028</v>
      </c>
      <c r="F644" s="1" t="s">
        <v>9130</v>
      </c>
      <c r="G644" s="1" t="s">
        <v>12029</v>
      </c>
      <c r="H644" s="1" t="s">
        <v>12030</v>
      </c>
      <c r="I644" s="1" t="s">
        <v>12031</v>
      </c>
      <c r="J644" s="1">
        <v>7058530997</v>
      </c>
      <c r="K644" s="1" t="s">
        <v>79</v>
      </c>
      <c r="L644" s="1" t="s">
        <v>12032</v>
      </c>
      <c r="M644" s="1" t="s">
        <v>81</v>
      </c>
      <c r="N644" s="1" t="s">
        <v>1807</v>
      </c>
      <c r="O644" s="1"/>
      <c r="P644" s="1" t="s">
        <v>1766</v>
      </c>
      <c r="Q644" s="1" t="s">
        <v>12033</v>
      </c>
      <c r="R644" s="1" t="s">
        <v>12028</v>
      </c>
      <c r="S644" s="1">
        <v>9049642030</v>
      </c>
      <c r="T644" s="1" t="s">
        <v>12034</v>
      </c>
      <c r="U644" s="1" t="s">
        <v>12035</v>
      </c>
      <c r="V644" s="1">
        <v>9373523280</v>
      </c>
      <c r="W644" s="1" t="s">
        <v>156</v>
      </c>
      <c r="X644" s="1" t="s">
        <v>12036</v>
      </c>
      <c r="Y644" s="1" t="s">
        <v>379</v>
      </c>
      <c r="Z644" s="1" t="s">
        <v>92</v>
      </c>
      <c r="AA644" s="1" t="s">
        <v>12036</v>
      </c>
      <c r="AB644" s="1" t="s">
        <v>379</v>
      </c>
      <c r="AC644" s="1" t="s">
        <v>92</v>
      </c>
      <c r="AD644" s="1">
        <v>7.59</v>
      </c>
      <c r="AE644" s="1" t="s">
        <v>93</v>
      </c>
      <c r="AF644" s="1" t="s">
        <v>12037</v>
      </c>
      <c r="AG644" s="1" t="s">
        <v>455</v>
      </c>
      <c r="AH644" s="1" t="s">
        <v>1242</v>
      </c>
      <c r="AI644" s="1" t="s">
        <v>999</v>
      </c>
      <c r="AJ644" s="1">
        <v>64.8</v>
      </c>
      <c r="AK644" s="1"/>
      <c r="AL644" s="1"/>
      <c r="AM644" s="1"/>
      <c r="AN644" s="1"/>
      <c r="AO644" s="1"/>
      <c r="AP644" s="1"/>
      <c r="AQ644" s="1"/>
      <c r="AR644" s="1" t="s">
        <v>98</v>
      </c>
      <c r="AS644" s="1" t="s">
        <v>12038</v>
      </c>
      <c r="AT644" s="1" t="s">
        <v>1197</v>
      </c>
      <c r="AU644" s="1" t="s">
        <v>165</v>
      </c>
      <c r="AV644" s="1">
        <v>76.73</v>
      </c>
      <c r="AW644" s="1"/>
      <c r="AX644" s="1" t="s">
        <v>335</v>
      </c>
      <c r="AY644" s="1" t="s">
        <v>12039</v>
      </c>
      <c r="AZ644" s="1" t="s">
        <v>383</v>
      </c>
      <c r="BA644" s="1" t="s">
        <v>170</v>
      </c>
      <c r="BB644" s="1">
        <v>82.59</v>
      </c>
      <c r="BC644" s="1">
        <v>9</v>
      </c>
      <c r="BD644" s="1"/>
      <c r="BE644" s="1"/>
      <c r="BF644" s="1"/>
      <c r="BG644" s="1"/>
      <c r="BH644" s="1"/>
      <c r="BI644" s="1"/>
      <c r="BJ644" s="1" t="s">
        <v>12040</v>
      </c>
      <c r="BK644" s="1" t="s">
        <v>12041</v>
      </c>
      <c r="BL644" s="1" t="s">
        <v>1202</v>
      </c>
      <c r="BM644" s="1"/>
      <c r="BN644" s="1"/>
      <c r="BO644" s="1"/>
      <c r="BP644" s="1" t="str">
        <f>HYPERLINK("https://nconnect.nicmar.ac.in/storage/profile/ProfilePhoto_P25700606_536718.jpg","Download")</f>
        <v>0</v>
      </c>
      <c r="BQ644" s="3"/>
      <c r="BR644" s="3"/>
    </row>
    <row r="645" spans="1:70">
      <c r="A645" s="1" t="s">
        <v>70</v>
      </c>
      <c r="B645" s="1" t="s">
        <v>1269</v>
      </c>
      <c r="C645" s="1" t="s">
        <v>12042</v>
      </c>
      <c r="D645" s="1" t="s">
        <v>12043</v>
      </c>
      <c r="E645" s="1"/>
      <c r="F645" s="1" t="s">
        <v>12044</v>
      </c>
      <c r="G645" s="1" t="s">
        <v>12045</v>
      </c>
      <c r="H645" s="1" t="s">
        <v>12046</v>
      </c>
      <c r="I645" s="1" t="s">
        <v>12047</v>
      </c>
      <c r="J645" s="1">
        <v>8072589982</v>
      </c>
      <c r="K645" s="1" t="s">
        <v>79</v>
      </c>
      <c r="L645" s="1" t="s">
        <v>12048</v>
      </c>
      <c r="M645" s="1" t="s">
        <v>81</v>
      </c>
      <c r="N645" s="1" t="s">
        <v>12049</v>
      </c>
      <c r="O645" s="1"/>
      <c r="P645" s="1" t="s">
        <v>1278</v>
      </c>
      <c r="Q645" s="1" t="s">
        <v>12050</v>
      </c>
      <c r="R645" s="1" t="s">
        <v>12051</v>
      </c>
      <c r="S645" s="1">
        <v>9344603724</v>
      </c>
      <c r="T645" s="1" t="s">
        <v>842</v>
      </c>
      <c r="U645" s="1" t="s">
        <v>12052</v>
      </c>
      <c r="V645" s="1">
        <v>9486618674</v>
      </c>
      <c r="W645" s="1" t="s">
        <v>89</v>
      </c>
      <c r="X645" s="1" t="s">
        <v>12053</v>
      </c>
      <c r="Y645" s="1" t="s">
        <v>2929</v>
      </c>
      <c r="Z645" s="1" t="s">
        <v>1377</v>
      </c>
      <c r="AA645" s="1" t="s">
        <v>12053</v>
      </c>
      <c r="AB645" s="1" t="s">
        <v>2929</v>
      </c>
      <c r="AC645" s="1" t="s">
        <v>1377</v>
      </c>
      <c r="AD645" s="1">
        <v>8.21</v>
      </c>
      <c r="AE645" s="1" t="s">
        <v>93</v>
      </c>
      <c r="AF645" s="1" t="s">
        <v>12054</v>
      </c>
      <c r="AG645" s="1" t="s">
        <v>12055</v>
      </c>
      <c r="AH645" s="1" t="s">
        <v>101</v>
      </c>
      <c r="AI645" s="1" t="s">
        <v>1065</v>
      </c>
      <c r="AJ645" s="1">
        <v>85</v>
      </c>
      <c r="AK645" s="1">
        <v>8.5</v>
      </c>
      <c r="AL645" s="1" t="s">
        <v>12054</v>
      </c>
      <c r="AM645" s="1" t="s">
        <v>12055</v>
      </c>
      <c r="AN645" s="1" t="s">
        <v>699</v>
      </c>
      <c r="AO645" s="1" t="s">
        <v>3088</v>
      </c>
      <c r="AP645" s="1">
        <v>87.14</v>
      </c>
      <c r="AQ645" s="1">
        <v>8.71</v>
      </c>
      <c r="AR645" s="1"/>
      <c r="AS645" s="1"/>
      <c r="AT645" s="1"/>
      <c r="AU645" s="1"/>
      <c r="AV645" s="1"/>
      <c r="AW645" s="1"/>
      <c r="AX645" s="1" t="s">
        <v>7648</v>
      </c>
      <c r="AY645" s="1" t="s">
        <v>12056</v>
      </c>
      <c r="AZ645" s="1" t="s">
        <v>1131</v>
      </c>
      <c r="BA645" s="1" t="s">
        <v>1361</v>
      </c>
      <c r="BB645" s="1">
        <v>69.4</v>
      </c>
      <c r="BC645" s="1">
        <v>6.94</v>
      </c>
      <c r="BD645" s="1"/>
      <c r="BE645" s="1"/>
      <c r="BF645" s="1"/>
      <c r="BG645" s="1"/>
      <c r="BH645" s="1"/>
      <c r="BI645" s="1"/>
      <c r="BJ645" s="1" t="s">
        <v>255</v>
      </c>
      <c r="BK645" s="1"/>
      <c r="BL645" s="1"/>
      <c r="BM645" s="1" t="s">
        <v>12057</v>
      </c>
      <c r="BN645" s="1">
        <v>36</v>
      </c>
      <c r="BO645" s="1" t="s">
        <v>12058</v>
      </c>
      <c r="BP645" s="1" t="str">
        <f>HYPERLINK("https://nconnect.nicmar.ac.in/storage/profile/ProfilePhoto_P25700607_719423.jpg","Download")</f>
        <v>0</v>
      </c>
      <c r="BQ645" s="3"/>
      <c r="BR645" s="3"/>
    </row>
    <row r="646" spans="1:70">
      <c r="A646" s="1" t="s">
        <v>70</v>
      </c>
      <c r="B646" s="1" t="s">
        <v>1269</v>
      </c>
      <c r="C646" s="1" t="s">
        <v>12059</v>
      </c>
      <c r="D646" s="1" t="s">
        <v>12060</v>
      </c>
      <c r="E646" s="1"/>
      <c r="F646" s="1" t="s">
        <v>12061</v>
      </c>
      <c r="G646" s="1" t="s">
        <v>12062</v>
      </c>
      <c r="H646" s="1" t="s">
        <v>12063</v>
      </c>
      <c r="I646" s="1" t="s">
        <v>12064</v>
      </c>
      <c r="J646" s="1">
        <v>9701015631</v>
      </c>
      <c r="K646" s="1" t="s">
        <v>148</v>
      </c>
      <c r="L646" s="1" t="s">
        <v>954</v>
      </c>
      <c r="M646" s="1" t="s">
        <v>81</v>
      </c>
      <c r="N646" s="1" t="s">
        <v>12065</v>
      </c>
      <c r="O646" s="1"/>
      <c r="P646" s="1" t="s">
        <v>1323</v>
      </c>
      <c r="Q646" s="1" t="s">
        <v>12066</v>
      </c>
      <c r="R646" s="1" t="s">
        <v>12067</v>
      </c>
      <c r="S646" s="1">
        <v>7013121544</v>
      </c>
      <c r="T646" s="1" t="s">
        <v>12068</v>
      </c>
      <c r="U646" s="1" t="s">
        <v>12069</v>
      </c>
      <c r="V646" s="1">
        <v>7093221478</v>
      </c>
      <c r="W646" s="1" t="s">
        <v>12070</v>
      </c>
      <c r="X646" s="1" t="s">
        <v>12071</v>
      </c>
      <c r="Y646" s="1" t="s">
        <v>1150</v>
      </c>
      <c r="Z646" s="1" t="s">
        <v>276</v>
      </c>
      <c r="AA646" s="1" t="s">
        <v>12071</v>
      </c>
      <c r="AB646" s="1" t="s">
        <v>1150</v>
      </c>
      <c r="AC646" s="1" t="s">
        <v>276</v>
      </c>
      <c r="AD646" s="1">
        <v>8.44</v>
      </c>
      <c r="AE646" s="1" t="s">
        <v>93</v>
      </c>
      <c r="AF646" s="1" t="s">
        <v>12072</v>
      </c>
      <c r="AG646" s="1" t="s">
        <v>939</v>
      </c>
      <c r="AH646" s="1" t="s">
        <v>165</v>
      </c>
      <c r="AI646" s="1" t="s">
        <v>281</v>
      </c>
      <c r="AJ646" s="1">
        <v>85</v>
      </c>
      <c r="AK646" s="1"/>
      <c r="AL646" s="1" t="s">
        <v>612</v>
      </c>
      <c r="AM646" s="1" t="s">
        <v>2247</v>
      </c>
      <c r="AN646" s="1" t="s">
        <v>101</v>
      </c>
      <c r="AO646" s="1" t="s">
        <v>941</v>
      </c>
      <c r="AP646" s="1">
        <v>71.9</v>
      </c>
      <c r="AQ646" s="1">
        <v>8.03</v>
      </c>
      <c r="AR646" s="1"/>
      <c r="AS646" s="1"/>
      <c r="AT646" s="1"/>
      <c r="AU646" s="1"/>
      <c r="AV646" s="1"/>
      <c r="AW646" s="1"/>
      <c r="AX646" s="1" t="s">
        <v>12073</v>
      </c>
      <c r="AY646" s="1" t="s">
        <v>12074</v>
      </c>
      <c r="AZ646" s="1" t="s">
        <v>228</v>
      </c>
      <c r="BA646" s="1" t="s">
        <v>202</v>
      </c>
      <c r="BB646" s="1">
        <v>82.6</v>
      </c>
      <c r="BC646" s="1">
        <v>8.26</v>
      </c>
      <c r="BD646" s="1"/>
      <c r="BE646" s="1"/>
      <c r="BF646" s="1"/>
      <c r="BG646" s="1"/>
      <c r="BH646" s="1"/>
      <c r="BI646" s="1"/>
      <c r="BJ646" s="1" t="s">
        <v>1383</v>
      </c>
      <c r="BK646" s="1"/>
      <c r="BL646" s="1"/>
      <c r="BM646" s="1" t="s">
        <v>12075</v>
      </c>
      <c r="BN646" s="1">
        <v>13</v>
      </c>
      <c r="BO646" s="1"/>
      <c r="BP646" s="1" t="str">
        <f>HYPERLINK("https://nconnect.nicmar.ac.in/storage/profile/ProfilePhoto_P25700608_264975.jpg","Download")</f>
        <v>0</v>
      </c>
      <c r="BQ646" s="3"/>
      <c r="BR646" s="3"/>
    </row>
    <row r="647" spans="1:70">
      <c r="A647" s="1" t="s">
        <v>70</v>
      </c>
      <c r="B647" s="1" t="s">
        <v>1269</v>
      </c>
      <c r="C647" s="1" t="s">
        <v>12076</v>
      </c>
      <c r="D647" s="1" t="s">
        <v>643</v>
      </c>
      <c r="E647" s="1" t="s">
        <v>12077</v>
      </c>
      <c r="F647" s="1" t="s">
        <v>1039</v>
      </c>
      <c r="G647" s="1" t="s">
        <v>12078</v>
      </c>
      <c r="H647" s="1" t="s">
        <v>12079</v>
      </c>
      <c r="I647" s="1" t="s">
        <v>12080</v>
      </c>
      <c r="J647" s="1">
        <v>8691967130</v>
      </c>
      <c r="K647" s="1" t="s">
        <v>79</v>
      </c>
      <c r="L647" s="1" t="s">
        <v>2879</v>
      </c>
      <c r="M647" s="1" t="s">
        <v>81</v>
      </c>
      <c r="N647" s="1" t="s">
        <v>1418</v>
      </c>
      <c r="O647" s="1"/>
      <c r="P647" s="1" t="s">
        <v>1298</v>
      </c>
      <c r="Q647" s="1" t="s">
        <v>12081</v>
      </c>
      <c r="R647" s="1" t="s">
        <v>12082</v>
      </c>
      <c r="S647" s="1">
        <v>9869396814</v>
      </c>
      <c r="T647" s="1" t="s">
        <v>976</v>
      </c>
      <c r="U647" s="1" t="s">
        <v>12083</v>
      </c>
      <c r="V647" s="1">
        <v>9869650711</v>
      </c>
      <c r="W647" s="1" t="s">
        <v>156</v>
      </c>
      <c r="X647" s="1" t="s">
        <v>12084</v>
      </c>
      <c r="Y647" s="1" t="s">
        <v>766</v>
      </c>
      <c r="Z647" s="1" t="s">
        <v>92</v>
      </c>
      <c r="AA647" s="1" t="s">
        <v>12084</v>
      </c>
      <c r="AB647" s="1" t="s">
        <v>766</v>
      </c>
      <c r="AC647" s="1" t="s">
        <v>92</v>
      </c>
      <c r="AD647" s="1">
        <v>8.55</v>
      </c>
      <c r="AE647" s="1" t="s">
        <v>93</v>
      </c>
      <c r="AF647" s="1" t="s">
        <v>7767</v>
      </c>
      <c r="AG647" s="1" t="s">
        <v>12085</v>
      </c>
      <c r="AH647" s="1" t="s">
        <v>479</v>
      </c>
      <c r="AI647" s="1" t="s">
        <v>166</v>
      </c>
      <c r="AJ647" s="1">
        <v>79.2</v>
      </c>
      <c r="AK647" s="1"/>
      <c r="AL647" s="1" t="s">
        <v>7767</v>
      </c>
      <c r="AM647" s="1" t="s">
        <v>12085</v>
      </c>
      <c r="AN647" s="1" t="s">
        <v>310</v>
      </c>
      <c r="AO647" s="1" t="s">
        <v>173</v>
      </c>
      <c r="AP647" s="1">
        <v>77</v>
      </c>
      <c r="AQ647" s="1"/>
      <c r="AR647" s="1"/>
      <c r="AS647" s="1"/>
      <c r="AT647" s="1"/>
      <c r="AU647" s="1"/>
      <c r="AV647" s="1"/>
      <c r="AW647" s="1"/>
      <c r="AX647" s="1" t="s">
        <v>1024</v>
      </c>
      <c r="AY647" s="1" t="s">
        <v>12086</v>
      </c>
      <c r="AZ647" s="1" t="s">
        <v>173</v>
      </c>
      <c r="BA647" s="1" t="s">
        <v>1939</v>
      </c>
      <c r="BB647" s="1">
        <v>72.61</v>
      </c>
      <c r="BC647" s="1">
        <v>8.2</v>
      </c>
      <c r="BD647" s="1"/>
      <c r="BE647" s="1"/>
      <c r="BF647" s="1"/>
      <c r="BG647" s="1"/>
      <c r="BH647" s="1"/>
      <c r="BI647" s="1"/>
      <c r="BJ647" s="1" t="s">
        <v>12087</v>
      </c>
      <c r="BK647" s="1"/>
      <c r="BL647" s="1"/>
      <c r="BM647" s="1" t="s">
        <v>12088</v>
      </c>
      <c r="BN647" s="1">
        <v>25</v>
      </c>
      <c r="BO647" s="1" t="s">
        <v>12089</v>
      </c>
      <c r="BP647" s="1" t="str">
        <f>HYPERLINK("https://nconnect.nicmar.ac.in/storage/profile/ProfilePhoto_P25700609_852341.jpg","Download")</f>
        <v>0</v>
      </c>
      <c r="BQ647" s="3"/>
      <c r="BR647" s="3"/>
    </row>
    <row r="648" spans="1:70">
      <c r="A648" s="1" t="s">
        <v>70</v>
      </c>
      <c r="B648" s="1" t="s">
        <v>1269</v>
      </c>
      <c r="C648" s="1" t="s">
        <v>12090</v>
      </c>
      <c r="D648" s="1" t="s">
        <v>12091</v>
      </c>
      <c r="E648" s="1" t="s">
        <v>12092</v>
      </c>
      <c r="F648" s="1" t="s">
        <v>12093</v>
      </c>
      <c r="G648" s="1" t="s">
        <v>12094</v>
      </c>
      <c r="H648" s="1" t="s">
        <v>12095</v>
      </c>
      <c r="I648" s="1" t="s">
        <v>12096</v>
      </c>
      <c r="J648" s="1">
        <v>9766213841</v>
      </c>
      <c r="K648" s="1" t="s">
        <v>79</v>
      </c>
      <c r="L648" s="1" t="s">
        <v>12097</v>
      </c>
      <c r="M648" s="1" t="s">
        <v>81</v>
      </c>
      <c r="N648" s="1" t="s">
        <v>1765</v>
      </c>
      <c r="O648" s="1"/>
      <c r="P648" s="1" t="s">
        <v>1298</v>
      </c>
      <c r="Q648" s="1" t="s">
        <v>12098</v>
      </c>
      <c r="R648" s="1" t="s">
        <v>12092</v>
      </c>
      <c r="S648" s="1">
        <v>1234567890</v>
      </c>
      <c r="T648" s="1" t="s">
        <v>12099</v>
      </c>
      <c r="U648" s="1" t="s">
        <v>12100</v>
      </c>
      <c r="V648" s="1">
        <v>1234567890</v>
      </c>
      <c r="W648" s="1" t="s">
        <v>12099</v>
      </c>
      <c r="X648" s="1" t="s">
        <v>12101</v>
      </c>
      <c r="Y648" s="1" t="s">
        <v>5080</v>
      </c>
      <c r="Z648" s="1" t="s">
        <v>92</v>
      </c>
      <c r="AA648" s="1" t="s">
        <v>12101</v>
      </c>
      <c r="AB648" s="1" t="s">
        <v>5080</v>
      </c>
      <c r="AC648" s="1" t="s">
        <v>92</v>
      </c>
      <c r="AD648" s="1">
        <v>8.03</v>
      </c>
      <c r="AE648" s="1" t="s">
        <v>93</v>
      </c>
      <c r="AF648" s="1" t="s">
        <v>12102</v>
      </c>
      <c r="AG648" s="1" t="s">
        <v>476</v>
      </c>
      <c r="AH648" s="1" t="s">
        <v>128</v>
      </c>
      <c r="AI648" s="1" t="s">
        <v>1242</v>
      </c>
      <c r="AJ648" s="1">
        <v>68.8</v>
      </c>
      <c r="AK648" s="1"/>
      <c r="AL648" s="1" t="s">
        <v>12103</v>
      </c>
      <c r="AM648" s="1" t="s">
        <v>476</v>
      </c>
      <c r="AN648" s="1" t="s">
        <v>96</v>
      </c>
      <c r="AO648" s="1" t="s">
        <v>12104</v>
      </c>
      <c r="AP648" s="1">
        <v>53.38</v>
      </c>
      <c r="AQ648" s="1"/>
      <c r="AR648" s="1" t="s">
        <v>98</v>
      </c>
      <c r="AS648" s="1" t="s">
        <v>12105</v>
      </c>
      <c r="AT648" s="1" t="s">
        <v>100</v>
      </c>
      <c r="AU648" s="1" t="s">
        <v>165</v>
      </c>
      <c r="AV648" s="1">
        <v>69.76</v>
      </c>
      <c r="AW648" s="1"/>
      <c r="AX648" s="1" t="s">
        <v>253</v>
      </c>
      <c r="AY648" s="1" t="s">
        <v>12105</v>
      </c>
      <c r="AZ648" s="1" t="s">
        <v>383</v>
      </c>
      <c r="BA648" s="1" t="s">
        <v>941</v>
      </c>
      <c r="BB648" s="1">
        <v>64.46</v>
      </c>
      <c r="BC648" s="1">
        <v>7.09</v>
      </c>
      <c r="BD648" s="1"/>
      <c r="BE648" s="1"/>
      <c r="BF648" s="1"/>
      <c r="BG648" s="1"/>
      <c r="BH648" s="1"/>
      <c r="BI648" s="1"/>
      <c r="BJ648" s="1" t="s">
        <v>7948</v>
      </c>
      <c r="BK648" s="1" t="s">
        <v>12106</v>
      </c>
      <c r="BL648" s="1" t="s">
        <v>12107</v>
      </c>
      <c r="BM648" s="1" t="s">
        <v>12108</v>
      </c>
      <c r="BN648" s="1">
        <v>19</v>
      </c>
      <c r="BO648" s="1" t="s">
        <v>12109</v>
      </c>
      <c r="BP648" s="1" t="str">
        <f>HYPERLINK("https://nconnect.nicmar.ac.in/storage/profile/ProfilePhoto_P25700610_143892.jpg","Download")</f>
        <v>0</v>
      </c>
      <c r="BQ648" s="3"/>
      <c r="BR648" s="3"/>
    </row>
    <row r="649" spans="1:70">
      <c r="A649" s="1" t="s">
        <v>70</v>
      </c>
      <c r="B649" s="1" t="s">
        <v>1269</v>
      </c>
      <c r="C649" s="1" t="s">
        <v>12110</v>
      </c>
      <c r="D649" s="1" t="s">
        <v>5583</v>
      </c>
      <c r="E649" s="1" t="s">
        <v>1546</v>
      </c>
      <c r="F649" s="1" t="s">
        <v>12111</v>
      </c>
      <c r="G649" s="1" t="s">
        <v>12112</v>
      </c>
      <c r="H649" s="1" t="s">
        <v>12113</v>
      </c>
      <c r="I649" s="1" t="s">
        <v>12114</v>
      </c>
      <c r="J649" s="1">
        <v>9326356991</v>
      </c>
      <c r="K649" s="1" t="s">
        <v>79</v>
      </c>
      <c r="L649" s="1" t="s">
        <v>7457</v>
      </c>
      <c r="M649" s="1" t="s">
        <v>81</v>
      </c>
      <c r="N649" s="1" t="s">
        <v>860</v>
      </c>
      <c r="O649" s="1"/>
      <c r="P649" s="1" t="s">
        <v>1278</v>
      </c>
      <c r="Q649" s="1" t="s">
        <v>12115</v>
      </c>
      <c r="R649" s="1" t="s">
        <v>12116</v>
      </c>
      <c r="S649" s="1">
        <v>9699998901</v>
      </c>
      <c r="T649" s="1" t="s">
        <v>496</v>
      </c>
      <c r="U649" s="1" t="s">
        <v>12117</v>
      </c>
      <c r="V649" s="1">
        <v>8080998901</v>
      </c>
      <c r="W649" s="1" t="s">
        <v>89</v>
      </c>
      <c r="X649" s="1" t="s">
        <v>12118</v>
      </c>
      <c r="Y649" s="1" t="s">
        <v>1623</v>
      </c>
      <c r="Z649" s="1" t="s">
        <v>92</v>
      </c>
      <c r="AA649" s="1" t="s">
        <v>12118</v>
      </c>
      <c r="AB649" s="1" t="s">
        <v>1623</v>
      </c>
      <c r="AC649" s="1" t="s">
        <v>92</v>
      </c>
      <c r="AD649" s="1">
        <v>8.93</v>
      </c>
      <c r="AE649" s="1" t="s">
        <v>93</v>
      </c>
      <c r="AF649" s="1" t="s">
        <v>12119</v>
      </c>
      <c r="AG649" s="1" t="s">
        <v>12120</v>
      </c>
      <c r="AH649" s="1" t="s">
        <v>165</v>
      </c>
      <c r="AI649" s="1" t="s">
        <v>281</v>
      </c>
      <c r="AJ649" s="1">
        <v>82.8</v>
      </c>
      <c r="AK649" s="1"/>
      <c r="AL649" s="1" t="s">
        <v>12121</v>
      </c>
      <c r="AM649" s="1" t="s">
        <v>12120</v>
      </c>
      <c r="AN649" s="1" t="s">
        <v>433</v>
      </c>
      <c r="AO649" s="1" t="s">
        <v>360</v>
      </c>
      <c r="AP649" s="1">
        <v>73.38</v>
      </c>
      <c r="AQ649" s="1"/>
      <c r="AR649" s="1"/>
      <c r="AS649" s="1"/>
      <c r="AT649" s="1"/>
      <c r="AU649" s="1"/>
      <c r="AV649" s="1"/>
      <c r="AW649" s="1"/>
      <c r="AX649" s="1" t="s">
        <v>253</v>
      </c>
      <c r="AY649" s="1" t="s">
        <v>12122</v>
      </c>
      <c r="AZ649" s="1" t="s">
        <v>681</v>
      </c>
      <c r="BA649" s="1" t="s">
        <v>413</v>
      </c>
      <c r="BB649" s="1">
        <v>74.18</v>
      </c>
      <c r="BC649" s="1">
        <v>8.14</v>
      </c>
      <c r="BD649" s="1"/>
      <c r="BE649" s="1"/>
      <c r="BF649" s="1"/>
      <c r="BG649" s="1"/>
      <c r="BH649" s="1"/>
      <c r="BI649" s="1"/>
      <c r="BJ649" s="1" t="s">
        <v>1383</v>
      </c>
      <c r="BK649" s="1" t="s">
        <v>12123</v>
      </c>
      <c r="BL649" s="1" t="s">
        <v>484</v>
      </c>
      <c r="BM649" s="1" t="s">
        <v>12124</v>
      </c>
      <c r="BN649" s="1">
        <v>13</v>
      </c>
      <c r="BO649" s="1"/>
      <c r="BP649" s="1" t="str">
        <f>HYPERLINK("https://nconnect.nicmar.ac.in/storage/profile/ProfilePhoto_P25700611_842917.jpg","Download")</f>
        <v>0</v>
      </c>
      <c r="BQ649" s="3"/>
      <c r="BR649" s="3"/>
    </row>
    <row r="650" spans="1:70">
      <c r="A650" s="1" t="s">
        <v>70</v>
      </c>
      <c r="B650" s="1" t="s">
        <v>1269</v>
      </c>
      <c r="C650" s="1" t="s">
        <v>12125</v>
      </c>
      <c r="D650" s="1" t="s">
        <v>12126</v>
      </c>
      <c r="E650" s="1" t="s">
        <v>12127</v>
      </c>
      <c r="F650" s="1" t="s">
        <v>12128</v>
      </c>
      <c r="G650" s="1" t="s">
        <v>12129</v>
      </c>
      <c r="H650" s="1" t="s">
        <v>12130</v>
      </c>
      <c r="I650" s="1" t="s">
        <v>12131</v>
      </c>
      <c r="J650" s="1">
        <v>8097090016</v>
      </c>
      <c r="K650" s="1" t="s">
        <v>79</v>
      </c>
      <c r="L650" s="1" t="s">
        <v>8183</v>
      </c>
      <c r="M650" s="1" t="s">
        <v>81</v>
      </c>
      <c r="N650" s="1" t="s">
        <v>860</v>
      </c>
      <c r="O650" s="1"/>
      <c r="P650" s="1" t="s">
        <v>1298</v>
      </c>
      <c r="Q650" s="1" t="s">
        <v>12132</v>
      </c>
      <c r="R650" s="1" t="s">
        <v>12133</v>
      </c>
      <c r="S650" s="1">
        <v>7498231439</v>
      </c>
      <c r="T650" s="1" t="s">
        <v>7444</v>
      </c>
      <c r="U650" s="1" t="s">
        <v>12134</v>
      </c>
      <c r="V650" s="1">
        <v>8830604681</v>
      </c>
      <c r="W650" s="1" t="s">
        <v>273</v>
      </c>
      <c r="X650" s="1" t="s">
        <v>12135</v>
      </c>
      <c r="Y650" s="1" t="s">
        <v>766</v>
      </c>
      <c r="Z650" s="1" t="s">
        <v>92</v>
      </c>
      <c r="AA650" s="1" t="s">
        <v>12135</v>
      </c>
      <c r="AB650" s="1" t="s">
        <v>766</v>
      </c>
      <c r="AC650" s="1" t="s">
        <v>92</v>
      </c>
      <c r="AD650" s="1">
        <v>9.17</v>
      </c>
      <c r="AE650" s="1" t="s">
        <v>93</v>
      </c>
      <c r="AF650" s="1" t="s">
        <v>12136</v>
      </c>
      <c r="AG650" s="1" t="s">
        <v>1665</v>
      </c>
      <c r="AH650" s="1" t="s">
        <v>678</v>
      </c>
      <c r="AI650" s="1" t="s">
        <v>166</v>
      </c>
      <c r="AJ650" s="1">
        <v>62</v>
      </c>
      <c r="AK650" s="1"/>
      <c r="AL650" s="1" t="s">
        <v>12137</v>
      </c>
      <c r="AM650" s="1" t="s">
        <v>1665</v>
      </c>
      <c r="AN650" s="1" t="s">
        <v>1065</v>
      </c>
      <c r="AO650" s="1" t="s">
        <v>173</v>
      </c>
      <c r="AP650" s="1">
        <v>68</v>
      </c>
      <c r="AQ650" s="1"/>
      <c r="AR650" s="1"/>
      <c r="AS650" s="1"/>
      <c r="AT650" s="1"/>
      <c r="AU650" s="1"/>
      <c r="AV650" s="1"/>
      <c r="AW650" s="1"/>
      <c r="AX650" s="1" t="s">
        <v>1024</v>
      </c>
      <c r="AY650" s="1" t="s">
        <v>12138</v>
      </c>
      <c r="AZ650" s="1" t="s">
        <v>363</v>
      </c>
      <c r="BA650" s="1" t="s">
        <v>1939</v>
      </c>
      <c r="BB650" s="1">
        <v>73.97</v>
      </c>
      <c r="BC650" s="1">
        <v>8.22</v>
      </c>
      <c r="BD650" s="1"/>
      <c r="BE650" s="1"/>
      <c r="BF650" s="1"/>
      <c r="BG650" s="1"/>
      <c r="BH650" s="1"/>
      <c r="BI650" s="1"/>
      <c r="BJ650" s="1" t="s">
        <v>12139</v>
      </c>
      <c r="BK650" s="1"/>
      <c r="BL650" s="1"/>
      <c r="BM650" s="1" t="s">
        <v>12140</v>
      </c>
      <c r="BN650" s="1">
        <v>130</v>
      </c>
      <c r="BO650" s="1" t="s">
        <v>12141</v>
      </c>
      <c r="BP650" s="1" t="str">
        <f>HYPERLINK("https://nconnect.nicmar.ac.in/storage/profile/ProfilePhoto_P25700612_964275.jpg","Download")</f>
        <v>0</v>
      </c>
      <c r="BQ650" s="3"/>
      <c r="BR650" s="3"/>
    </row>
    <row r="651" spans="1:70">
      <c r="A651" s="1" t="s">
        <v>70</v>
      </c>
      <c r="B651" s="1" t="s">
        <v>1269</v>
      </c>
      <c r="C651" s="1" t="s">
        <v>12142</v>
      </c>
      <c r="D651" s="1" t="s">
        <v>12143</v>
      </c>
      <c r="E651" s="1"/>
      <c r="F651" s="1" t="s">
        <v>3584</v>
      </c>
      <c r="G651" s="1" t="s">
        <v>12144</v>
      </c>
      <c r="H651" s="1" t="s">
        <v>12145</v>
      </c>
      <c r="I651" s="1" t="s">
        <v>12146</v>
      </c>
      <c r="J651" s="1">
        <v>9345734480</v>
      </c>
      <c r="K651" s="1" t="s">
        <v>148</v>
      </c>
      <c r="L651" s="1" t="s">
        <v>6835</v>
      </c>
      <c r="M651" s="1" t="s">
        <v>81</v>
      </c>
      <c r="N651" s="1" t="s">
        <v>12147</v>
      </c>
      <c r="O651" s="1"/>
      <c r="P651" s="1" t="s">
        <v>1323</v>
      </c>
      <c r="Q651" s="1" t="s">
        <v>12148</v>
      </c>
      <c r="R651" s="1" t="s">
        <v>12149</v>
      </c>
      <c r="S651" s="1">
        <v>9443622246</v>
      </c>
      <c r="T651" s="1" t="s">
        <v>1398</v>
      </c>
      <c r="U651" s="1" t="s">
        <v>12150</v>
      </c>
      <c r="V651" s="1">
        <v>8072537791</v>
      </c>
      <c r="W651" s="1" t="s">
        <v>651</v>
      </c>
      <c r="X651" s="1" t="s">
        <v>12151</v>
      </c>
      <c r="Y651" s="1" t="s">
        <v>9690</v>
      </c>
      <c r="Z651" s="1" t="s">
        <v>1377</v>
      </c>
      <c r="AA651" s="1" t="s">
        <v>12151</v>
      </c>
      <c r="AB651" s="1" t="s">
        <v>9690</v>
      </c>
      <c r="AC651" s="1" t="s">
        <v>1377</v>
      </c>
      <c r="AD651" s="1">
        <v>9.08</v>
      </c>
      <c r="AE651" s="1" t="s">
        <v>93</v>
      </c>
      <c r="AF651" s="1" t="s">
        <v>12152</v>
      </c>
      <c r="AG651" s="1" t="s">
        <v>12153</v>
      </c>
      <c r="AH651" s="1" t="s">
        <v>165</v>
      </c>
      <c r="AI651" s="1" t="s">
        <v>166</v>
      </c>
      <c r="AJ651" s="1">
        <v>92.2</v>
      </c>
      <c r="AK651" s="1"/>
      <c r="AL651" s="1" t="s">
        <v>12152</v>
      </c>
      <c r="AM651" s="1" t="s">
        <v>12153</v>
      </c>
      <c r="AN651" s="1" t="s">
        <v>433</v>
      </c>
      <c r="AO651" s="1" t="s">
        <v>941</v>
      </c>
      <c r="AP651" s="1">
        <v>74.83</v>
      </c>
      <c r="AQ651" s="1"/>
      <c r="AR651" s="1"/>
      <c r="AS651" s="1"/>
      <c r="AT651" s="1"/>
      <c r="AU651" s="1"/>
      <c r="AV651" s="1"/>
      <c r="AW651" s="1"/>
      <c r="AX651" s="1" t="s">
        <v>12154</v>
      </c>
      <c r="AY651" s="1" t="s">
        <v>12154</v>
      </c>
      <c r="AZ651" s="1" t="s">
        <v>2463</v>
      </c>
      <c r="BA651" s="1" t="s">
        <v>1939</v>
      </c>
      <c r="BB651" s="1">
        <v>73.8</v>
      </c>
      <c r="BC651" s="1">
        <v>7.38</v>
      </c>
      <c r="BD651" s="1"/>
      <c r="BE651" s="1"/>
      <c r="BF651" s="1"/>
      <c r="BG651" s="1"/>
      <c r="BH651" s="1"/>
      <c r="BI651" s="1"/>
      <c r="BJ651" s="1" t="s">
        <v>12155</v>
      </c>
      <c r="BK651" s="1" t="s">
        <v>12156</v>
      </c>
      <c r="BL651" s="1" t="s">
        <v>484</v>
      </c>
      <c r="BM651" s="1" t="s">
        <v>12157</v>
      </c>
      <c r="BN651" s="1">
        <v>22</v>
      </c>
      <c r="BO651" s="1" t="s">
        <v>12158</v>
      </c>
      <c r="BP651" s="1" t="str">
        <f>HYPERLINK("https://nconnect.nicmar.ac.in/storage/profile/ProfilePhoto_P25700613_197586.jpg","Download")</f>
        <v>0</v>
      </c>
      <c r="BQ651" s="3"/>
      <c r="BR651" s="3"/>
    </row>
    <row r="652" spans="1:70">
      <c r="A652" s="1" t="s">
        <v>70</v>
      </c>
      <c r="B652" s="1" t="s">
        <v>1269</v>
      </c>
      <c r="C652" s="1" t="s">
        <v>12159</v>
      </c>
      <c r="D652" s="1" t="s">
        <v>1740</v>
      </c>
      <c r="E652" s="1"/>
      <c r="F652" s="1" t="s">
        <v>12160</v>
      </c>
      <c r="G652" s="1" t="s">
        <v>12161</v>
      </c>
      <c r="H652" s="1" t="s">
        <v>12162</v>
      </c>
      <c r="I652" s="1" t="s">
        <v>12163</v>
      </c>
      <c r="J652" s="1">
        <v>8103077636</v>
      </c>
      <c r="K652" s="1" t="s">
        <v>79</v>
      </c>
      <c r="L652" s="1" t="s">
        <v>12164</v>
      </c>
      <c r="M652" s="1" t="s">
        <v>81</v>
      </c>
      <c r="N652" s="1" t="s">
        <v>12165</v>
      </c>
      <c r="O652" s="1"/>
      <c r="P652" s="1" t="s">
        <v>1323</v>
      </c>
      <c r="Q652" s="1" t="s">
        <v>12166</v>
      </c>
      <c r="R652" s="1" t="s">
        <v>12167</v>
      </c>
      <c r="S652" s="1">
        <v>9589709900</v>
      </c>
      <c r="T652" s="1" t="s">
        <v>154</v>
      </c>
      <c r="U652" s="1" t="s">
        <v>12168</v>
      </c>
      <c r="V652" s="1">
        <v>7000239907</v>
      </c>
      <c r="W652" s="1" t="s">
        <v>12169</v>
      </c>
      <c r="X652" s="1" t="s">
        <v>12170</v>
      </c>
      <c r="Y652" s="1" t="s">
        <v>8691</v>
      </c>
      <c r="Z652" s="1" t="s">
        <v>936</v>
      </c>
      <c r="AA652" s="1" t="s">
        <v>12170</v>
      </c>
      <c r="AB652" s="1" t="s">
        <v>8691</v>
      </c>
      <c r="AC652" s="1" t="s">
        <v>936</v>
      </c>
      <c r="AD652" s="1">
        <v>7.78</v>
      </c>
      <c r="AE652" s="1" t="s">
        <v>93</v>
      </c>
      <c r="AF652" s="1" t="s">
        <v>12171</v>
      </c>
      <c r="AG652" s="1" t="s">
        <v>11970</v>
      </c>
      <c r="AH652" s="1" t="s">
        <v>527</v>
      </c>
      <c r="AI652" s="1" t="s">
        <v>195</v>
      </c>
      <c r="AJ652" s="1">
        <v>84.83</v>
      </c>
      <c r="AK652" s="1"/>
      <c r="AL652" s="1" t="s">
        <v>12172</v>
      </c>
      <c r="AM652" s="1" t="s">
        <v>11970</v>
      </c>
      <c r="AN652" s="1" t="s">
        <v>166</v>
      </c>
      <c r="AO652" s="1" t="s">
        <v>409</v>
      </c>
      <c r="AP652" s="1">
        <v>74.8</v>
      </c>
      <c r="AQ652" s="1"/>
      <c r="AR652" s="1"/>
      <c r="AS652" s="1"/>
      <c r="AT652" s="1"/>
      <c r="AU652" s="1"/>
      <c r="AV652" s="1"/>
      <c r="AW652" s="1"/>
      <c r="AX652" s="1" t="s">
        <v>12173</v>
      </c>
      <c r="AY652" s="1" t="s">
        <v>12174</v>
      </c>
      <c r="AZ652" s="1" t="s">
        <v>308</v>
      </c>
      <c r="BA652" s="1" t="s">
        <v>682</v>
      </c>
      <c r="BB652" s="1">
        <v>82.4</v>
      </c>
      <c r="BC652" s="1">
        <v>8.24</v>
      </c>
      <c r="BD652" s="1"/>
      <c r="BE652" s="1"/>
      <c r="BF652" s="1"/>
      <c r="BG652" s="1"/>
      <c r="BH652" s="1"/>
      <c r="BI652" s="1"/>
      <c r="BJ652" s="1" t="s">
        <v>1715</v>
      </c>
      <c r="BK652" s="1" t="s">
        <v>12175</v>
      </c>
      <c r="BL652" s="1" t="s">
        <v>2914</v>
      </c>
      <c r="BM652" s="1" t="s">
        <v>12176</v>
      </c>
      <c r="BN652" s="1">
        <v>8</v>
      </c>
      <c r="BO652" s="1" t="s">
        <v>2482</v>
      </c>
      <c r="BP652" s="1" t="str">
        <f>HYPERLINK("https://nconnect.nicmar.ac.in/storage/profile/ProfilePhoto_P25700614_342179.jpg","Download")</f>
        <v>0</v>
      </c>
      <c r="BQ652" s="3"/>
      <c r="BR652" s="3"/>
    </row>
    <row r="653" spans="1:70">
      <c r="A653" s="1" t="s">
        <v>70</v>
      </c>
      <c r="B653" s="1" t="s">
        <v>1269</v>
      </c>
      <c r="C653" s="1" t="s">
        <v>12177</v>
      </c>
      <c r="D653" s="1" t="s">
        <v>110</v>
      </c>
      <c r="E653" s="1" t="s">
        <v>5413</v>
      </c>
      <c r="F653" s="1" t="s">
        <v>12178</v>
      </c>
      <c r="G653" s="1" t="s">
        <v>12179</v>
      </c>
      <c r="H653" s="1" t="s">
        <v>12180</v>
      </c>
      <c r="I653" s="1" t="s">
        <v>12181</v>
      </c>
      <c r="J653" s="1">
        <v>9076212755</v>
      </c>
      <c r="K653" s="1" t="s">
        <v>79</v>
      </c>
      <c r="L653" s="1" t="s">
        <v>12182</v>
      </c>
      <c r="M653" s="1" t="s">
        <v>81</v>
      </c>
      <c r="N653" s="1" t="s">
        <v>12183</v>
      </c>
      <c r="O653" s="1"/>
      <c r="P653" s="1"/>
      <c r="Q653" s="1" t="s">
        <v>12184</v>
      </c>
      <c r="R653" s="1" t="s">
        <v>12185</v>
      </c>
      <c r="S653" s="1">
        <v>9820868488</v>
      </c>
      <c r="T653" s="1" t="s">
        <v>763</v>
      </c>
      <c r="U653" s="1" t="s">
        <v>12186</v>
      </c>
      <c r="V653" s="1">
        <v>8652303318</v>
      </c>
      <c r="W653" s="1" t="s">
        <v>273</v>
      </c>
      <c r="X653" s="1" t="s">
        <v>12187</v>
      </c>
      <c r="Y653" s="1" t="s">
        <v>1018</v>
      </c>
      <c r="Z653" s="1" t="s">
        <v>92</v>
      </c>
      <c r="AA653" s="1" t="s">
        <v>12187</v>
      </c>
      <c r="AB653" s="1" t="s">
        <v>1018</v>
      </c>
      <c r="AC653" s="1" t="s">
        <v>92</v>
      </c>
      <c r="AD653" s="1">
        <v>7.89</v>
      </c>
      <c r="AE653" s="1" t="s">
        <v>93</v>
      </c>
      <c r="AF653" s="1" t="s">
        <v>6909</v>
      </c>
      <c r="AG653" s="1" t="s">
        <v>9619</v>
      </c>
      <c r="AH653" s="1" t="s">
        <v>162</v>
      </c>
      <c r="AI653" s="1" t="s">
        <v>165</v>
      </c>
      <c r="AJ653" s="1">
        <v>68</v>
      </c>
      <c r="AK653" s="1"/>
      <c r="AL653" s="1" t="s">
        <v>12188</v>
      </c>
      <c r="AM653" s="1" t="s">
        <v>9619</v>
      </c>
      <c r="AN653" s="1" t="s">
        <v>169</v>
      </c>
      <c r="AO653" s="1" t="s">
        <v>409</v>
      </c>
      <c r="AP653" s="1">
        <v>66.62</v>
      </c>
      <c r="AQ653" s="1"/>
      <c r="AR653" s="1"/>
      <c r="AS653" s="1"/>
      <c r="AT653" s="1"/>
      <c r="AU653" s="1"/>
      <c r="AV653" s="1"/>
      <c r="AW653" s="1"/>
      <c r="AX653" s="1" t="s">
        <v>253</v>
      </c>
      <c r="AY653" s="1" t="s">
        <v>12189</v>
      </c>
      <c r="AZ653" s="1" t="s">
        <v>104</v>
      </c>
      <c r="BA653" s="1" t="s">
        <v>682</v>
      </c>
      <c r="BB653" s="1">
        <v>70.21</v>
      </c>
      <c r="BC653" s="1">
        <v>7.91</v>
      </c>
      <c r="BD653" s="1"/>
      <c r="BE653" s="1"/>
      <c r="BF653" s="1"/>
      <c r="BG653" s="1"/>
      <c r="BH653" s="1"/>
      <c r="BI653" s="1"/>
      <c r="BJ653" s="1" t="s">
        <v>1383</v>
      </c>
      <c r="BK653" s="1" t="s">
        <v>12190</v>
      </c>
      <c r="BL653" s="1" t="s">
        <v>2305</v>
      </c>
      <c r="BM653" s="1" t="s">
        <v>12191</v>
      </c>
      <c r="BN653" s="1">
        <v>29</v>
      </c>
      <c r="BO653" s="1"/>
      <c r="BP653" s="1" t="str">
        <f>HYPERLINK("https://nconnect.nicmar.ac.in/storage/profile/ProfilePhoto_P25700615_362518.jpg","Download")</f>
        <v>0</v>
      </c>
      <c r="BQ653" s="3"/>
      <c r="BR653" s="3"/>
    </row>
    <row r="654" spans="1:70">
      <c r="A654" s="1" t="s">
        <v>70</v>
      </c>
      <c r="B654" s="1" t="s">
        <v>1269</v>
      </c>
      <c r="C654" s="1" t="s">
        <v>12192</v>
      </c>
      <c r="D654" s="1" t="s">
        <v>3657</v>
      </c>
      <c r="E654" s="1" t="s">
        <v>4434</v>
      </c>
      <c r="F654" s="1" t="s">
        <v>12193</v>
      </c>
      <c r="G654" s="1" t="s">
        <v>12194</v>
      </c>
      <c r="H654" s="1" t="s">
        <v>12195</v>
      </c>
      <c r="I654" s="1" t="s">
        <v>12196</v>
      </c>
      <c r="J654" s="1">
        <v>8080225439</v>
      </c>
      <c r="K654" s="1" t="s">
        <v>79</v>
      </c>
      <c r="L654" s="1" t="s">
        <v>7111</v>
      </c>
      <c r="M654" s="1" t="s">
        <v>81</v>
      </c>
      <c r="N654" s="1" t="s">
        <v>2008</v>
      </c>
      <c r="O654" s="1"/>
      <c r="P654" s="1" t="s">
        <v>1323</v>
      </c>
      <c r="Q654" s="1" t="s">
        <v>12197</v>
      </c>
      <c r="R654" s="1" t="s">
        <v>12198</v>
      </c>
      <c r="S654" s="1">
        <v>9049554146</v>
      </c>
      <c r="T654" s="1" t="s">
        <v>496</v>
      </c>
      <c r="U654" s="1" t="s">
        <v>12199</v>
      </c>
      <c r="V654" s="1">
        <v>9923544615</v>
      </c>
      <c r="W654" s="1" t="s">
        <v>156</v>
      </c>
      <c r="X654" s="1" t="s">
        <v>12200</v>
      </c>
      <c r="Y654" s="1" t="s">
        <v>405</v>
      </c>
      <c r="Z654" s="1" t="s">
        <v>92</v>
      </c>
      <c r="AA654" s="1" t="s">
        <v>12200</v>
      </c>
      <c r="AB654" s="1" t="s">
        <v>405</v>
      </c>
      <c r="AC654" s="1" t="s">
        <v>92</v>
      </c>
      <c r="AD654" s="1">
        <v>7.13</v>
      </c>
      <c r="AE654" s="1" t="s">
        <v>93</v>
      </c>
      <c r="AF654" s="1" t="s">
        <v>12201</v>
      </c>
      <c r="AG654" s="1" t="s">
        <v>160</v>
      </c>
      <c r="AH654" s="1" t="s">
        <v>166</v>
      </c>
      <c r="AI654" s="1" t="s">
        <v>409</v>
      </c>
      <c r="AJ654" s="1">
        <v>76.4</v>
      </c>
      <c r="AK654" s="1">
        <v>0</v>
      </c>
      <c r="AL654" s="1"/>
      <c r="AM654" s="1"/>
      <c r="AN654" s="1"/>
      <c r="AO654" s="1"/>
      <c r="AP654" s="1"/>
      <c r="AQ654" s="1"/>
      <c r="AR654" s="1" t="s">
        <v>98</v>
      </c>
      <c r="AS654" s="1" t="s">
        <v>3163</v>
      </c>
      <c r="AT654" s="1" t="s">
        <v>310</v>
      </c>
      <c r="AU654" s="1" t="s">
        <v>105</v>
      </c>
      <c r="AV654" s="1">
        <v>79.35</v>
      </c>
      <c r="AW654" s="1">
        <v>0</v>
      </c>
      <c r="AX654" s="1" t="s">
        <v>410</v>
      </c>
      <c r="AY654" s="1" t="s">
        <v>6330</v>
      </c>
      <c r="AZ654" s="1" t="s">
        <v>2693</v>
      </c>
      <c r="BA654" s="1" t="s">
        <v>1714</v>
      </c>
      <c r="BB654" s="1">
        <v>66</v>
      </c>
      <c r="BC654" s="1">
        <v>7.35</v>
      </c>
      <c r="BD654" s="1"/>
      <c r="BE654" s="1"/>
      <c r="BF654" s="1"/>
      <c r="BG654" s="1"/>
      <c r="BH654" s="1"/>
      <c r="BI654" s="1"/>
      <c r="BJ654" s="1" t="s">
        <v>2080</v>
      </c>
      <c r="BK654" s="1"/>
      <c r="BL654" s="1"/>
      <c r="BM654" s="1" t="s">
        <v>12202</v>
      </c>
      <c r="BN654" s="1">
        <v>33</v>
      </c>
      <c r="BO654" s="1" t="s">
        <v>11852</v>
      </c>
      <c r="BP654" s="1" t="str">
        <f>HYPERLINK("https://nconnect.nicmar.ac.in/storage/profile/ProfilePhoto_P25700617_543618.jpg","Download")</f>
        <v>0</v>
      </c>
      <c r="BQ654" s="3"/>
      <c r="BR654" s="3"/>
    </row>
    <row r="655" spans="1:70">
      <c r="A655" s="1" t="s">
        <v>70</v>
      </c>
      <c r="B655" s="1" t="s">
        <v>1269</v>
      </c>
      <c r="C655" s="1" t="s">
        <v>12203</v>
      </c>
      <c r="D655" s="1" t="s">
        <v>12204</v>
      </c>
      <c r="E655" s="1" t="s">
        <v>1566</v>
      </c>
      <c r="F655" s="1" t="s">
        <v>12205</v>
      </c>
      <c r="G655" s="1" t="s">
        <v>12206</v>
      </c>
      <c r="H655" s="1" t="s">
        <v>12207</v>
      </c>
      <c r="I655" s="1" t="s">
        <v>12208</v>
      </c>
      <c r="J655" s="1">
        <v>9767686672</v>
      </c>
      <c r="K655" s="1" t="s">
        <v>79</v>
      </c>
      <c r="L655" s="1" t="s">
        <v>12209</v>
      </c>
      <c r="M655" s="1" t="s">
        <v>81</v>
      </c>
      <c r="N655" s="1" t="s">
        <v>9324</v>
      </c>
      <c r="O655" s="1"/>
      <c r="P655" s="1" t="s">
        <v>1766</v>
      </c>
      <c r="Q655" s="1" t="s">
        <v>12210</v>
      </c>
      <c r="R655" s="1" t="s">
        <v>12211</v>
      </c>
      <c r="S655" s="1">
        <v>9767664794</v>
      </c>
      <c r="T655" s="1" t="s">
        <v>472</v>
      </c>
      <c r="U655" s="1" t="s">
        <v>12212</v>
      </c>
      <c r="V655" s="1">
        <v>9767686672</v>
      </c>
      <c r="W655" s="1" t="s">
        <v>89</v>
      </c>
      <c r="X655" s="1" t="s">
        <v>12213</v>
      </c>
      <c r="Y655" s="1" t="s">
        <v>191</v>
      </c>
      <c r="Z655" s="1" t="s">
        <v>92</v>
      </c>
      <c r="AA655" s="1" t="s">
        <v>12213</v>
      </c>
      <c r="AB655" s="1" t="s">
        <v>191</v>
      </c>
      <c r="AC655" s="1" t="s">
        <v>92</v>
      </c>
      <c r="AD655" s="1">
        <v>8.85</v>
      </c>
      <c r="AE655" s="1" t="s">
        <v>93</v>
      </c>
      <c r="AF655" s="1" t="s">
        <v>12214</v>
      </c>
      <c r="AG655" s="1" t="s">
        <v>476</v>
      </c>
      <c r="AH655" s="1" t="s">
        <v>8032</v>
      </c>
      <c r="AI655" s="1" t="s">
        <v>281</v>
      </c>
      <c r="AJ655" s="1">
        <v>88.2</v>
      </c>
      <c r="AK655" s="1"/>
      <c r="AL655" s="1"/>
      <c r="AM655" s="1"/>
      <c r="AN655" s="1"/>
      <c r="AO655" s="1"/>
      <c r="AP655" s="1"/>
      <c r="AQ655" s="1"/>
      <c r="AR655" s="1" t="s">
        <v>98</v>
      </c>
      <c r="AS655" s="1" t="s">
        <v>8557</v>
      </c>
      <c r="AT655" s="1" t="s">
        <v>636</v>
      </c>
      <c r="AU655" s="1" t="s">
        <v>1051</v>
      </c>
      <c r="AV655" s="1">
        <v>89.13</v>
      </c>
      <c r="AW655" s="1"/>
      <c r="AX655" s="1" t="s">
        <v>361</v>
      </c>
      <c r="AY655" s="1" t="s">
        <v>12215</v>
      </c>
      <c r="AZ655" s="1" t="s">
        <v>897</v>
      </c>
      <c r="BA655" s="1" t="s">
        <v>413</v>
      </c>
      <c r="BB655" s="1">
        <v>75.44</v>
      </c>
      <c r="BC655" s="1">
        <v>8.37</v>
      </c>
      <c r="BD655" s="1"/>
      <c r="BE655" s="1"/>
      <c r="BF655" s="1"/>
      <c r="BG655" s="1"/>
      <c r="BH655" s="1"/>
      <c r="BI655" s="1"/>
      <c r="BJ655" s="1" t="s">
        <v>12216</v>
      </c>
      <c r="BK655" s="1" t="s">
        <v>12217</v>
      </c>
      <c r="BL655" s="1" t="s">
        <v>619</v>
      </c>
      <c r="BM655" s="1" t="s">
        <v>12218</v>
      </c>
      <c r="BN655" s="1">
        <v>25</v>
      </c>
      <c r="BO655" s="1" t="s">
        <v>12219</v>
      </c>
      <c r="BP655" s="1" t="str">
        <f>HYPERLINK("https://nconnect.nicmar.ac.in/storage/profile/ProfilePhoto_P25700618_523847.jpg","Download")</f>
        <v>0</v>
      </c>
      <c r="BQ655" s="3"/>
      <c r="BR655" s="3"/>
    </row>
    <row r="656" spans="1:70">
      <c r="A656" s="1" t="s">
        <v>70</v>
      </c>
      <c r="B656" s="1" t="s">
        <v>1269</v>
      </c>
      <c r="C656" s="1" t="s">
        <v>12220</v>
      </c>
      <c r="D656" s="1" t="s">
        <v>5815</v>
      </c>
      <c r="E656" s="1"/>
      <c r="F656" s="1" t="s">
        <v>596</v>
      </c>
      <c r="G656" s="1" t="s">
        <v>12221</v>
      </c>
      <c r="H656" s="1" t="s">
        <v>12222</v>
      </c>
      <c r="I656" s="1" t="s">
        <v>12223</v>
      </c>
      <c r="J656" s="1">
        <v>9660398562</v>
      </c>
      <c r="K656" s="1" t="s">
        <v>79</v>
      </c>
      <c r="L656" s="1" t="s">
        <v>12224</v>
      </c>
      <c r="M656" s="1" t="s">
        <v>81</v>
      </c>
      <c r="N656" s="1" t="s">
        <v>241</v>
      </c>
      <c r="O656" s="1"/>
      <c r="P656" s="1" t="s">
        <v>1278</v>
      </c>
      <c r="Q656" s="1" t="s">
        <v>12225</v>
      </c>
      <c r="R656" s="1" t="s">
        <v>12226</v>
      </c>
      <c r="S656" s="1">
        <v>9810081723</v>
      </c>
      <c r="T656" s="1" t="s">
        <v>87</v>
      </c>
      <c r="U656" s="1" t="s">
        <v>12227</v>
      </c>
      <c r="V656" s="1">
        <v>8826230147</v>
      </c>
      <c r="W656" s="1" t="s">
        <v>156</v>
      </c>
      <c r="X656" s="1" t="s">
        <v>12228</v>
      </c>
      <c r="Y656" s="1" t="s">
        <v>1957</v>
      </c>
      <c r="Z656" s="1" t="s">
        <v>1355</v>
      </c>
      <c r="AA656" s="1" t="s">
        <v>12228</v>
      </c>
      <c r="AB656" s="1" t="s">
        <v>1957</v>
      </c>
      <c r="AC656" s="1" t="s">
        <v>1355</v>
      </c>
      <c r="AD656" s="1">
        <v>7.75</v>
      </c>
      <c r="AE656" s="1" t="s">
        <v>93</v>
      </c>
      <c r="AF656" s="1" t="s">
        <v>12229</v>
      </c>
      <c r="AG656" s="1" t="s">
        <v>939</v>
      </c>
      <c r="AH656" s="1" t="s">
        <v>727</v>
      </c>
      <c r="AI656" s="1" t="s">
        <v>129</v>
      </c>
      <c r="AJ656" s="1">
        <v>77.9</v>
      </c>
      <c r="AK656" s="1">
        <v>8.2</v>
      </c>
      <c r="AL656" s="1" t="s">
        <v>12229</v>
      </c>
      <c r="AM656" s="1" t="s">
        <v>939</v>
      </c>
      <c r="AN656" s="1" t="s">
        <v>999</v>
      </c>
      <c r="AO656" s="1" t="s">
        <v>131</v>
      </c>
      <c r="AP656" s="1">
        <v>71.4</v>
      </c>
      <c r="AQ656" s="1"/>
      <c r="AR656" s="1"/>
      <c r="AS656" s="1"/>
      <c r="AT656" s="1"/>
      <c r="AU656" s="1"/>
      <c r="AV656" s="1"/>
      <c r="AW656" s="1"/>
      <c r="AX656" s="1" t="s">
        <v>4565</v>
      </c>
      <c r="AY656" s="1" t="s">
        <v>12230</v>
      </c>
      <c r="AZ656" s="1" t="s">
        <v>134</v>
      </c>
      <c r="BA656" s="1" t="s">
        <v>699</v>
      </c>
      <c r="BB656" s="1">
        <v>81.1</v>
      </c>
      <c r="BC656" s="1">
        <v>8.11</v>
      </c>
      <c r="BD656" s="1"/>
      <c r="BE656" s="1"/>
      <c r="BF656" s="1"/>
      <c r="BG656" s="1"/>
      <c r="BH656" s="1"/>
      <c r="BI656" s="1"/>
      <c r="BJ656" s="1" t="s">
        <v>4112</v>
      </c>
      <c r="BK656" s="1"/>
      <c r="BL656" s="1"/>
      <c r="BM656" s="1" t="s">
        <v>12231</v>
      </c>
      <c r="BN656" s="1">
        <v>7</v>
      </c>
      <c r="BO656" s="1"/>
      <c r="BP656" s="1" t="str">
        <f>HYPERLINK("https://nconnect.nicmar.ac.in/storage/profile/ProfilePhoto_P25700619_852364.jpg","Download")</f>
        <v>0</v>
      </c>
      <c r="BQ656" s="3"/>
      <c r="BR656" s="3"/>
    </row>
    <row r="657" spans="1:70">
      <c r="A657" s="1" t="s">
        <v>70</v>
      </c>
      <c r="B657" s="1" t="s">
        <v>1269</v>
      </c>
      <c r="C657" s="1" t="s">
        <v>12232</v>
      </c>
      <c r="D657" s="1" t="s">
        <v>443</v>
      </c>
      <c r="E657" s="1"/>
      <c r="F657" s="1" t="s">
        <v>950</v>
      </c>
      <c r="G657" s="1" t="s">
        <v>12233</v>
      </c>
      <c r="H657" s="1" t="s">
        <v>12234</v>
      </c>
      <c r="I657" s="1" t="s">
        <v>12235</v>
      </c>
      <c r="J657" s="1">
        <v>9499771930</v>
      </c>
      <c r="K657" s="1" t="s">
        <v>79</v>
      </c>
      <c r="L657" s="1" t="s">
        <v>12236</v>
      </c>
      <c r="M657" s="1" t="s">
        <v>81</v>
      </c>
      <c r="N657" s="1" t="s">
        <v>7887</v>
      </c>
      <c r="O657" s="1"/>
      <c r="P657" s="1" t="s">
        <v>1298</v>
      </c>
      <c r="Q657" s="1" t="s">
        <v>12237</v>
      </c>
      <c r="R657" s="1" t="s">
        <v>12238</v>
      </c>
      <c r="S657" s="1">
        <v>9328083234</v>
      </c>
      <c r="T657" s="1" t="s">
        <v>496</v>
      </c>
      <c r="U657" s="1" t="s">
        <v>12239</v>
      </c>
      <c r="V657" s="1">
        <v>8209130630</v>
      </c>
      <c r="W657" s="1" t="s">
        <v>156</v>
      </c>
      <c r="X657" s="1" t="s">
        <v>12240</v>
      </c>
      <c r="Y657" s="1" t="s">
        <v>12241</v>
      </c>
      <c r="Z657" s="1" t="s">
        <v>1468</v>
      </c>
      <c r="AA657" s="1" t="s">
        <v>12240</v>
      </c>
      <c r="AB657" s="1" t="s">
        <v>12241</v>
      </c>
      <c r="AC657" s="1" t="s">
        <v>1468</v>
      </c>
      <c r="AD657" s="1">
        <v>9.37</v>
      </c>
      <c r="AE657" s="1" t="s">
        <v>93</v>
      </c>
      <c r="AF657" s="1" t="s">
        <v>12242</v>
      </c>
      <c r="AG657" s="1" t="s">
        <v>12243</v>
      </c>
      <c r="AH657" s="1" t="s">
        <v>527</v>
      </c>
      <c r="AI657" s="1" t="s">
        <v>678</v>
      </c>
      <c r="AJ657" s="1">
        <v>93.1</v>
      </c>
      <c r="AK657" s="1">
        <v>9.8</v>
      </c>
      <c r="AL657" s="1" t="s">
        <v>12244</v>
      </c>
      <c r="AM657" s="1" t="s">
        <v>12243</v>
      </c>
      <c r="AN657" s="1" t="s">
        <v>166</v>
      </c>
      <c r="AO657" s="1" t="s">
        <v>1065</v>
      </c>
      <c r="AP657" s="1">
        <v>79.6</v>
      </c>
      <c r="AQ657" s="1">
        <v>0</v>
      </c>
      <c r="AR657" s="1"/>
      <c r="AS657" s="1"/>
      <c r="AT657" s="1"/>
      <c r="AU657" s="1"/>
      <c r="AV657" s="1"/>
      <c r="AW657" s="1"/>
      <c r="AX657" s="1" t="s">
        <v>12245</v>
      </c>
      <c r="AY657" s="1" t="s">
        <v>12246</v>
      </c>
      <c r="AZ657" s="1" t="s">
        <v>201</v>
      </c>
      <c r="BA657" s="1" t="s">
        <v>413</v>
      </c>
      <c r="BB657" s="1">
        <v>80</v>
      </c>
      <c r="BC657" s="1">
        <v>3.6</v>
      </c>
      <c r="BD657" s="1"/>
      <c r="BE657" s="1"/>
      <c r="BF657" s="1"/>
      <c r="BG657" s="1"/>
      <c r="BH657" s="1"/>
      <c r="BI657" s="1"/>
      <c r="BJ657" s="1" t="s">
        <v>12247</v>
      </c>
      <c r="BK657" s="1"/>
      <c r="BL657" s="1"/>
      <c r="BM657" s="1" t="s">
        <v>12248</v>
      </c>
      <c r="BN657" s="1">
        <v>25</v>
      </c>
      <c r="BO657" s="1" t="s">
        <v>12249</v>
      </c>
      <c r="BP657" s="1" t="str">
        <f>HYPERLINK("https://nconnect.nicmar.ac.in/storage/profile/ProfilePhoto_P25700620_259716.jpg","Download")</f>
        <v>0</v>
      </c>
      <c r="BQ657" s="3"/>
      <c r="BR657" s="3"/>
    </row>
    <row r="658" spans="1:70">
      <c r="A658" s="1" t="s">
        <v>70</v>
      </c>
      <c r="B658" s="1" t="s">
        <v>1269</v>
      </c>
      <c r="C658" s="1" t="s">
        <v>12250</v>
      </c>
      <c r="D658" s="1" t="s">
        <v>12251</v>
      </c>
      <c r="E658" s="1"/>
      <c r="F658" s="1" t="s">
        <v>1653</v>
      </c>
      <c r="G658" s="1" t="s">
        <v>12252</v>
      </c>
      <c r="H658" s="1" t="s">
        <v>12253</v>
      </c>
      <c r="I658" s="1" t="s">
        <v>12254</v>
      </c>
      <c r="J658" s="1">
        <v>8409867004</v>
      </c>
      <c r="K658" s="1" t="s">
        <v>79</v>
      </c>
      <c r="L658" s="1" t="s">
        <v>12255</v>
      </c>
      <c r="M658" s="1" t="s">
        <v>81</v>
      </c>
      <c r="N658" s="1" t="s">
        <v>241</v>
      </c>
      <c r="O658" s="1"/>
      <c r="P658" s="1" t="s">
        <v>1323</v>
      </c>
      <c r="Q658" s="1" t="s">
        <v>12256</v>
      </c>
      <c r="R658" s="1" t="s">
        <v>12257</v>
      </c>
      <c r="S658" s="1">
        <v>7070000750</v>
      </c>
      <c r="T658" s="1" t="s">
        <v>377</v>
      </c>
      <c r="U658" s="1" t="s">
        <v>12258</v>
      </c>
      <c r="V658" s="1">
        <v>7004229704</v>
      </c>
      <c r="W658" s="1" t="s">
        <v>2094</v>
      </c>
      <c r="X658" s="1" t="s">
        <v>12259</v>
      </c>
      <c r="Y658" s="1" t="s">
        <v>191</v>
      </c>
      <c r="Z658" s="1" t="s">
        <v>92</v>
      </c>
      <c r="AA658" s="1" t="s">
        <v>12260</v>
      </c>
      <c r="AB658" s="1" t="s">
        <v>845</v>
      </c>
      <c r="AC658" s="1" t="s">
        <v>846</v>
      </c>
      <c r="AD658" s="1" t="s">
        <v>93</v>
      </c>
      <c r="AE658" s="1" t="s">
        <v>93</v>
      </c>
      <c r="AF658" s="1" t="s">
        <v>12261</v>
      </c>
      <c r="AG658" s="1" t="s">
        <v>12262</v>
      </c>
      <c r="AH658" s="1" t="s">
        <v>1307</v>
      </c>
      <c r="AI658" s="1" t="s">
        <v>308</v>
      </c>
      <c r="AJ658" s="1">
        <v>64.4</v>
      </c>
      <c r="AK658" s="1">
        <v>6.4</v>
      </c>
      <c r="AL658" s="1" t="s">
        <v>12263</v>
      </c>
      <c r="AM658" s="1" t="s">
        <v>12262</v>
      </c>
      <c r="AN658" s="1" t="s">
        <v>1834</v>
      </c>
      <c r="AO658" s="1" t="s">
        <v>506</v>
      </c>
      <c r="AP658" s="1">
        <v>65.8</v>
      </c>
      <c r="AQ658" s="1">
        <v>6.5</v>
      </c>
      <c r="AR658" s="1"/>
      <c r="AS658" s="1"/>
      <c r="AT658" s="1"/>
      <c r="AU658" s="1"/>
      <c r="AV658" s="1"/>
      <c r="AW658" s="1"/>
      <c r="AX658" s="1" t="s">
        <v>1835</v>
      </c>
      <c r="AY658" s="1" t="s">
        <v>12264</v>
      </c>
      <c r="AZ658" s="1" t="s">
        <v>506</v>
      </c>
      <c r="BA658" s="1" t="s">
        <v>1361</v>
      </c>
      <c r="BB658" s="1">
        <v>72.9</v>
      </c>
      <c r="BC658" s="1">
        <v>7.29</v>
      </c>
      <c r="BD658" s="1"/>
      <c r="BE658" s="1"/>
      <c r="BF658" s="1"/>
      <c r="BG658" s="1"/>
      <c r="BH658" s="1"/>
      <c r="BI658" s="1"/>
      <c r="BJ658" s="1" t="s">
        <v>12265</v>
      </c>
      <c r="BK658" s="1"/>
      <c r="BL658" s="1"/>
      <c r="BM658" s="1" t="s">
        <v>12266</v>
      </c>
      <c r="BN658" s="1">
        <v>6</v>
      </c>
      <c r="BO658" s="1" t="s">
        <v>12267</v>
      </c>
      <c r="BP658" s="1" t="str">
        <f>HYPERLINK("https://nconnect.nicmar.ac.in/storage/profile/ProfilePhoto_P25700621_452871.jpg","Download")</f>
        <v>0</v>
      </c>
      <c r="BQ658" s="3"/>
      <c r="BR658" s="3"/>
    </row>
    <row r="659" spans="1:70">
      <c r="A659" s="1" t="s">
        <v>70</v>
      </c>
      <c r="B659" s="1" t="s">
        <v>1269</v>
      </c>
      <c r="C659" s="1" t="s">
        <v>12268</v>
      </c>
      <c r="D659" s="1" t="s">
        <v>533</v>
      </c>
      <c r="E659" s="1" t="s">
        <v>12269</v>
      </c>
      <c r="F659" s="1" t="s">
        <v>12270</v>
      </c>
      <c r="G659" s="1" t="s">
        <v>12271</v>
      </c>
      <c r="H659" s="1" t="s">
        <v>12272</v>
      </c>
      <c r="I659" s="1" t="s">
        <v>12273</v>
      </c>
      <c r="J659" s="1">
        <v>8050258662</v>
      </c>
      <c r="K659" s="1" t="s">
        <v>79</v>
      </c>
      <c r="L659" s="1" t="s">
        <v>1062</v>
      </c>
      <c r="M659" s="1" t="s">
        <v>81</v>
      </c>
      <c r="N659" s="1" t="s">
        <v>12274</v>
      </c>
      <c r="O659" s="1"/>
      <c r="P659" s="1" t="s">
        <v>1323</v>
      </c>
      <c r="Q659" s="1" t="s">
        <v>12275</v>
      </c>
      <c r="R659" s="1" t="s">
        <v>12276</v>
      </c>
      <c r="S659" s="1">
        <v>7498779095</v>
      </c>
      <c r="T659" s="1" t="s">
        <v>2767</v>
      </c>
      <c r="U659" s="1" t="s">
        <v>12277</v>
      </c>
      <c r="V659" s="1">
        <v>8867711442</v>
      </c>
      <c r="W659" s="1" t="s">
        <v>156</v>
      </c>
      <c r="X659" s="1" t="s">
        <v>12278</v>
      </c>
      <c r="Y659" s="1" t="s">
        <v>4771</v>
      </c>
      <c r="Z659" s="1" t="s">
        <v>1084</v>
      </c>
      <c r="AA659" s="1" t="s">
        <v>12279</v>
      </c>
      <c r="AB659" s="1" t="s">
        <v>4771</v>
      </c>
      <c r="AC659" s="1" t="s">
        <v>1084</v>
      </c>
      <c r="AD659" s="1">
        <v>8.31</v>
      </c>
      <c r="AE659" s="1" t="s">
        <v>93</v>
      </c>
      <c r="AF659" s="1" t="s">
        <v>12280</v>
      </c>
      <c r="AG659" s="1" t="s">
        <v>12281</v>
      </c>
      <c r="AH659" s="1" t="s">
        <v>165</v>
      </c>
      <c r="AI659" s="1" t="s">
        <v>281</v>
      </c>
      <c r="AJ659" s="1">
        <v>80.6</v>
      </c>
      <c r="AK659" s="1"/>
      <c r="AL659" s="1" t="s">
        <v>12282</v>
      </c>
      <c r="AM659" s="1" t="s">
        <v>12281</v>
      </c>
      <c r="AN659" s="1" t="s">
        <v>169</v>
      </c>
      <c r="AO659" s="1" t="s">
        <v>360</v>
      </c>
      <c r="AP659" s="1">
        <v>69.23</v>
      </c>
      <c r="AQ659" s="1"/>
      <c r="AR659" s="1"/>
      <c r="AS659" s="1"/>
      <c r="AT659" s="1"/>
      <c r="AU659" s="1"/>
      <c r="AV659" s="1"/>
      <c r="AW659" s="1"/>
      <c r="AX659" s="1" t="s">
        <v>12283</v>
      </c>
      <c r="AY659" s="1" t="s">
        <v>12284</v>
      </c>
      <c r="AZ659" s="1" t="s">
        <v>228</v>
      </c>
      <c r="BA659" s="1" t="s">
        <v>413</v>
      </c>
      <c r="BB659" s="1">
        <v>86.5</v>
      </c>
      <c r="BC659" s="1">
        <v>9.4</v>
      </c>
      <c r="BD659" s="1"/>
      <c r="BE659" s="1"/>
      <c r="BF659" s="1"/>
      <c r="BG659" s="1"/>
      <c r="BH659" s="1"/>
      <c r="BI659" s="1"/>
      <c r="BJ659" s="1" t="s">
        <v>364</v>
      </c>
      <c r="BK659" s="1"/>
      <c r="BL659" s="1"/>
      <c r="BM659" s="1" t="s">
        <v>12285</v>
      </c>
      <c r="BN659" s="1">
        <v>17</v>
      </c>
      <c r="BO659" s="1" t="s">
        <v>12286</v>
      </c>
      <c r="BP659" s="1" t="str">
        <f>HYPERLINK("https://nconnect.nicmar.ac.in/storage/profile/ProfilePhoto_P25700622_639152.jpg","Download")</f>
        <v>0</v>
      </c>
      <c r="BQ659" s="3"/>
      <c r="BR659" s="3"/>
    </row>
    <row r="660" spans="1:70">
      <c r="A660" s="1" t="s">
        <v>70</v>
      </c>
      <c r="B660" s="1" t="s">
        <v>1269</v>
      </c>
      <c r="C660" s="1" t="s">
        <v>12287</v>
      </c>
      <c r="D660" s="1" t="s">
        <v>5994</v>
      </c>
      <c r="E660" s="1" t="s">
        <v>2767</v>
      </c>
      <c r="F660" s="1" t="s">
        <v>12288</v>
      </c>
      <c r="G660" s="1" t="s">
        <v>12289</v>
      </c>
      <c r="H660" s="1" t="s">
        <v>12290</v>
      </c>
      <c r="I660" s="1" t="s">
        <v>12290</v>
      </c>
      <c r="J660" s="1">
        <v>9340569657</v>
      </c>
      <c r="K660" s="1" t="s">
        <v>148</v>
      </c>
      <c r="L660" s="1" t="s">
        <v>12291</v>
      </c>
      <c r="M660" s="1" t="s">
        <v>81</v>
      </c>
      <c r="N660" s="1" t="s">
        <v>5056</v>
      </c>
      <c r="O660" s="1"/>
      <c r="P660" s="1" t="s">
        <v>1323</v>
      </c>
      <c r="Q660" s="1" t="s">
        <v>12292</v>
      </c>
      <c r="R660" s="1" t="s">
        <v>12293</v>
      </c>
      <c r="S660" s="1">
        <v>7999296372</v>
      </c>
      <c r="T660" s="1" t="s">
        <v>496</v>
      </c>
      <c r="U660" s="1" t="s">
        <v>12294</v>
      </c>
      <c r="V660" s="1">
        <v>9131970979</v>
      </c>
      <c r="W660" s="1" t="s">
        <v>156</v>
      </c>
      <c r="X660" s="1" t="s">
        <v>12295</v>
      </c>
      <c r="Y660" s="1" t="s">
        <v>12296</v>
      </c>
      <c r="Z660" s="1" t="s">
        <v>1237</v>
      </c>
      <c r="AA660" s="1" t="s">
        <v>12295</v>
      </c>
      <c r="AB660" s="1" t="s">
        <v>12296</v>
      </c>
      <c r="AC660" s="1" t="s">
        <v>1237</v>
      </c>
      <c r="AD660" s="1">
        <v>7.79</v>
      </c>
      <c r="AE660" s="1" t="s">
        <v>93</v>
      </c>
      <c r="AF660" s="1" t="s">
        <v>12297</v>
      </c>
      <c r="AG660" s="1" t="s">
        <v>9727</v>
      </c>
      <c r="AH660" s="1" t="s">
        <v>678</v>
      </c>
      <c r="AI660" s="1" t="s">
        <v>166</v>
      </c>
      <c r="AJ660" s="1">
        <v>60.3</v>
      </c>
      <c r="AK660" s="1"/>
      <c r="AL660" s="1" t="s">
        <v>12298</v>
      </c>
      <c r="AM660" s="1" t="s">
        <v>9727</v>
      </c>
      <c r="AN660" s="1" t="s">
        <v>1065</v>
      </c>
      <c r="AO660" s="1" t="s">
        <v>173</v>
      </c>
      <c r="AP660" s="1">
        <v>61.8</v>
      </c>
      <c r="AQ660" s="1">
        <v>6.5</v>
      </c>
      <c r="AR660" s="1"/>
      <c r="AS660" s="1"/>
      <c r="AT660" s="1"/>
      <c r="AU660" s="1"/>
      <c r="AV660" s="1"/>
      <c r="AW660" s="1"/>
      <c r="AX660" s="1" t="s">
        <v>12299</v>
      </c>
      <c r="AY660" s="1" t="s">
        <v>12300</v>
      </c>
      <c r="AZ660" s="1" t="s">
        <v>920</v>
      </c>
      <c r="BA660" s="1" t="s">
        <v>944</v>
      </c>
      <c r="BB660" s="1">
        <v>74.95</v>
      </c>
      <c r="BC660" s="1">
        <v>8.3</v>
      </c>
      <c r="BD660" s="1"/>
      <c r="BE660" s="1"/>
      <c r="BF660" s="1"/>
      <c r="BG660" s="1"/>
      <c r="BH660" s="1"/>
      <c r="BI660" s="1"/>
      <c r="BJ660" s="1" t="s">
        <v>364</v>
      </c>
      <c r="BK660" s="1"/>
      <c r="BL660" s="1"/>
      <c r="BM660" s="1" t="s">
        <v>12301</v>
      </c>
      <c r="BN660" s="1">
        <v>19</v>
      </c>
      <c r="BO660" s="1" t="s">
        <v>2482</v>
      </c>
      <c r="BP660" s="1" t="str">
        <f>HYPERLINK("https://nconnect.nicmar.ac.in/storage/profile/ProfilePhoto_P25700623_438172.jpg","Download")</f>
        <v>0</v>
      </c>
      <c r="BQ660" s="3"/>
      <c r="BR660" s="3"/>
    </row>
    <row r="661" spans="1:70">
      <c r="A661" s="1" t="s">
        <v>70</v>
      </c>
      <c r="B661" s="1" t="s">
        <v>1269</v>
      </c>
      <c r="C661" s="1" t="s">
        <v>12302</v>
      </c>
      <c r="D661" s="1" t="s">
        <v>9874</v>
      </c>
      <c r="E661" s="1" t="s">
        <v>1640</v>
      </c>
      <c r="F661" s="1" t="s">
        <v>12303</v>
      </c>
      <c r="G661" s="1" t="s">
        <v>12304</v>
      </c>
      <c r="H661" s="1" t="s">
        <v>12305</v>
      </c>
      <c r="I661" s="1" t="s">
        <v>12306</v>
      </c>
      <c r="J661" s="1">
        <v>9371678782</v>
      </c>
      <c r="K661" s="1" t="s">
        <v>148</v>
      </c>
      <c r="L661" s="1" t="s">
        <v>8015</v>
      </c>
      <c r="M661" s="1" t="s">
        <v>81</v>
      </c>
      <c r="N661" s="1" t="s">
        <v>7854</v>
      </c>
      <c r="O661" s="1"/>
      <c r="P661" s="1" t="s">
        <v>1323</v>
      </c>
      <c r="Q661" s="1" t="s">
        <v>12307</v>
      </c>
      <c r="R661" s="1" t="s">
        <v>12308</v>
      </c>
      <c r="S661" s="1">
        <v>8806842424</v>
      </c>
      <c r="T661" s="1" t="s">
        <v>496</v>
      </c>
      <c r="U661" s="1" t="s">
        <v>12309</v>
      </c>
      <c r="V661" s="1">
        <v>8459247574</v>
      </c>
      <c r="W661" s="1" t="s">
        <v>12310</v>
      </c>
      <c r="X661" s="1" t="s">
        <v>12311</v>
      </c>
      <c r="Y661" s="1" t="s">
        <v>1424</v>
      </c>
      <c r="Z661" s="1" t="s">
        <v>92</v>
      </c>
      <c r="AA661" s="1" t="s">
        <v>12311</v>
      </c>
      <c r="AB661" s="1" t="s">
        <v>1424</v>
      </c>
      <c r="AC661" s="1" t="s">
        <v>92</v>
      </c>
      <c r="AD661" s="1">
        <v>8.46</v>
      </c>
      <c r="AE661" s="1" t="s">
        <v>93</v>
      </c>
      <c r="AF661" s="1" t="s">
        <v>12312</v>
      </c>
      <c r="AG661" s="1" t="s">
        <v>12313</v>
      </c>
      <c r="AH661" s="1" t="s">
        <v>165</v>
      </c>
      <c r="AI661" s="1" t="s">
        <v>166</v>
      </c>
      <c r="AJ661" s="1">
        <v>74</v>
      </c>
      <c r="AK661" s="1"/>
      <c r="AL661" s="1" t="s">
        <v>12314</v>
      </c>
      <c r="AM661" s="1" t="s">
        <v>12315</v>
      </c>
      <c r="AN661" s="1" t="s">
        <v>1065</v>
      </c>
      <c r="AO661" s="1" t="s">
        <v>360</v>
      </c>
      <c r="AP661" s="1">
        <v>60.31</v>
      </c>
      <c r="AQ661" s="1"/>
      <c r="AR661" s="1"/>
      <c r="AS661" s="1"/>
      <c r="AT661" s="1"/>
      <c r="AU661" s="1"/>
      <c r="AV661" s="1"/>
      <c r="AW661" s="1"/>
      <c r="AX661" s="1" t="s">
        <v>1853</v>
      </c>
      <c r="AY661" s="1" t="s">
        <v>12316</v>
      </c>
      <c r="AZ661" s="1" t="s">
        <v>173</v>
      </c>
      <c r="BA661" s="1" t="s">
        <v>1939</v>
      </c>
      <c r="BB661" s="1">
        <v>78.5</v>
      </c>
      <c r="BC661" s="1">
        <v>8.6</v>
      </c>
      <c r="BD661" s="1"/>
      <c r="BE661" s="1"/>
      <c r="BF661" s="1"/>
      <c r="BG661" s="1"/>
      <c r="BH661" s="1"/>
      <c r="BI661" s="1"/>
      <c r="BJ661" s="1" t="s">
        <v>12317</v>
      </c>
      <c r="BK661" s="1"/>
      <c r="BL661" s="1"/>
      <c r="BM661" s="1" t="s">
        <v>12318</v>
      </c>
      <c r="BN661" s="1">
        <v>27</v>
      </c>
      <c r="BO661" s="1"/>
      <c r="BP661" s="1" t="str">
        <f>HYPERLINK("https://nconnect.nicmar.ac.in/storage/profile/ProfilePhoto_P25700624_834795.jpg","Download")</f>
        <v>0</v>
      </c>
      <c r="BQ661" s="3"/>
      <c r="BR661" s="3"/>
    </row>
    <row r="662" spans="1:70">
      <c r="A662" s="1" t="s">
        <v>70</v>
      </c>
      <c r="B662" s="1" t="s">
        <v>1269</v>
      </c>
      <c r="C662" s="1" t="s">
        <v>12319</v>
      </c>
      <c r="D662" s="1" t="s">
        <v>143</v>
      </c>
      <c r="E662" s="1"/>
      <c r="F662" s="1" t="s">
        <v>2129</v>
      </c>
      <c r="G662" s="1" t="s">
        <v>12320</v>
      </c>
      <c r="H662" s="1" t="s">
        <v>12321</v>
      </c>
      <c r="I662" s="1" t="s">
        <v>12322</v>
      </c>
      <c r="J662" s="1">
        <v>8891630490</v>
      </c>
      <c r="K662" s="1" t="s">
        <v>148</v>
      </c>
      <c r="L662" s="1" t="s">
        <v>12323</v>
      </c>
      <c r="M662" s="1" t="s">
        <v>81</v>
      </c>
      <c r="N662" s="1" t="s">
        <v>4067</v>
      </c>
      <c r="O662" s="1"/>
      <c r="P662" s="1" t="s">
        <v>1766</v>
      </c>
      <c r="Q662" s="1" t="s">
        <v>12324</v>
      </c>
      <c r="R662" s="1" t="s">
        <v>12325</v>
      </c>
      <c r="S662" s="1">
        <v>8921884334</v>
      </c>
      <c r="T662" s="1" t="s">
        <v>496</v>
      </c>
      <c r="U662" s="1" t="s">
        <v>12326</v>
      </c>
      <c r="V662" s="1">
        <v>9400512590</v>
      </c>
      <c r="W662" s="1" t="s">
        <v>89</v>
      </c>
      <c r="X662" s="1" t="s">
        <v>12327</v>
      </c>
      <c r="Y662" s="1" t="s">
        <v>124</v>
      </c>
      <c r="Z662" s="1" t="s">
        <v>125</v>
      </c>
      <c r="AA662" s="1" t="s">
        <v>12327</v>
      </c>
      <c r="AB662" s="1" t="s">
        <v>124</v>
      </c>
      <c r="AC662" s="1" t="s">
        <v>125</v>
      </c>
      <c r="AD662" s="1">
        <v>8.82</v>
      </c>
      <c r="AE662" s="1" t="s">
        <v>93</v>
      </c>
      <c r="AF662" s="1" t="s">
        <v>12328</v>
      </c>
      <c r="AG662" s="1" t="s">
        <v>12329</v>
      </c>
      <c r="AH662" s="1" t="s">
        <v>162</v>
      </c>
      <c r="AI662" s="1" t="s">
        <v>195</v>
      </c>
      <c r="AJ662" s="1">
        <v>95</v>
      </c>
      <c r="AK662" s="1">
        <v>10</v>
      </c>
      <c r="AL662" s="1" t="s">
        <v>12330</v>
      </c>
      <c r="AM662" s="1" t="s">
        <v>12331</v>
      </c>
      <c r="AN662" s="1" t="s">
        <v>165</v>
      </c>
      <c r="AO662" s="1" t="s">
        <v>409</v>
      </c>
      <c r="AP662" s="1">
        <v>91.91</v>
      </c>
      <c r="AQ662" s="1"/>
      <c r="AR662" s="1"/>
      <c r="AS662" s="1"/>
      <c r="AT662" s="1"/>
      <c r="AU662" s="1"/>
      <c r="AV662" s="1"/>
      <c r="AW662" s="1"/>
      <c r="AX662" s="1" t="s">
        <v>132</v>
      </c>
      <c r="AY662" s="1" t="s">
        <v>12332</v>
      </c>
      <c r="AZ662" s="1" t="s">
        <v>433</v>
      </c>
      <c r="BA662" s="1" t="s">
        <v>229</v>
      </c>
      <c r="BB662" s="1">
        <v>77.5</v>
      </c>
      <c r="BC662" s="1">
        <v>7.75</v>
      </c>
      <c r="BD662" s="1"/>
      <c r="BE662" s="1"/>
      <c r="BF662" s="1"/>
      <c r="BG662" s="1"/>
      <c r="BH662" s="1"/>
      <c r="BI662" s="1"/>
      <c r="BJ662" s="1" t="s">
        <v>12333</v>
      </c>
      <c r="BK662" s="1" t="s">
        <v>12334</v>
      </c>
      <c r="BL662" s="1" t="s">
        <v>1629</v>
      </c>
      <c r="BM662" s="1" t="s">
        <v>12335</v>
      </c>
      <c r="BN662" s="1">
        <v>8</v>
      </c>
      <c r="BO662" s="1" t="s">
        <v>12336</v>
      </c>
      <c r="BP662" s="1" t="str">
        <f>HYPERLINK("https://nconnect.nicmar.ac.in/storage/profile/ProfilePhoto_P25700626_346895.jpg","Download")</f>
        <v>0</v>
      </c>
      <c r="BQ662" s="3"/>
      <c r="BR662" s="3"/>
    </row>
    <row r="663" spans="1:70">
      <c r="A663" s="1" t="s">
        <v>70</v>
      </c>
      <c r="B663" s="1" t="s">
        <v>1269</v>
      </c>
      <c r="C663" s="1" t="s">
        <v>12337</v>
      </c>
      <c r="D663" s="1" t="s">
        <v>12338</v>
      </c>
      <c r="E663" s="1"/>
      <c r="F663" s="1" t="s">
        <v>5413</v>
      </c>
      <c r="G663" s="1" t="s">
        <v>12339</v>
      </c>
      <c r="H663" s="1" t="s">
        <v>12340</v>
      </c>
      <c r="I663" s="1" t="s">
        <v>12341</v>
      </c>
      <c r="J663" s="1">
        <v>8921042682</v>
      </c>
      <c r="K663" s="1" t="s">
        <v>79</v>
      </c>
      <c r="L663" s="1" t="s">
        <v>2681</v>
      </c>
      <c r="M663" s="1" t="s">
        <v>81</v>
      </c>
      <c r="N663" s="1" t="s">
        <v>12342</v>
      </c>
      <c r="O663" s="1"/>
      <c r="P663" s="1" t="s">
        <v>1278</v>
      </c>
      <c r="Q663" s="1" t="s">
        <v>12343</v>
      </c>
      <c r="R663" s="1" t="s">
        <v>12344</v>
      </c>
      <c r="S663" s="1">
        <v>9495648450</v>
      </c>
      <c r="T663" s="1" t="s">
        <v>87</v>
      </c>
      <c r="U663" s="1" t="s">
        <v>12345</v>
      </c>
      <c r="V663" s="1">
        <v>9847095505</v>
      </c>
      <c r="W663" s="1" t="s">
        <v>122</v>
      </c>
      <c r="X663" s="1" t="s">
        <v>12346</v>
      </c>
      <c r="Y663" s="1" t="s">
        <v>891</v>
      </c>
      <c r="Z663" s="1" t="s">
        <v>125</v>
      </c>
      <c r="AA663" s="1" t="s">
        <v>12346</v>
      </c>
      <c r="AB663" s="1" t="s">
        <v>891</v>
      </c>
      <c r="AC663" s="1" t="s">
        <v>125</v>
      </c>
      <c r="AD663" s="1">
        <v>8.48</v>
      </c>
      <c r="AE663" s="1" t="s">
        <v>93</v>
      </c>
      <c r="AF663" s="1" t="s">
        <v>12347</v>
      </c>
      <c r="AG663" s="1" t="s">
        <v>12348</v>
      </c>
      <c r="AH663" s="1" t="s">
        <v>165</v>
      </c>
      <c r="AI663" s="1" t="s">
        <v>166</v>
      </c>
      <c r="AJ663" s="1">
        <v>77.8</v>
      </c>
      <c r="AK663" s="1"/>
      <c r="AL663" s="1" t="s">
        <v>12349</v>
      </c>
      <c r="AM663" s="1" t="s">
        <v>3707</v>
      </c>
      <c r="AN663" s="1" t="s">
        <v>433</v>
      </c>
      <c r="AO663" s="1" t="s">
        <v>173</v>
      </c>
      <c r="AP663" s="1">
        <v>78.83</v>
      </c>
      <c r="AQ663" s="1"/>
      <c r="AR663" s="1"/>
      <c r="AS663" s="1"/>
      <c r="AT663" s="1"/>
      <c r="AU663" s="1"/>
      <c r="AV663" s="1"/>
      <c r="AW663" s="1"/>
      <c r="AX663" s="1" t="s">
        <v>132</v>
      </c>
      <c r="AY663" s="1" t="s">
        <v>12350</v>
      </c>
      <c r="AZ663" s="1" t="s">
        <v>170</v>
      </c>
      <c r="BA663" s="1" t="s">
        <v>2103</v>
      </c>
      <c r="BB663" s="1">
        <v>69.7</v>
      </c>
      <c r="BC663" s="1">
        <v>6.97</v>
      </c>
      <c r="BD663" s="1"/>
      <c r="BE663" s="1"/>
      <c r="BF663" s="1"/>
      <c r="BG663" s="1"/>
      <c r="BH663" s="1"/>
      <c r="BI663" s="1"/>
      <c r="BJ663" s="1" t="s">
        <v>12351</v>
      </c>
      <c r="BK663" s="1"/>
      <c r="BL663" s="1"/>
      <c r="BM663" s="1" t="s">
        <v>12352</v>
      </c>
      <c r="BN663" s="1">
        <v>73</v>
      </c>
      <c r="BO663" s="1" t="s">
        <v>12353</v>
      </c>
      <c r="BP663" s="1" t="str">
        <f>HYPERLINK("https://nconnect.nicmar.ac.in/storage/profile/ProfilePhoto_P25700627_278145.jpg","Download")</f>
        <v>0</v>
      </c>
      <c r="BQ663" s="3"/>
      <c r="BR663" s="3"/>
    </row>
    <row r="664" spans="1:70">
      <c r="A664" s="1" t="s">
        <v>70</v>
      </c>
      <c r="B664" s="1" t="s">
        <v>1269</v>
      </c>
      <c r="C664" s="1" t="s">
        <v>12354</v>
      </c>
      <c r="D664" s="1" t="s">
        <v>3304</v>
      </c>
      <c r="E664" s="1" t="s">
        <v>596</v>
      </c>
      <c r="F664" s="1" t="s">
        <v>12355</v>
      </c>
      <c r="G664" s="1" t="s">
        <v>12356</v>
      </c>
      <c r="H664" s="1" t="s">
        <v>12357</v>
      </c>
      <c r="I664" s="1" t="s">
        <v>12358</v>
      </c>
      <c r="J664" s="1">
        <v>9676818100</v>
      </c>
      <c r="K664" s="1" t="s">
        <v>79</v>
      </c>
      <c r="L664" s="1" t="s">
        <v>12359</v>
      </c>
      <c r="M664" s="1" t="s">
        <v>81</v>
      </c>
      <c r="N664" s="1" t="s">
        <v>4259</v>
      </c>
      <c r="O664" s="1"/>
      <c r="P664" s="1" t="s">
        <v>1278</v>
      </c>
      <c r="Q664" s="1" t="s">
        <v>12360</v>
      </c>
      <c r="R664" s="1" t="s">
        <v>12361</v>
      </c>
      <c r="S664" s="1">
        <v>9701153762</v>
      </c>
      <c r="T664" s="1" t="s">
        <v>496</v>
      </c>
      <c r="U664" s="1" t="s">
        <v>12362</v>
      </c>
      <c r="V664" s="1">
        <v>8096616179</v>
      </c>
      <c r="W664" s="1" t="s">
        <v>651</v>
      </c>
      <c r="X664" s="1" t="s">
        <v>12363</v>
      </c>
      <c r="Y664" s="1" t="s">
        <v>275</v>
      </c>
      <c r="Z664" s="1" t="s">
        <v>276</v>
      </c>
      <c r="AA664" s="1" t="s">
        <v>12363</v>
      </c>
      <c r="AB664" s="1" t="s">
        <v>275</v>
      </c>
      <c r="AC664" s="1" t="s">
        <v>276</v>
      </c>
      <c r="AD664" s="1">
        <v>8.66</v>
      </c>
      <c r="AE664" s="1" t="s">
        <v>93</v>
      </c>
      <c r="AF664" s="1" t="s">
        <v>12364</v>
      </c>
      <c r="AG664" s="1" t="s">
        <v>2245</v>
      </c>
      <c r="AH664" s="1" t="s">
        <v>383</v>
      </c>
      <c r="AI664" s="1" t="s">
        <v>281</v>
      </c>
      <c r="AJ664" s="1">
        <v>93</v>
      </c>
      <c r="AK664" s="1">
        <v>9.3</v>
      </c>
      <c r="AL664" s="1"/>
      <c r="AM664" s="1"/>
      <c r="AN664" s="1"/>
      <c r="AO664" s="1"/>
      <c r="AP664" s="1"/>
      <c r="AQ664" s="1"/>
      <c r="AR664" s="1" t="s">
        <v>434</v>
      </c>
      <c r="AS664" s="1" t="s">
        <v>12365</v>
      </c>
      <c r="AT664" s="1" t="s">
        <v>101</v>
      </c>
      <c r="AU664" s="1" t="s">
        <v>3088</v>
      </c>
      <c r="AV664" s="1">
        <v>86</v>
      </c>
      <c r="AW664" s="1"/>
      <c r="AX664" s="1" t="s">
        <v>12366</v>
      </c>
      <c r="AY664" s="1" t="s">
        <v>12367</v>
      </c>
      <c r="AZ664" s="1" t="s">
        <v>897</v>
      </c>
      <c r="BA664" s="1" t="s">
        <v>413</v>
      </c>
      <c r="BB664" s="1">
        <v>72.7</v>
      </c>
      <c r="BC664" s="1">
        <v>8.02</v>
      </c>
      <c r="BD664" s="1"/>
      <c r="BE664" s="1"/>
      <c r="BF664" s="1"/>
      <c r="BG664" s="1"/>
      <c r="BH664" s="1"/>
      <c r="BI664" s="1"/>
      <c r="BJ664" s="1" t="s">
        <v>12368</v>
      </c>
      <c r="BK664" s="1"/>
      <c r="BL664" s="1"/>
      <c r="BM664" s="1" t="s">
        <v>12369</v>
      </c>
      <c r="BN664" s="1">
        <v>23</v>
      </c>
      <c r="BO664" s="1" t="s">
        <v>12370</v>
      </c>
      <c r="BP664" s="1" t="str">
        <f>HYPERLINK("https://nconnect.nicmar.ac.in/storage/profile/ProfilePhoto_P25700628_692713.jpg","Download")</f>
        <v>0</v>
      </c>
      <c r="BQ664" s="3"/>
      <c r="BR664" s="3"/>
    </row>
    <row r="665" spans="1:70">
      <c r="A665" s="1" t="s">
        <v>70</v>
      </c>
      <c r="B665" s="1" t="s">
        <v>1269</v>
      </c>
      <c r="C665" s="1" t="s">
        <v>12371</v>
      </c>
      <c r="D665" s="1" t="s">
        <v>12372</v>
      </c>
      <c r="E665" s="1"/>
      <c r="F665" s="1" t="s">
        <v>12373</v>
      </c>
      <c r="G665" s="1" t="s">
        <v>12374</v>
      </c>
      <c r="H665" s="1" t="s">
        <v>12375</v>
      </c>
      <c r="I665" s="1" t="s">
        <v>12376</v>
      </c>
      <c r="J665" s="1">
        <v>8918399949</v>
      </c>
      <c r="K665" s="1" t="s">
        <v>148</v>
      </c>
      <c r="L665" s="1" t="s">
        <v>12377</v>
      </c>
      <c r="M665" s="1" t="s">
        <v>81</v>
      </c>
      <c r="N665" s="1" t="s">
        <v>12378</v>
      </c>
      <c r="O665" s="1"/>
      <c r="P665" s="1" t="s">
        <v>1298</v>
      </c>
      <c r="Q665" s="1" t="s">
        <v>12379</v>
      </c>
      <c r="R665" s="1" t="s">
        <v>12380</v>
      </c>
      <c r="S665" s="1">
        <v>8250793233</v>
      </c>
      <c r="T665" s="1" t="s">
        <v>496</v>
      </c>
      <c r="U665" s="1" t="s">
        <v>12381</v>
      </c>
      <c r="V665" s="1">
        <v>9832013466</v>
      </c>
      <c r="W665" s="1" t="s">
        <v>716</v>
      </c>
      <c r="X665" s="1" t="s">
        <v>12382</v>
      </c>
      <c r="Y665" s="1" t="s">
        <v>12383</v>
      </c>
      <c r="Z665" s="1" t="s">
        <v>783</v>
      </c>
      <c r="AA665" s="1" t="s">
        <v>12382</v>
      </c>
      <c r="AB665" s="1" t="s">
        <v>12383</v>
      </c>
      <c r="AC665" s="1" t="s">
        <v>783</v>
      </c>
      <c r="AD665" s="1">
        <v>8.76</v>
      </c>
      <c r="AE665" s="1" t="s">
        <v>93</v>
      </c>
      <c r="AF665" s="1" t="s">
        <v>12384</v>
      </c>
      <c r="AG665" s="1" t="s">
        <v>12385</v>
      </c>
      <c r="AH665" s="1" t="s">
        <v>1197</v>
      </c>
      <c r="AI665" s="1" t="s">
        <v>131</v>
      </c>
      <c r="AJ665" s="1">
        <v>79.16</v>
      </c>
      <c r="AK665" s="1"/>
      <c r="AL665" s="1" t="s">
        <v>12384</v>
      </c>
      <c r="AM665" s="1" t="s">
        <v>12386</v>
      </c>
      <c r="AN665" s="1" t="s">
        <v>279</v>
      </c>
      <c r="AO665" s="1" t="s">
        <v>479</v>
      </c>
      <c r="AP665" s="1">
        <v>69.83</v>
      </c>
      <c r="AQ665" s="1"/>
      <c r="AR665" s="1"/>
      <c r="AS665" s="1"/>
      <c r="AT665" s="1"/>
      <c r="AU665" s="1"/>
      <c r="AV665" s="1"/>
      <c r="AW665" s="1"/>
      <c r="AX665" s="1" t="s">
        <v>12387</v>
      </c>
      <c r="AY665" s="1" t="s">
        <v>12388</v>
      </c>
      <c r="AZ665" s="1" t="s">
        <v>383</v>
      </c>
      <c r="BA665" s="1" t="s">
        <v>1003</v>
      </c>
      <c r="BB665" s="1">
        <v>62.5</v>
      </c>
      <c r="BC665" s="1">
        <v>6.75</v>
      </c>
      <c r="BD665" s="1"/>
      <c r="BE665" s="1"/>
      <c r="BF665" s="1"/>
      <c r="BG665" s="1"/>
      <c r="BH665" s="1"/>
      <c r="BI665" s="1"/>
      <c r="BJ665" s="1" t="s">
        <v>12389</v>
      </c>
      <c r="BK665" s="1" t="s">
        <v>12390</v>
      </c>
      <c r="BL665" s="1" t="s">
        <v>1337</v>
      </c>
      <c r="BM665" s="1" t="s">
        <v>12391</v>
      </c>
      <c r="BN665" s="1">
        <v>45</v>
      </c>
      <c r="BO665" s="1" t="s">
        <v>12392</v>
      </c>
      <c r="BP665" s="1" t="str">
        <f>HYPERLINK("https://nconnect.nicmar.ac.in/storage/profile/ProfilePhoto_P25700629_729153.jpg","Download")</f>
        <v>0</v>
      </c>
      <c r="BQ665" s="3"/>
      <c r="BR665" s="3"/>
    </row>
    <row r="666" spans="1:70">
      <c r="A666" s="1" t="s">
        <v>70</v>
      </c>
      <c r="B666" s="1" t="s">
        <v>1269</v>
      </c>
      <c r="C666" s="1" t="s">
        <v>12393</v>
      </c>
      <c r="D666" s="1" t="s">
        <v>1057</v>
      </c>
      <c r="E666" s="1"/>
      <c r="F666" s="1" t="s">
        <v>12394</v>
      </c>
      <c r="G666" s="1" t="s">
        <v>12395</v>
      </c>
      <c r="H666" s="1" t="s">
        <v>12396</v>
      </c>
      <c r="I666" s="1" t="s">
        <v>12397</v>
      </c>
      <c r="J666" s="1">
        <v>8547426138</v>
      </c>
      <c r="K666" s="1" t="s">
        <v>148</v>
      </c>
      <c r="L666" s="1" t="s">
        <v>11247</v>
      </c>
      <c r="M666" s="1" t="s">
        <v>81</v>
      </c>
      <c r="N666" s="1" t="s">
        <v>12398</v>
      </c>
      <c r="O666" s="1"/>
      <c r="P666" s="1" t="s">
        <v>1278</v>
      </c>
      <c r="Q666" s="1" t="s">
        <v>12399</v>
      </c>
      <c r="R666" s="1" t="s">
        <v>12400</v>
      </c>
      <c r="S666" s="1">
        <v>9847500577</v>
      </c>
      <c r="T666" s="1" t="s">
        <v>12401</v>
      </c>
      <c r="U666" s="1" t="s">
        <v>12402</v>
      </c>
      <c r="V666" s="1">
        <v>8113855864</v>
      </c>
      <c r="W666" s="1" t="s">
        <v>273</v>
      </c>
      <c r="X666" s="1" t="s">
        <v>12403</v>
      </c>
      <c r="Y666" s="1" t="s">
        <v>891</v>
      </c>
      <c r="Z666" s="1" t="s">
        <v>125</v>
      </c>
      <c r="AA666" s="1" t="s">
        <v>12403</v>
      </c>
      <c r="AB666" s="1" t="s">
        <v>891</v>
      </c>
      <c r="AC666" s="1" t="s">
        <v>125</v>
      </c>
      <c r="AD666" s="1">
        <v>8.67</v>
      </c>
      <c r="AE666" s="1" t="s">
        <v>93</v>
      </c>
      <c r="AF666" s="1" t="s">
        <v>12404</v>
      </c>
      <c r="AG666" s="1" t="s">
        <v>12405</v>
      </c>
      <c r="AH666" s="1" t="s">
        <v>165</v>
      </c>
      <c r="AI666" s="1" t="s">
        <v>281</v>
      </c>
      <c r="AJ666" s="1">
        <v>95</v>
      </c>
      <c r="AK666" s="1"/>
      <c r="AL666" s="1" t="s">
        <v>12406</v>
      </c>
      <c r="AM666" s="1" t="s">
        <v>12407</v>
      </c>
      <c r="AN666" s="1" t="s">
        <v>101</v>
      </c>
      <c r="AO666" s="1" t="s">
        <v>941</v>
      </c>
      <c r="AP666" s="1">
        <v>96.16</v>
      </c>
      <c r="AQ666" s="1"/>
      <c r="AR666" s="1"/>
      <c r="AS666" s="1"/>
      <c r="AT666" s="1"/>
      <c r="AU666" s="1"/>
      <c r="AV666" s="1"/>
      <c r="AW666" s="1"/>
      <c r="AX666" s="1" t="s">
        <v>12408</v>
      </c>
      <c r="AY666" s="1" t="s">
        <v>12408</v>
      </c>
      <c r="AZ666" s="1" t="s">
        <v>228</v>
      </c>
      <c r="BA666" s="1" t="s">
        <v>702</v>
      </c>
      <c r="BB666" s="1">
        <v>82.5</v>
      </c>
      <c r="BC666" s="1">
        <v>8.75</v>
      </c>
      <c r="BD666" s="1"/>
      <c r="BE666" s="1"/>
      <c r="BF666" s="1"/>
      <c r="BG666" s="1"/>
      <c r="BH666" s="1"/>
      <c r="BI666" s="1"/>
      <c r="BJ666" s="1" t="s">
        <v>12409</v>
      </c>
      <c r="BK666" s="1"/>
      <c r="BL666" s="1"/>
      <c r="BM666" s="1" t="s">
        <v>12410</v>
      </c>
      <c r="BN666" s="1">
        <v>45</v>
      </c>
      <c r="BO666" s="1" t="s">
        <v>12411</v>
      </c>
      <c r="BP666" s="1" t="str">
        <f>HYPERLINK("https://nconnect.nicmar.ac.in/storage/profile/ProfilePhoto_P25700630_165892.jpg","Download")</f>
        <v>0</v>
      </c>
      <c r="BQ666" s="3"/>
      <c r="BR666" s="3"/>
    </row>
    <row r="667" spans="1:70">
      <c r="A667" s="1" t="s">
        <v>70</v>
      </c>
      <c r="B667" s="1" t="s">
        <v>1269</v>
      </c>
      <c r="C667" s="1" t="s">
        <v>12412</v>
      </c>
      <c r="D667" s="1" t="s">
        <v>12413</v>
      </c>
      <c r="E667" s="1" t="s">
        <v>12414</v>
      </c>
      <c r="F667" s="1" t="s">
        <v>4625</v>
      </c>
      <c r="G667" s="1" t="s">
        <v>12415</v>
      </c>
      <c r="H667" s="1" t="s">
        <v>12416</v>
      </c>
      <c r="I667" s="1" t="s">
        <v>12417</v>
      </c>
      <c r="J667" s="1">
        <v>6309506798</v>
      </c>
      <c r="K667" s="1" t="s">
        <v>79</v>
      </c>
      <c r="L667" s="1" t="s">
        <v>12418</v>
      </c>
      <c r="M667" s="1" t="s">
        <v>81</v>
      </c>
      <c r="N667" s="1" t="s">
        <v>12419</v>
      </c>
      <c r="O667" s="1"/>
      <c r="P667" s="1" t="s">
        <v>1278</v>
      </c>
      <c r="Q667" s="1" t="s">
        <v>12420</v>
      </c>
      <c r="R667" s="1" t="s">
        <v>12421</v>
      </c>
      <c r="S667" s="1">
        <v>7981702108</v>
      </c>
      <c r="T667" s="1" t="s">
        <v>325</v>
      </c>
      <c r="U667" s="1" t="s">
        <v>12422</v>
      </c>
      <c r="V667" s="1">
        <v>8309379725</v>
      </c>
      <c r="W667" s="1" t="s">
        <v>89</v>
      </c>
      <c r="X667" s="1" t="s">
        <v>12423</v>
      </c>
      <c r="Y667" s="1" t="s">
        <v>1150</v>
      </c>
      <c r="Z667" s="1" t="s">
        <v>276</v>
      </c>
      <c r="AA667" s="1" t="s">
        <v>12424</v>
      </c>
      <c r="AB667" s="1" t="s">
        <v>1150</v>
      </c>
      <c r="AC667" s="1" t="s">
        <v>276</v>
      </c>
      <c r="AD667" s="1">
        <v>8.04</v>
      </c>
      <c r="AE667" s="1" t="s">
        <v>93</v>
      </c>
      <c r="AF667" s="1" t="s">
        <v>12425</v>
      </c>
      <c r="AG667" s="1" t="s">
        <v>12426</v>
      </c>
      <c r="AH667" s="1" t="s">
        <v>169</v>
      </c>
      <c r="AI667" s="1" t="s">
        <v>1065</v>
      </c>
      <c r="AJ667" s="1">
        <v>92</v>
      </c>
      <c r="AK667" s="1">
        <v>9.2</v>
      </c>
      <c r="AL667" s="1" t="s">
        <v>612</v>
      </c>
      <c r="AM667" s="1" t="s">
        <v>2247</v>
      </c>
      <c r="AN667" s="1" t="s">
        <v>310</v>
      </c>
      <c r="AO667" s="1" t="s">
        <v>504</v>
      </c>
      <c r="AP667" s="1">
        <v>84.3</v>
      </c>
      <c r="AQ667" s="1"/>
      <c r="AR667" s="1"/>
      <c r="AS667" s="1"/>
      <c r="AT667" s="1"/>
      <c r="AU667" s="1"/>
      <c r="AV667" s="1"/>
      <c r="AW667" s="1"/>
      <c r="AX667" s="1" t="s">
        <v>12427</v>
      </c>
      <c r="AY667" s="1" t="s">
        <v>12428</v>
      </c>
      <c r="AZ667" s="1" t="s">
        <v>135</v>
      </c>
      <c r="BA667" s="1" t="s">
        <v>1408</v>
      </c>
      <c r="BB667" s="1">
        <v>71</v>
      </c>
      <c r="BC667" s="1">
        <v>7.1</v>
      </c>
      <c r="BD667" s="1"/>
      <c r="BE667" s="1"/>
      <c r="BF667" s="1"/>
      <c r="BG667" s="1"/>
      <c r="BH667" s="1"/>
      <c r="BI667" s="1"/>
      <c r="BJ667" s="1" t="s">
        <v>12429</v>
      </c>
      <c r="BK667" s="1"/>
      <c r="BL667" s="1"/>
      <c r="BM667" s="1" t="s">
        <v>12430</v>
      </c>
      <c r="BN667" s="1">
        <v>12</v>
      </c>
      <c r="BO667" s="1" t="s">
        <v>12431</v>
      </c>
      <c r="BP667" s="1" t="str">
        <f>HYPERLINK("https://nconnect.nicmar.ac.in/storage/profile/ProfilePhoto_P25700631_576189.jpg","Download")</f>
        <v>0</v>
      </c>
      <c r="BQ667" s="3"/>
      <c r="BR667" s="3"/>
    </row>
    <row r="668" spans="1:70">
      <c r="A668" s="1" t="s">
        <v>70</v>
      </c>
      <c r="B668" s="1" t="s">
        <v>1269</v>
      </c>
      <c r="C668" s="1" t="s">
        <v>12432</v>
      </c>
      <c r="D668" s="1" t="s">
        <v>12433</v>
      </c>
      <c r="E668" s="1" t="s">
        <v>12434</v>
      </c>
      <c r="F668" s="1" t="s">
        <v>1072</v>
      </c>
      <c r="G668" s="1" t="s">
        <v>12435</v>
      </c>
      <c r="H668" s="1" t="s">
        <v>12436</v>
      </c>
      <c r="I668" s="1" t="s">
        <v>12437</v>
      </c>
      <c r="J668" s="1">
        <v>9834581395</v>
      </c>
      <c r="K668" s="1" t="s">
        <v>148</v>
      </c>
      <c r="L668" s="1" t="s">
        <v>12438</v>
      </c>
      <c r="M668" s="1" t="s">
        <v>81</v>
      </c>
      <c r="N668" s="1" t="s">
        <v>12439</v>
      </c>
      <c r="O668" s="1"/>
      <c r="P668" s="1" t="s">
        <v>1323</v>
      </c>
      <c r="Q668" s="1" t="s">
        <v>12440</v>
      </c>
      <c r="R668" s="1" t="s">
        <v>12441</v>
      </c>
      <c r="S668" s="1">
        <v>9765818228</v>
      </c>
      <c r="T668" s="1" t="s">
        <v>496</v>
      </c>
      <c r="U668" s="1" t="s">
        <v>12442</v>
      </c>
      <c r="V668" s="1">
        <v>9271555654</v>
      </c>
      <c r="W668" s="1" t="s">
        <v>156</v>
      </c>
      <c r="X668" s="1" t="s">
        <v>12443</v>
      </c>
      <c r="Y668" s="1" t="s">
        <v>191</v>
      </c>
      <c r="Z668" s="1" t="s">
        <v>92</v>
      </c>
      <c r="AA668" s="1" t="s">
        <v>12443</v>
      </c>
      <c r="AB668" s="1" t="s">
        <v>191</v>
      </c>
      <c r="AC668" s="1" t="s">
        <v>92</v>
      </c>
      <c r="AD668" s="1">
        <v>8.94</v>
      </c>
      <c r="AE668" s="1" t="s">
        <v>93</v>
      </c>
      <c r="AF668" s="1" t="s">
        <v>12444</v>
      </c>
      <c r="AG668" s="1" t="s">
        <v>160</v>
      </c>
      <c r="AH668" s="1" t="s">
        <v>162</v>
      </c>
      <c r="AI668" s="1" t="s">
        <v>479</v>
      </c>
      <c r="AJ668" s="1">
        <v>93</v>
      </c>
      <c r="AK668" s="1"/>
      <c r="AL668" s="1" t="s">
        <v>12445</v>
      </c>
      <c r="AM668" s="1" t="s">
        <v>160</v>
      </c>
      <c r="AN668" s="1" t="s">
        <v>101</v>
      </c>
      <c r="AO668" s="1" t="s">
        <v>308</v>
      </c>
      <c r="AP668" s="1">
        <v>73.38</v>
      </c>
      <c r="AQ668" s="1"/>
      <c r="AR668" s="1"/>
      <c r="AS668" s="1"/>
      <c r="AT668" s="1"/>
      <c r="AU668" s="1"/>
      <c r="AV668" s="1"/>
      <c r="AW668" s="1"/>
      <c r="AX668" s="1" t="s">
        <v>361</v>
      </c>
      <c r="AY668" s="1" t="s">
        <v>12446</v>
      </c>
      <c r="AZ668" s="1" t="s">
        <v>201</v>
      </c>
      <c r="BA668" s="1" t="s">
        <v>202</v>
      </c>
      <c r="BB668" s="1">
        <v>64.79</v>
      </c>
      <c r="BC668" s="1">
        <v>7.28</v>
      </c>
      <c r="BD668" s="1"/>
      <c r="BE668" s="1"/>
      <c r="BF668" s="1"/>
      <c r="BG668" s="1"/>
      <c r="BH668" s="1"/>
      <c r="BI668" s="1"/>
      <c r="BJ668" s="1" t="s">
        <v>12447</v>
      </c>
      <c r="BK668" s="1" t="s">
        <v>12448</v>
      </c>
      <c r="BL668" s="1" t="s">
        <v>1220</v>
      </c>
      <c r="BM668" s="1" t="s">
        <v>12449</v>
      </c>
      <c r="BN668" s="1">
        <v>28</v>
      </c>
      <c r="BO668" s="1"/>
      <c r="BP668" s="1" t="str">
        <f>HYPERLINK("https://nconnect.nicmar.ac.in/storage/profile/ProfilePhoto_P25700632_185743.jpg","Download")</f>
        <v>0</v>
      </c>
      <c r="BQ668" s="3"/>
      <c r="BR668" s="3"/>
    </row>
    <row r="669" spans="1:70">
      <c r="A669" s="1" t="s">
        <v>70</v>
      </c>
      <c r="B669" s="1" t="s">
        <v>1269</v>
      </c>
      <c r="C669" s="1" t="s">
        <v>12450</v>
      </c>
      <c r="D669" s="1" t="s">
        <v>12451</v>
      </c>
      <c r="E669" s="1"/>
      <c r="F669" s="1" t="s">
        <v>2658</v>
      </c>
      <c r="G669" s="1" t="s">
        <v>12452</v>
      </c>
      <c r="H669" s="1" t="s">
        <v>12453</v>
      </c>
      <c r="I669" s="1" t="s">
        <v>12453</v>
      </c>
      <c r="J669" s="1">
        <v>8861189669</v>
      </c>
      <c r="K669" s="1" t="s">
        <v>148</v>
      </c>
      <c r="L669" s="1" t="s">
        <v>296</v>
      </c>
      <c r="M669" s="1" t="s">
        <v>81</v>
      </c>
      <c r="N669" s="1" t="s">
        <v>12454</v>
      </c>
      <c r="O669" s="1"/>
      <c r="P669" s="1" t="s">
        <v>1766</v>
      </c>
      <c r="Q669" s="1" t="s">
        <v>12455</v>
      </c>
      <c r="R669" s="1" t="s">
        <v>12456</v>
      </c>
      <c r="S669" s="1">
        <v>9900306365</v>
      </c>
      <c r="T669" s="1" t="s">
        <v>12457</v>
      </c>
      <c r="U669" s="1" t="s">
        <v>12458</v>
      </c>
      <c r="V669" s="1">
        <v>9591731589</v>
      </c>
      <c r="W669" s="1" t="s">
        <v>156</v>
      </c>
      <c r="X669" s="1" t="s">
        <v>12459</v>
      </c>
      <c r="Y669" s="1" t="s">
        <v>1083</v>
      </c>
      <c r="Z669" s="1" t="s">
        <v>1084</v>
      </c>
      <c r="AA669" s="1" t="s">
        <v>12459</v>
      </c>
      <c r="AB669" s="1" t="s">
        <v>1083</v>
      </c>
      <c r="AC669" s="1" t="s">
        <v>1084</v>
      </c>
      <c r="AD669" s="1">
        <v>8.5</v>
      </c>
      <c r="AE669" s="1" t="s">
        <v>93</v>
      </c>
      <c r="AF669" s="1" t="s">
        <v>12460</v>
      </c>
      <c r="AG669" s="1" t="s">
        <v>2749</v>
      </c>
      <c r="AH669" s="1" t="s">
        <v>162</v>
      </c>
      <c r="AI669" s="1" t="s">
        <v>678</v>
      </c>
      <c r="AJ669" s="1">
        <v>78.4</v>
      </c>
      <c r="AK669" s="1"/>
      <c r="AL669" s="1" t="s">
        <v>12461</v>
      </c>
      <c r="AM669" s="1" t="s">
        <v>4526</v>
      </c>
      <c r="AN669" s="1" t="s">
        <v>101</v>
      </c>
      <c r="AO669" s="1" t="s">
        <v>409</v>
      </c>
      <c r="AP669" s="1">
        <v>66.33</v>
      </c>
      <c r="AQ669" s="1"/>
      <c r="AR669" s="1"/>
      <c r="AS669" s="1"/>
      <c r="AT669" s="1"/>
      <c r="AU669" s="1"/>
      <c r="AV669" s="1"/>
      <c r="AW669" s="1"/>
      <c r="AX669" s="1" t="s">
        <v>8293</v>
      </c>
      <c r="AY669" s="1" t="s">
        <v>12462</v>
      </c>
      <c r="AZ669" s="1" t="s">
        <v>201</v>
      </c>
      <c r="BA669" s="1" t="s">
        <v>229</v>
      </c>
      <c r="BB669" s="1">
        <v>86.9</v>
      </c>
      <c r="BC669" s="1">
        <v>8.69</v>
      </c>
      <c r="BD669" s="1"/>
      <c r="BE669" s="1"/>
      <c r="BF669" s="1"/>
      <c r="BG669" s="1"/>
      <c r="BH669" s="1"/>
      <c r="BI669" s="1"/>
      <c r="BJ669" s="1" t="s">
        <v>12463</v>
      </c>
      <c r="BK669" s="1" t="s">
        <v>12464</v>
      </c>
      <c r="BL669" s="1" t="s">
        <v>1629</v>
      </c>
      <c r="BM669" s="1" t="s">
        <v>12465</v>
      </c>
      <c r="BN669" s="1">
        <v>33</v>
      </c>
      <c r="BO669" s="1" t="s">
        <v>12466</v>
      </c>
      <c r="BP669" s="1" t="str">
        <f>HYPERLINK("https://nconnect.nicmar.ac.in/storage/profile/ProfilePhoto_P25700633_541692.jpg","Download")</f>
        <v>0</v>
      </c>
      <c r="BQ669" s="3"/>
      <c r="BR669" s="3"/>
    </row>
    <row r="670" spans="1:70">
      <c r="A670" s="1" t="s">
        <v>70</v>
      </c>
      <c r="B670" s="1" t="s">
        <v>1269</v>
      </c>
      <c r="C670" s="1" t="s">
        <v>12467</v>
      </c>
      <c r="D670" s="1" t="s">
        <v>12468</v>
      </c>
      <c r="E670" s="1" t="s">
        <v>8492</v>
      </c>
      <c r="F670" s="1" t="s">
        <v>903</v>
      </c>
      <c r="G670" s="1" t="s">
        <v>12469</v>
      </c>
      <c r="H670" s="1" t="s">
        <v>12470</v>
      </c>
      <c r="I670" s="1" t="s">
        <v>12471</v>
      </c>
      <c r="J670" s="1">
        <v>9372882876</v>
      </c>
      <c r="K670" s="1" t="s">
        <v>79</v>
      </c>
      <c r="L670" s="1" t="s">
        <v>12472</v>
      </c>
      <c r="M670" s="1" t="s">
        <v>81</v>
      </c>
      <c r="N670" s="1" t="s">
        <v>9396</v>
      </c>
      <c r="O670" s="1"/>
      <c r="P670" s="1"/>
      <c r="Q670" s="1" t="s">
        <v>12473</v>
      </c>
      <c r="R670" s="1" t="s">
        <v>12474</v>
      </c>
      <c r="S670" s="1">
        <v>9820236344</v>
      </c>
      <c r="T670" s="1" t="s">
        <v>496</v>
      </c>
      <c r="U670" s="1" t="s">
        <v>12475</v>
      </c>
      <c r="V670" s="1">
        <v>9820190860</v>
      </c>
      <c r="W670" s="1" t="s">
        <v>273</v>
      </c>
      <c r="X670" s="1" t="s">
        <v>12476</v>
      </c>
      <c r="Y670" s="1" t="s">
        <v>1623</v>
      </c>
      <c r="Z670" s="1" t="s">
        <v>92</v>
      </c>
      <c r="AA670" s="1" t="s">
        <v>12477</v>
      </c>
      <c r="AB670" s="1" t="s">
        <v>995</v>
      </c>
      <c r="AC670" s="1" t="s">
        <v>92</v>
      </c>
      <c r="AD670" s="1">
        <v>7.64</v>
      </c>
      <c r="AE670" s="1" t="s">
        <v>93</v>
      </c>
      <c r="AF670" s="1" t="s">
        <v>12478</v>
      </c>
      <c r="AG670" s="1" t="s">
        <v>6687</v>
      </c>
      <c r="AH670" s="1" t="s">
        <v>281</v>
      </c>
      <c r="AI670" s="1" t="s">
        <v>308</v>
      </c>
      <c r="AJ670" s="1">
        <v>82.4</v>
      </c>
      <c r="AK670" s="1"/>
      <c r="AL670" s="1" t="s">
        <v>12479</v>
      </c>
      <c r="AM670" s="1" t="s">
        <v>6687</v>
      </c>
      <c r="AN670" s="1" t="s">
        <v>699</v>
      </c>
      <c r="AO670" s="1" t="s">
        <v>1131</v>
      </c>
      <c r="AP670" s="1">
        <v>88.17</v>
      </c>
      <c r="AQ670" s="1"/>
      <c r="AR670" s="1"/>
      <c r="AS670" s="1"/>
      <c r="AT670" s="1"/>
      <c r="AU670" s="1"/>
      <c r="AV670" s="1"/>
      <c r="AW670" s="1"/>
      <c r="AX670" s="1" t="s">
        <v>12480</v>
      </c>
      <c r="AY670" s="1" t="s">
        <v>12481</v>
      </c>
      <c r="AZ670" s="1" t="s">
        <v>1131</v>
      </c>
      <c r="BA670" s="1" t="s">
        <v>1714</v>
      </c>
      <c r="BB670" s="1">
        <v>74.5</v>
      </c>
      <c r="BC670" s="1">
        <v>8.2</v>
      </c>
      <c r="BD670" s="1"/>
      <c r="BE670" s="1"/>
      <c r="BF670" s="1"/>
      <c r="BG670" s="1"/>
      <c r="BH670" s="1"/>
      <c r="BI670" s="1"/>
      <c r="BJ670" s="1" t="s">
        <v>1715</v>
      </c>
      <c r="BK670" s="1"/>
      <c r="BL670" s="1"/>
      <c r="BM670" s="1" t="s">
        <v>12482</v>
      </c>
      <c r="BN670" s="1">
        <v>31</v>
      </c>
      <c r="BO670" s="1"/>
      <c r="BP670" s="1" t="str">
        <f>HYPERLINK("https://nconnect.nicmar.ac.in/storage/profile/ProfilePhoto_P25700634_569782.jpg","Download")</f>
        <v>0</v>
      </c>
      <c r="BQ670" s="3"/>
      <c r="BR670" s="3"/>
    </row>
    <row r="671" spans="1:70">
      <c r="A671" s="1" t="s">
        <v>70</v>
      </c>
      <c r="B671" s="1" t="s">
        <v>1269</v>
      </c>
      <c r="C671" s="1" t="s">
        <v>12483</v>
      </c>
      <c r="D671" s="1" t="s">
        <v>4310</v>
      </c>
      <c r="E671" s="1"/>
      <c r="F671" s="1" t="s">
        <v>12484</v>
      </c>
      <c r="G671" s="1" t="s">
        <v>12485</v>
      </c>
      <c r="H671" s="1" t="s">
        <v>12486</v>
      </c>
      <c r="I671" s="1" t="s">
        <v>12487</v>
      </c>
      <c r="J671" s="1">
        <v>9995021473</v>
      </c>
      <c r="K671" s="1" t="s">
        <v>79</v>
      </c>
      <c r="L671" s="1" t="s">
        <v>12488</v>
      </c>
      <c r="M671" s="1" t="s">
        <v>81</v>
      </c>
      <c r="N671" s="1" t="s">
        <v>12489</v>
      </c>
      <c r="O671" s="1"/>
      <c r="P671" s="1" t="s">
        <v>1766</v>
      </c>
      <c r="Q671" s="1" t="s">
        <v>12490</v>
      </c>
      <c r="R671" s="1" t="s">
        <v>12491</v>
      </c>
      <c r="S671" s="1">
        <v>9496392947</v>
      </c>
      <c r="T671" s="1" t="s">
        <v>12492</v>
      </c>
      <c r="U671" s="1" t="s">
        <v>12493</v>
      </c>
      <c r="V671" s="1">
        <v>9645464227</v>
      </c>
      <c r="W671" s="1" t="s">
        <v>156</v>
      </c>
      <c r="X671" s="1" t="s">
        <v>12494</v>
      </c>
      <c r="Y671" s="1" t="s">
        <v>3998</v>
      </c>
      <c r="Z671" s="1" t="s">
        <v>125</v>
      </c>
      <c r="AA671" s="1" t="s">
        <v>12494</v>
      </c>
      <c r="AB671" s="1" t="s">
        <v>3998</v>
      </c>
      <c r="AC671" s="1" t="s">
        <v>125</v>
      </c>
      <c r="AD671" s="1">
        <v>8.61</v>
      </c>
      <c r="AE671" s="1" t="s">
        <v>93</v>
      </c>
      <c r="AF671" s="1" t="s">
        <v>12495</v>
      </c>
      <c r="AG671" s="1" t="s">
        <v>12496</v>
      </c>
      <c r="AH671" s="1" t="s">
        <v>162</v>
      </c>
      <c r="AI671" s="1" t="s">
        <v>165</v>
      </c>
      <c r="AJ671" s="1">
        <v>91.2</v>
      </c>
      <c r="AK671" s="1">
        <v>9.6</v>
      </c>
      <c r="AL671" s="1" t="s">
        <v>12495</v>
      </c>
      <c r="AM671" s="1" t="s">
        <v>12496</v>
      </c>
      <c r="AN671" s="1" t="s">
        <v>166</v>
      </c>
      <c r="AO671" s="1" t="s">
        <v>308</v>
      </c>
      <c r="AP671" s="1">
        <v>64.6</v>
      </c>
      <c r="AQ671" s="1"/>
      <c r="AR671" s="1"/>
      <c r="AS671" s="1"/>
      <c r="AT671" s="1"/>
      <c r="AU671" s="1"/>
      <c r="AV671" s="1"/>
      <c r="AW671" s="1"/>
      <c r="AX671" s="1" t="s">
        <v>132</v>
      </c>
      <c r="AY671" s="1" t="s">
        <v>12497</v>
      </c>
      <c r="AZ671" s="1" t="s">
        <v>201</v>
      </c>
      <c r="BA671" s="1" t="s">
        <v>386</v>
      </c>
      <c r="BB671" s="1">
        <v>67.9</v>
      </c>
      <c r="BC671" s="1">
        <v>6.79</v>
      </c>
      <c r="BD671" s="1"/>
      <c r="BE671" s="1"/>
      <c r="BF671" s="1"/>
      <c r="BG671" s="1"/>
      <c r="BH671" s="1"/>
      <c r="BI671" s="1"/>
      <c r="BJ671" s="1" t="s">
        <v>12498</v>
      </c>
      <c r="BK671" s="1" t="s">
        <v>12499</v>
      </c>
      <c r="BL671" s="1" t="s">
        <v>1561</v>
      </c>
      <c r="BM671" s="1" t="s">
        <v>12500</v>
      </c>
      <c r="BN671" s="1">
        <v>8</v>
      </c>
      <c r="BO671" s="1"/>
      <c r="BP671" s="1" t="str">
        <f>HYPERLINK("https://nconnect.nicmar.ac.in/storage/profile/ProfilePhoto_P25700635_576948.jpg","Download")</f>
        <v>0</v>
      </c>
      <c r="BQ671" s="3"/>
      <c r="BR671" s="3"/>
    </row>
    <row r="672" spans="1:70">
      <c r="A672" s="1" t="s">
        <v>70</v>
      </c>
      <c r="B672" s="1" t="s">
        <v>1269</v>
      </c>
      <c r="C672" s="1" t="s">
        <v>12501</v>
      </c>
      <c r="D672" s="1" t="s">
        <v>12502</v>
      </c>
      <c r="E672" s="1" t="s">
        <v>12503</v>
      </c>
      <c r="F672" s="1" t="s">
        <v>10309</v>
      </c>
      <c r="G672" s="1" t="s">
        <v>12504</v>
      </c>
      <c r="H672" s="1" t="s">
        <v>12505</v>
      </c>
      <c r="I672" s="1" t="s">
        <v>12506</v>
      </c>
      <c r="J672" s="1">
        <v>9130704913</v>
      </c>
      <c r="K672" s="1" t="s">
        <v>79</v>
      </c>
      <c r="L672" s="1" t="s">
        <v>12507</v>
      </c>
      <c r="M672" s="1" t="s">
        <v>81</v>
      </c>
      <c r="N672" s="1" t="s">
        <v>1418</v>
      </c>
      <c r="O672" s="1"/>
      <c r="P672" s="1" t="s">
        <v>1766</v>
      </c>
      <c r="Q672" s="1" t="s">
        <v>12508</v>
      </c>
      <c r="R672" s="1" t="s">
        <v>12509</v>
      </c>
      <c r="S672" s="1">
        <v>9552504373</v>
      </c>
      <c r="T672" s="1" t="s">
        <v>496</v>
      </c>
      <c r="U672" s="1" t="s">
        <v>12510</v>
      </c>
      <c r="V672" s="1">
        <v>9669674230</v>
      </c>
      <c r="W672" s="1" t="s">
        <v>156</v>
      </c>
      <c r="X672" s="1" t="s">
        <v>12511</v>
      </c>
      <c r="Y672" s="1" t="s">
        <v>191</v>
      </c>
      <c r="Z672" s="1" t="s">
        <v>92</v>
      </c>
      <c r="AA672" s="1" t="s">
        <v>12512</v>
      </c>
      <c r="AB672" s="1" t="s">
        <v>12513</v>
      </c>
      <c r="AC672" s="1" t="s">
        <v>936</v>
      </c>
      <c r="AD672" s="1">
        <v>8.92</v>
      </c>
      <c r="AE672" s="1" t="s">
        <v>93</v>
      </c>
      <c r="AF672" s="1" t="s">
        <v>12514</v>
      </c>
      <c r="AG672" s="1" t="s">
        <v>12515</v>
      </c>
      <c r="AH672" s="1" t="s">
        <v>678</v>
      </c>
      <c r="AI672" s="1" t="s">
        <v>166</v>
      </c>
      <c r="AJ672" s="1">
        <v>85.2</v>
      </c>
      <c r="AK672" s="1"/>
      <c r="AL672" s="1" t="s">
        <v>12514</v>
      </c>
      <c r="AM672" s="1" t="s">
        <v>12516</v>
      </c>
      <c r="AN672" s="1" t="s">
        <v>1065</v>
      </c>
      <c r="AO672" s="1" t="s">
        <v>412</v>
      </c>
      <c r="AP672" s="1">
        <v>84.6</v>
      </c>
      <c r="AQ672" s="1"/>
      <c r="AR672" s="1"/>
      <c r="AS672" s="1"/>
      <c r="AT672" s="1"/>
      <c r="AU672" s="1"/>
      <c r="AV672" s="1"/>
      <c r="AW672" s="1"/>
      <c r="AX672" s="1" t="s">
        <v>361</v>
      </c>
      <c r="AY672" s="1" t="s">
        <v>12517</v>
      </c>
      <c r="AZ672" s="1" t="s">
        <v>363</v>
      </c>
      <c r="BA672" s="1" t="s">
        <v>1714</v>
      </c>
      <c r="BB672" s="1">
        <v>81.1</v>
      </c>
      <c r="BC672" s="1">
        <v>8.86</v>
      </c>
      <c r="BD672" s="1"/>
      <c r="BE672" s="1"/>
      <c r="BF672" s="1"/>
      <c r="BG672" s="1"/>
      <c r="BH672" s="1"/>
      <c r="BI672" s="1"/>
      <c r="BJ672" s="1" t="s">
        <v>12518</v>
      </c>
      <c r="BK672" s="1"/>
      <c r="BL672" s="1"/>
      <c r="BM672" s="1" t="s">
        <v>12519</v>
      </c>
      <c r="BN672" s="1">
        <v>33</v>
      </c>
      <c r="BO672" s="1" t="s">
        <v>12520</v>
      </c>
      <c r="BP672" s="1" t="str">
        <f>HYPERLINK("https://nconnect.nicmar.ac.in/storage/profile/ProfilePhoto_P25700636_598721.jpg","Download")</f>
        <v>0</v>
      </c>
      <c r="BQ672" s="3"/>
      <c r="BR672" s="3"/>
    </row>
    <row r="673" spans="1:70">
      <c r="A673" s="1" t="s">
        <v>70</v>
      </c>
      <c r="B673" s="1" t="s">
        <v>1269</v>
      </c>
      <c r="C673" s="1" t="s">
        <v>12521</v>
      </c>
      <c r="D673" s="1" t="s">
        <v>5849</v>
      </c>
      <c r="E673" s="1" t="s">
        <v>6490</v>
      </c>
      <c r="F673" s="1" t="s">
        <v>12522</v>
      </c>
      <c r="G673" s="1" t="s">
        <v>12523</v>
      </c>
      <c r="H673" s="1" t="s">
        <v>12524</v>
      </c>
      <c r="I673" s="1" t="s">
        <v>12525</v>
      </c>
      <c r="J673" s="1">
        <v>7666307496</v>
      </c>
      <c r="K673" s="1" t="s">
        <v>79</v>
      </c>
      <c r="L673" s="1" t="s">
        <v>7095</v>
      </c>
      <c r="M673" s="1" t="s">
        <v>81</v>
      </c>
      <c r="N673" s="1" t="s">
        <v>860</v>
      </c>
      <c r="O673" s="1"/>
      <c r="P673" s="1" t="s">
        <v>1278</v>
      </c>
      <c r="Q673" s="1" t="s">
        <v>12526</v>
      </c>
      <c r="R673" s="1" t="s">
        <v>6490</v>
      </c>
      <c r="S673" s="1">
        <v>9552818982</v>
      </c>
      <c r="T673" s="1" t="s">
        <v>8516</v>
      </c>
      <c r="U673" s="1" t="s">
        <v>650</v>
      </c>
      <c r="V673" s="1">
        <v>9322077528</v>
      </c>
      <c r="W673" s="1" t="s">
        <v>156</v>
      </c>
      <c r="X673" s="1" t="s">
        <v>12527</v>
      </c>
      <c r="Y673" s="1" t="s">
        <v>191</v>
      </c>
      <c r="Z673" s="1" t="s">
        <v>92</v>
      </c>
      <c r="AA673" s="1" t="s">
        <v>12528</v>
      </c>
      <c r="AB673" s="1" t="s">
        <v>379</v>
      </c>
      <c r="AC673" s="1" t="s">
        <v>92</v>
      </c>
      <c r="AD673" s="1">
        <v>8.23</v>
      </c>
      <c r="AE673" s="1" t="s">
        <v>93</v>
      </c>
      <c r="AF673" s="1" t="s">
        <v>12529</v>
      </c>
      <c r="AG673" s="1" t="s">
        <v>160</v>
      </c>
      <c r="AH673" s="1" t="s">
        <v>101</v>
      </c>
      <c r="AI673" s="1" t="s">
        <v>409</v>
      </c>
      <c r="AJ673" s="1">
        <v>76.2</v>
      </c>
      <c r="AK673" s="1"/>
      <c r="AL673" s="1"/>
      <c r="AM673" s="1"/>
      <c r="AN673" s="1"/>
      <c r="AO673" s="1"/>
      <c r="AP673" s="1"/>
      <c r="AQ673" s="1"/>
      <c r="AR673" s="1" t="s">
        <v>8202</v>
      </c>
      <c r="AS673" s="1" t="s">
        <v>12530</v>
      </c>
      <c r="AT673" s="1" t="s">
        <v>310</v>
      </c>
      <c r="AU673" s="1" t="s">
        <v>105</v>
      </c>
      <c r="AV673" s="1">
        <v>78.63</v>
      </c>
      <c r="AW673" s="1"/>
      <c r="AX673" s="1" t="s">
        <v>5543</v>
      </c>
      <c r="AY673" s="1" t="s">
        <v>12531</v>
      </c>
      <c r="AZ673" s="1" t="s">
        <v>2693</v>
      </c>
      <c r="BA673" s="1" t="s">
        <v>1714</v>
      </c>
      <c r="BB673" s="1">
        <v>65.9</v>
      </c>
      <c r="BC673" s="1">
        <v>7.34</v>
      </c>
      <c r="BD673" s="1"/>
      <c r="BE673" s="1"/>
      <c r="BF673" s="1"/>
      <c r="BG673" s="1"/>
      <c r="BH673" s="1"/>
      <c r="BI673" s="1"/>
      <c r="BJ673" s="1" t="s">
        <v>12532</v>
      </c>
      <c r="BK673" s="1"/>
      <c r="BL673" s="1"/>
      <c r="BM673" s="1" t="s">
        <v>12533</v>
      </c>
      <c r="BN673" s="1">
        <v>27</v>
      </c>
      <c r="BO673" s="1" t="s">
        <v>12534</v>
      </c>
      <c r="BP673" s="1" t="str">
        <f>HYPERLINK("https://nconnect.nicmar.ac.in/storage/profile/ProfilePhoto_P25700637_371864.jpg","Download")</f>
        <v>0</v>
      </c>
      <c r="BQ673" s="3"/>
      <c r="BR673" s="3"/>
    </row>
    <row r="674" spans="1:70">
      <c r="A674" s="1" t="s">
        <v>70</v>
      </c>
      <c r="B674" s="1" t="s">
        <v>1269</v>
      </c>
      <c r="C674" s="1" t="s">
        <v>12535</v>
      </c>
      <c r="D674" s="1" t="s">
        <v>1117</v>
      </c>
      <c r="E674" s="1" t="s">
        <v>2485</v>
      </c>
      <c r="F674" s="1" t="s">
        <v>3911</v>
      </c>
      <c r="G674" s="1" t="s">
        <v>12536</v>
      </c>
      <c r="H674" s="1" t="s">
        <v>12537</v>
      </c>
      <c r="I674" s="1" t="s">
        <v>12538</v>
      </c>
      <c r="J674" s="1">
        <v>9307064880</v>
      </c>
      <c r="K674" s="1" t="s">
        <v>79</v>
      </c>
      <c r="L674" s="1" t="s">
        <v>5587</v>
      </c>
      <c r="M674" s="1" t="s">
        <v>81</v>
      </c>
      <c r="N674" s="1" t="s">
        <v>469</v>
      </c>
      <c r="O674" s="1"/>
      <c r="P674" s="1" t="s">
        <v>1278</v>
      </c>
      <c r="Q674" s="1" t="s">
        <v>12539</v>
      </c>
      <c r="R674" s="1" t="s">
        <v>2485</v>
      </c>
      <c r="S674" s="1">
        <v>9011103009</v>
      </c>
      <c r="T674" s="1" t="s">
        <v>12540</v>
      </c>
      <c r="U674" s="1" t="s">
        <v>11515</v>
      </c>
      <c r="V674" s="1">
        <v>9420708842</v>
      </c>
      <c r="W674" s="1" t="s">
        <v>156</v>
      </c>
      <c r="X674" s="1" t="s">
        <v>12541</v>
      </c>
      <c r="Y674" s="1" t="s">
        <v>328</v>
      </c>
      <c r="Z674" s="1" t="s">
        <v>92</v>
      </c>
      <c r="AA674" s="1" t="s">
        <v>12541</v>
      </c>
      <c r="AB674" s="1" t="s">
        <v>328</v>
      </c>
      <c r="AC674" s="1" t="s">
        <v>92</v>
      </c>
      <c r="AD674" s="1" t="s">
        <v>93</v>
      </c>
      <c r="AE674" s="1" t="s">
        <v>93</v>
      </c>
      <c r="AF674" s="1" t="s">
        <v>12542</v>
      </c>
      <c r="AG674" s="1" t="s">
        <v>12543</v>
      </c>
      <c r="AH674" s="1" t="s">
        <v>101</v>
      </c>
      <c r="AI674" s="1" t="s">
        <v>433</v>
      </c>
      <c r="AJ674" s="1">
        <v>74.4</v>
      </c>
      <c r="AK674" s="1"/>
      <c r="AL674" s="1" t="s">
        <v>12544</v>
      </c>
      <c r="AM674" s="1" t="s">
        <v>12543</v>
      </c>
      <c r="AN674" s="1" t="s">
        <v>173</v>
      </c>
      <c r="AO674" s="1" t="s">
        <v>436</v>
      </c>
      <c r="AP674" s="1">
        <v>89.5</v>
      </c>
      <c r="AQ674" s="1"/>
      <c r="AR674" s="1"/>
      <c r="AS674" s="1"/>
      <c r="AT674" s="1"/>
      <c r="AU674" s="1"/>
      <c r="AV674" s="1"/>
      <c r="AW674" s="1"/>
      <c r="AX674" s="1" t="s">
        <v>335</v>
      </c>
      <c r="AY674" s="1" t="s">
        <v>12545</v>
      </c>
      <c r="AZ674" s="1" t="s">
        <v>897</v>
      </c>
      <c r="BA674" s="1" t="s">
        <v>1584</v>
      </c>
      <c r="BB674" s="1">
        <v>61.03</v>
      </c>
      <c r="BC674" s="1">
        <v>6.95</v>
      </c>
      <c r="BD674" s="1"/>
      <c r="BE674" s="1"/>
      <c r="BF674" s="1"/>
      <c r="BG674" s="1"/>
      <c r="BH674" s="1"/>
      <c r="BI674" s="1"/>
      <c r="BJ674" s="1" t="s">
        <v>12546</v>
      </c>
      <c r="BK674" s="1"/>
      <c r="BL674" s="1"/>
      <c r="BM674" s="1" t="s">
        <v>12547</v>
      </c>
      <c r="BN674" s="1">
        <v>13</v>
      </c>
      <c r="BO674" s="1"/>
      <c r="BP674" s="1" t="str">
        <f>HYPERLINK("https://nconnect.nicmar.ac.in/storage/profile/ProfilePhoto_P25700638_523967.jpg","Download")</f>
        <v>0</v>
      </c>
      <c r="BQ674" s="3"/>
      <c r="BR674" s="3"/>
    </row>
    <row r="675" spans="1:70">
      <c r="A675" s="1" t="s">
        <v>70</v>
      </c>
      <c r="B675" s="1" t="s">
        <v>1269</v>
      </c>
      <c r="C675" s="1" t="s">
        <v>12548</v>
      </c>
      <c r="D675" s="1" t="s">
        <v>12549</v>
      </c>
      <c r="E675" s="1" t="s">
        <v>746</v>
      </c>
      <c r="F675" s="1" t="s">
        <v>142</v>
      </c>
      <c r="G675" s="1" t="s">
        <v>12550</v>
      </c>
      <c r="H675" s="1" t="s">
        <v>12551</v>
      </c>
      <c r="I675" s="1" t="s">
        <v>12552</v>
      </c>
      <c r="J675" s="1">
        <v>9405455755</v>
      </c>
      <c r="K675" s="1" t="s">
        <v>79</v>
      </c>
      <c r="L675" s="1" t="s">
        <v>12553</v>
      </c>
      <c r="M675" s="1" t="s">
        <v>81</v>
      </c>
      <c r="N675" s="1" t="s">
        <v>12554</v>
      </c>
      <c r="O675" s="1"/>
      <c r="P675" s="1"/>
      <c r="Q675" s="1" t="s">
        <v>12555</v>
      </c>
      <c r="R675" s="1" t="s">
        <v>12556</v>
      </c>
      <c r="S675" s="1">
        <v>9404366166</v>
      </c>
      <c r="T675" s="1" t="s">
        <v>11897</v>
      </c>
      <c r="U675" s="1" t="s">
        <v>12557</v>
      </c>
      <c r="V675" s="1">
        <v>9403344144</v>
      </c>
      <c r="W675" s="1" t="s">
        <v>273</v>
      </c>
      <c r="X675" s="1" t="s">
        <v>12558</v>
      </c>
      <c r="Y675" s="1" t="s">
        <v>1887</v>
      </c>
      <c r="Z675" s="1" t="s">
        <v>92</v>
      </c>
      <c r="AA675" s="1" t="s">
        <v>12558</v>
      </c>
      <c r="AB675" s="1" t="s">
        <v>1887</v>
      </c>
      <c r="AC675" s="1" t="s">
        <v>92</v>
      </c>
      <c r="AD675" s="1">
        <v>7.5</v>
      </c>
      <c r="AE675" s="1" t="s">
        <v>93</v>
      </c>
      <c r="AF675" s="1" t="s">
        <v>12559</v>
      </c>
      <c r="AG675" s="1" t="s">
        <v>160</v>
      </c>
      <c r="AH675" s="1" t="s">
        <v>10796</v>
      </c>
      <c r="AI675" s="1" t="s">
        <v>281</v>
      </c>
      <c r="AJ675" s="1">
        <v>81.2</v>
      </c>
      <c r="AK675" s="1"/>
      <c r="AL675" s="1" t="s">
        <v>12560</v>
      </c>
      <c r="AM675" s="1" t="s">
        <v>160</v>
      </c>
      <c r="AN675" s="1" t="s">
        <v>1307</v>
      </c>
      <c r="AO675" s="1" t="s">
        <v>173</v>
      </c>
      <c r="AP675" s="1">
        <v>65.38</v>
      </c>
      <c r="AQ675" s="1"/>
      <c r="AR675" s="1"/>
      <c r="AS675" s="1"/>
      <c r="AT675" s="1"/>
      <c r="AU675" s="1"/>
      <c r="AV675" s="1"/>
      <c r="AW675" s="1"/>
      <c r="AX675" s="1" t="s">
        <v>2691</v>
      </c>
      <c r="AY675" s="1" t="s">
        <v>12561</v>
      </c>
      <c r="AZ675" s="1" t="s">
        <v>681</v>
      </c>
      <c r="BA675" s="1" t="s">
        <v>1584</v>
      </c>
      <c r="BB675" s="1">
        <v>61.88</v>
      </c>
      <c r="BC675" s="1">
        <v>6.75</v>
      </c>
      <c r="BD675" s="1"/>
      <c r="BE675" s="1"/>
      <c r="BF675" s="1"/>
      <c r="BG675" s="1"/>
      <c r="BH675" s="1"/>
      <c r="BI675" s="1"/>
      <c r="BJ675" s="1" t="s">
        <v>12562</v>
      </c>
      <c r="BK675" s="1"/>
      <c r="BL675" s="1"/>
      <c r="BM675" s="1" t="s">
        <v>12563</v>
      </c>
      <c r="BN675" s="1">
        <v>13</v>
      </c>
      <c r="BO675" s="1"/>
      <c r="BP675" s="1" t="str">
        <f>HYPERLINK("https://nconnect.nicmar.ac.in/storage/profile/ProfilePhoto_P25700639_613785.jpg","Download")</f>
        <v>0</v>
      </c>
      <c r="BQ675" s="3"/>
      <c r="BR675" s="3"/>
    </row>
    <row r="676" spans="1:70">
      <c r="A676" s="1" t="s">
        <v>70</v>
      </c>
      <c r="B676" s="1" t="s">
        <v>1269</v>
      </c>
      <c r="C676" s="1" t="s">
        <v>12564</v>
      </c>
      <c r="D676" s="1" t="s">
        <v>1117</v>
      </c>
      <c r="E676" s="1" t="s">
        <v>3208</v>
      </c>
      <c r="F676" s="1" t="s">
        <v>12565</v>
      </c>
      <c r="G676" s="1" t="s">
        <v>12566</v>
      </c>
      <c r="H676" s="1" t="s">
        <v>12567</v>
      </c>
      <c r="I676" s="1" t="s">
        <v>12568</v>
      </c>
      <c r="J676" s="1">
        <v>8888387703</v>
      </c>
      <c r="K676" s="1" t="s">
        <v>79</v>
      </c>
      <c r="L676" s="1" t="s">
        <v>4684</v>
      </c>
      <c r="M676" s="1" t="s">
        <v>81</v>
      </c>
      <c r="N676" s="1" t="s">
        <v>12569</v>
      </c>
      <c r="O676" s="1"/>
      <c r="P676" s="1" t="s">
        <v>1766</v>
      </c>
      <c r="Q676" s="1" t="s">
        <v>12570</v>
      </c>
      <c r="R676" s="1" t="s">
        <v>12571</v>
      </c>
      <c r="S676" s="1">
        <v>9422287050</v>
      </c>
      <c r="T676" s="1" t="s">
        <v>4581</v>
      </c>
      <c r="U676" s="1" t="s">
        <v>12572</v>
      </c>
      <c r="V676" s="1">
        <v>7350287703</v>
      </c>
      <c r="W676" s="1" t="s">
        <v>156</v>
      </c>
      <c r="X676" s="1" t="s">
        <v>12573</v>
      </c>
      <c r="Y676" s="1" t="s">
        <v>6399</v>
      </c>
      <c r="Z676" s="1" t="s">
        <v>92</v>
      </c>
      <c r="AA676" s="1" t="s">
        <v>12573</v>
      </c>
      <c r="AB676" s="1" t="s">
        <v>6399</v>
      </c>
      <c r="AC676" s="1" t="s">
        <v>92</v>
      </c>
      <c r="AD676" s="1">
        <v>7.15</v>
      </c>
      <c r="AE676" s="1" t="s">
        <v>93</v>
      </c>
      <c r="AF676" s="1" t="s">
        <v>12574</v>
      </c>
      <c r="AG676" s="1" t="s">
        <v>12575</v>
      </c>
      <c r="AH676" s="1" t="s">
        <v>383</v>
      </c>
      <c r="AI676" s="1" t="s">
        <v>281</v>
      </c>
      <c r="AJ676" s="1">
        <v>61</v>
      </c>
      <c r="AK676" s="1">
        <v>6.42</v>
      </c>
      <c r="AL676" s="1"/>
      <c r="AM676" s="1"/>
      <c r="AN676" s="1"/>
      <c r="AO676" s="1"/>
      <c r="AP676" s="1"/>
      <c r="AQ676" s="1"/>
      <c r="AR676" s="1" t="s">
        <v>434</v>
      </c>
      <c r="AS676" s="1" t="s">
        <v>12576</v>
      </c>
      <c r="AT676" s="1" t="s">
        <v>636</v>
      </c>
      <c r="AU676" s="1" t="s">
        <v>1712</v>
      </c>
      <c r="AV676" s="1">
        <v>87.89</v>
      </c>
      <c r="AW676" s="1"/>
      <c r="AX676" s="1" t="s">
        <v>12577</v>
      </c>
      <c r="AY676" s="1" t="s">
        <v>12578</v>
      </c>
      <c r="AZ676" s="1" t="s">
        <v>1407</v>
      </c>
      <c r="BA676" s="1" t="s">
        <v>413</v>
      </c>
      <c r="BB676" s="1">
        <v>62.8</v>
      </c>
      <c r="BC676" s="1">
        <v>6.78</v>
      </c>
      <c r="BD676" s="1"/>
      <c r="BE676" s="1"/>
      <c r="BF676" s="1"/>
      <c r="BG676" s="1"/>
      <c r="BH676" s="1"/>
      <c r="BI676" s="1"/>
      <c r="BJ676" s="1" t="s">
        <v>12579</v>
      </c>
      <c r="BK676" s="1"/>
      <c r="BL676" s="1"/>
      <c r="BM676" s="1" t="s">
        <v>12580</v>
      </c>
      <c r="BN676" s="1">
        <v>45</v>
      </c>
      <c r="BO676" s="1" t="s">
        <v>12581</v>
      </c>
      <c r="BP676" s="1" t="str">
        <f>HYPERLINK("https://nconnect.nicmar.ac.in/storage/profile/ProfilePhoto_P25700640_718623.jpg","Download")</f>
        <v>0</v>
      </c>
      <c r="BQ676" s="3"/>
      <c r="BR676" s="3"/>
    </row>
    <row r="677" spans="1:70">
      <c r="A677" s="1" t="s">
        <v>70</v>
      </c>
      <c r="B677" s="1" t="s">
        <v>1269</v>
      </c>
      <c r="C677" s="1" t="s">
        <v>12582</v>
      </c>
      <c r="D677" s="1" t="s">
        <v>12583</v>
      </c>
      <c r="E677" s="1"/>
      <c r="F677" s="1" t="s">
        <v>596</v>
      </c>
      <c r="G677" s="1" t="s">
        <v>12584</v>
      </c>
      <c r="H677" s="1" t="s">
        <v>12585</v>
      </c>
      <c r="I677" s="1" t="s">
        <v>12586</v>
      </c>
      <c r="J677" s="1">
        <v>9667042279</v>
      </c>
      <c r="K677" s="1" t="s">
        <v>79</v>
      </c>
      <c r="L677" s="1" t="s">
        <v>7259</v>
      </c>
      <c r="M677" s="1" t="s">
        <v>81</v>
      </c>
      <c r="N677" s="1" t="s">
        <v>5056</v>
      </c>
      <c r="O677" s="1"/>
      <c r="P677" s="1" t="s">
        <v>1278</v>
      </c>
      <c r="Q677" s="1" t="s">
        <v>12587</v>
      </c>
      <c r="R677" s="1" t="s">
        <v>12588</v>
      </c>
      <c r="S677" s="1">
        <v>9654919573</v>
      </c>
      <c r="T677" s="1" t="s">
        <v>120</v>
      </c>
      <c r="U677" s="1" t="s">
        <v>12589</v>
      </c>
      <c r="V677" s="1">
        <v>9917628757</v>
      </c>
      <c r="W677" s="1" t="s">
        <v>273</v>
      </c>
      <c r="X677" s="1" t="s">
        <v>12590</v>
      </c>
      <c r="Y677" s="1" t="s">
        <v>12591</v>
      </c>
      <c r="Z677" s="1" t="s">
        <v>8621</v>
      </c>
      <c r="AA677" s="1" t="s">
        <v>12590</v>
      </c>
      <c r="AB677" s="1" t="s">
        <v>12591</v>
      </c>
      <c r="AC677" s="1" t="s">
        <v>8621</v>
      </c>
      <c r="AD677" s="1">
        <v>7.36</v>
      </c>
      <c r="AE677" s="1" t="s">
        <v>93</v>
      </c>
      <c r="AF677" s="1" t="s">
        <v>12592</v>
      </c>
      <c r="AG677" s="1" t="s">
        <v>12593</v>
      </c>
      <c r="AH677" s="1" t="s">
        <v>477</v>
      </c>
      <c r="AI677" s="1" t="s">
        <v>131</v>
      </c>
      <c r="AJ677" s="1">
        <v>76.6</v>
      </c>
      <c r="AK677" s="1"/>
      <c r="AL677" s="1" t="s">
        <v>12592</v>
      </c>
      <c r="AM677" s="1" t="s">
        <v>12593</v>
      </c>
      <c r="AN677" s="1" t="s">
        <v>279</v>
      </c>
      <c r="AO677" s="1" t="s">
        <v>479</v>
      </c>
      <c r="AP677" s="1">
        <v>63.2</v>
      </c>
      <c r="AQ677" s="1"/>
      <c r="AR677" s="1"/>
      <c r="AS677" s="1"/>
      <c r="AT677" s="1"/>
      <c r="AU677" s="1"/>
      <c r="AV677" s="1"/>
      <c r="AW677" s="1"/>
      <c r="AX677" s="1" t="s">
        <v>12594</v>
      </c>
      <c r="AY677" s="1" t="s">
        <v>12595</v>
      </c>
      <c r="AZ677" s="1" t="s">
        <v>201</v>
      </c>
      <c r="BA677" s="1" t="s">
        <v>174</v>
      </c>
      <c r="BB677" s="1">
        <v>71.05</v>
      </c>
      <c r="BC677" s="1"/>
      <c r="BD677" s="1"/>
      <c r="BE677" s="1"/>
      <c r="BF677" s="1"/>
      <c r="BG677" s="1"/>
      <c r="BH677" s="1"/>
      <c r="BI677" s="1"/>
      <c r="BJ677" s="1" t="s">
        <v>12596</v>
      </c>
      <c r="BK677" s="1" t="s">
        <v>12597</v>
      </c>
      <c r="BL677" s="1" t="s">
        <v>1561</v>
      </c>
      <c r="BM677" s="1" t="s">
        <v>12598</v>
      </c>
      <c r="BN677" s="1">
        <v>19</v>
      </c>
      <c r="BO677" s="1" t="s">
        <v>12599</v>
      </c>
      <c r="BP677" s="1" t="str">
        <f>HYPERLINK("https://nconnect.nicmar.ac.in/storage/profile/ProfilePhoto_P25700641_316458.jpg","Download")</f>
        <v>0</v>
      </c>
      <c r="BQ677" s="3"/>
      <c r="BR677" s="3"/>
    </row>
    <row r="678" spans="1:70">
      <c r="A678" s="1" t="s">
        <v>70</v>
      </c>
      <c r="B678" s="1" t="s">
        <v>1269</v>
      </c>
      <c r="C678" s="1" t="s">
        <v>12600</v>
      </c>
      <c r="D678" s="1" t="s">
        <v>1455</v>
      </c>
      <c r="E678" s="1"/>
      <c r="F678" s="1" t="s">
        <v>1875</v>
      </c>
      <c r="G678" s="1" t="s">
        <v>12601</v>
      </c>
      <c r="H678" s="1" t="s">
        <v>12602</v>
      </c>
      <c r="I678" s="1" t="s">
        <v>12603</v>
      </c>
      <c r="J678" s="1">
        <v>9400235383</v>
      </c>
      <c r="K678" s="1" t="s">
        <v>79</v>
      </c>
      <c r="L678" s="1" t="s">
        <v>1950</v>
      </c>
      <c r="M678" s="1" t="s">
        <v>81</v>
      </c>
      <c r="N678" s="1" t="s">
        <v>12604</v>
      </c>
      <c r="O678" s="1"/>
      <c r="P678" s="1" t="s">
        <v>1278</v>
      </c>
      <c r="Q678" s="1" t="s">
        <v>12605</v>
      </c>
      <c r="R678" s="1" t="s">
        <v>12606</v>
      </c>
      <c r="S678" s="1">
        <v>9400235383</v>
      </c>
      <c r="T678" s="1" t="s">
        <v>87</v>
      </c>
      <c r="U678" s="1" t="s">
        <v>12607</v>
      </c>
      <c r="V678" s="1">
        <v>9400235383</v>
      </c>
      <c r="W678" s="1" t="s">
        <v>156</v>
      </c>
      <c r="X678" s="1" t="s">
        <v>12608</v>
      </c>
      <c r="Y678" s="1" t="s">
        <v>2140</v>
      </c>
      <c r="Z678" s="1" t="s">
        <v>125</v>
      </c>
      <c r="AA678" s="1" t="s">
        <v>12608</v>
      </c>
      <c r="AB678" s="1" t="s">
        <v>2140</v>
      </c>
      <c r="AC678" s="1" t="s">
        <v>125</v>
      </c>
      <c r="AD678" s="1">
        <v>8.33</v>
      </c>
      <c r="AE678" s="1" t="s">
        <v>93</v>
      </c>
      <c r="AF678" s="1" t="s">
        <v>12609</v>
      </c>
      <c r="AG678" s="1" t="s">
        <v>12610</v>
      </c>
      <c r="AH678" s="1" t="s">
        <v>279</v>
      </c>
      <c r="AI678" s="1" t="s">
        <v>678</v>
      </c>
      <c r="AJ678" s="1">
        <v>83.6</v>
      </c>
      <c r="AK678" s="1">
        <v>8.8</v>
      </c>
      <c r="AL678" s="1" t="s">
        <v>12611</v>
      </c>
      <c r="AM678" s="1" t="s">
        <v>12610</v>
      </c>
      <c r="AN678" s="1" t="s">
        <v>1307</v>
      </c>
      <c r="AO678" s="1" t="s">
        <v>1065</v>
      </c>
      <c r="AP678" s="1">
        <v>71.2</v>
      </c>
      <c r="AQ678" s="1">
        <v>0</v>
      </c>
      <c r="AR678" s="1"/>
      <c r="AS678" s="1"/>
      <c r="AT678" s="1"/>
      <c r="AU678" s="1"/>
      <c r="AV678" s="1"/>
      <c r="AW678" s="1"/>
      <c r="AX678" s="1" t="s">
        <v>132</v>
      </c>
      <c r="AY678" s="1" t="s">
        <v>12612</v>
      </c>
      <c r="AZ678" s="1" t="s">
        <v>310</v>
      </c>
      <c r="BA678" s="1" t="s">
        <v>682</v>
      </c>
      <c r="BB678" s="1">
        <v>63.8</v>
      </c>
      <c r="BC678" s="1"/>
      <c r="BD678" s="1"/>
      <c r="BE678" s="1"/>
      <c r="BF678" s="1"/>
      <c r="BG678" s="1"/>
      <c r="BH678" s="1"/>
      <c r="BI678" s="1"/>
      <c r="BJ678" s="1" t="s">
        <v>1383</v>
      </c>
      <c r="BK678" s="1"/>
      <c r="BL678" s="1"/>
      <c r="BM678" s="1" t="s">
        <v>12613</v>
      </c>
      <c r="BN678" s="1">
        <v>29</v>
      </c>
      <c r="BO678" s="1"/>
      <c r="BP678" s="1" t="str">
        <f>HYPERLINK("https://nconnect.nicmar.ac.in/storage/profile/ProfilePhoto_P25700642_472538.jpg","Download")</f>
        <v>0</v>
      </c>
      <c r="BQ678" s="3"/>
      <c r="BR678" s="3"/>
    </row>
    <row r="679" spans="1:70">
      <c r="A679" s="1" t="s">
        <v>70</v>
      </c>
      <c r="B679" s="1" t="s">
        <v>1269</v>
      </c>
      <c r="C679" s="1" t="s">
        <v>12614</v>
      </c>
      <c r="D679" s="1" t="s">
        <v>4477</v>
      </c>
      <c r="E679" s="1" t="s">
        <v>2430</v>
      </c>
      <c r="F679" s="1" t="s">
        <v>12615</v>
      </c>
      <c r="G679" s="1" t="s">
        <v>12616</v>
      </c>
      <c r="H679" s="1" t="s">
        <v>12617</v>
      </c>
      <c r="I679" s="1" t="s">
        <v>12618</v>
      </c>
      <c r="J679" s="1">
        <v>7020339021</v>
      </c>
      <c r="K679" s="1" t="s">
        <v>79</v>
      </c>
      <c r="L679" s="1" t="s">
        <v>10460</v>
      </c>
      <c r="M679" s="1" t="s">
        <v>81</v>
      </c>
      <c r="N679" s="1" t="s">
        <v>12619</v>
      </c>
      <c r="O679" s="1"/>
      <c r="P679" s="1" t="s">
        <v>1323</v>
      </c>
      <c r="Q679" s="1" t="s">
        <v>12620</v>
      </c>
      <c r="R679" s="1" t="s">
        <v>12621</v>
      </c>
      <c r="S679" s="1">
        <v>9595148914</v>
      </c>
      <c r="T679" s="1" t="s">
        <v>842</v>
      </c>
      <c r="U679" s="1" t="s">
        <v>12622</v>
      </c>
      <c r="V679" s="1">
        <v>8329800467</v>
      </c>
      <c r="W679" s="1" t="s">
        <v>156</v>
      </c>
      <c r="X679" s="1" t="s">
        <v>12623</v>
      </c>
      <c r="Y679" s="1" t="s">
        <v>8391</v>
      </c>
      <c r="Z679" s="1" t="s">
        <v>92</v>
      </c>
      <c r="AA679" s="1" t="s">
        <v>12623</v>
      </c>
      <c r="AB679" s="1" t="s">
        <v>8391</v>
      </c>
      <c r="AC679" s="1" t="s">
        <v>92</v>
      </c>
      <c r="AD679" s="1">
        <v>8.87</v>
      </c>
      <c r="AE679" s="1" t="s">
        <v>93</v>
      </c>
      <c r="AF679" s="1" t="s">
        <v>12624</v>
      </c>
      <c r="AG679" s="1" t="s">
        <v>12625</v>
      </c>
      <c r="AH679" s="1" t="s">
        <v>479</v>
      </c>
      <c r="AI679" s="1" t="s">
        <v>101</v>
      </c>
      <c r="AJ679" s="1">
        <v>91</v>
      </c>
      <c r="AK679" s="1"/>
      <c r="AL679" s="1" t="s">
        <v>12626</v>
      </c>
      <c r="AM679" s="1" t="s">
        <v>12627</v>
      </c>
      <c r="AN679" s="1" t="s">
        <v>173</v>
      </c>
      <c r="AO679" s="1" t="s">
        <v>1712</v>
      </c>
      <c r="AP679" s="1">
        <v>94.33</v>
      </c>
      <c r="AQ679" s="1"/>
      <c r="AR679" s="1"/>
      <c r="AS679" s="1"/>
      <c r="AT679" s="1"/>
      <c r="AU679" s="1"/>
      <c r="AV679" s="1"/>
      <c r="AW679" s="1"/>
      <c r="AX679" s="1" t="s">
        <v>410</v>
      </c>
      <c r="AY679" s="1" t="s">
        <v>10100</v>
      </c>
      <c r="AZ679" s="1" t="s">
        <v>3000</v>
      </c>
      <c r="BA679" s="1" t="s">
        <v>1361</v>
      </c>
      <c r="BB679" s="1">
        <v>85.8</v>
      </c>
      <c r="BC679" s="1">
        <v>8.58</v>
      </c>
      <c r="BD679" s="1"/>
      <c r="BE679" s="1"/>
      <c r="BF679" s="1"/>
      <c r="BG679" s="1"/>
      <c r="BH679" s="1"/>
      <c r="BI679" s="1"/>
      <c r="BJ679" s="1" t="s">
        <v>12628</v>
      </c>
      <c r="BK679" s="1"/>
      <c r="BL679" s="1"/>
      <c r="BM679" s="1" t="s">
        <v>12629</v>
      </c>
      <c r="BN679" s="1">
        <v>15</v>
      </c>
      <c r="BO679" s="1" t="s">
        <v>12630</v>
      </c>
      <c r="BP679" s="1" t="str">
        <f>HYPERLINK("https://nconnect.nicmar.ac.in/storage/profile/ProfilePhoto_P25700643_542673.jpg","Download")</f>
        <v>0</v>
      </c>
      <c r="BQ679" s="3"/>
      <c r="BR679" s="3"/>
    </row>
    <row r="680" spans="1:70">
      <c r="A680" s="1" t="s">
        <v>70</v>
      </c>
      <c r="B680" s="1" t="s">
        <v>1269</v>
      </c>
      <c r="C680" s="1" t="s">
        <v>12631</v>
      </c>
      <c r="D680" s="1" t="s">
        <v>2150</v>
      </c>
      <c r="E680" s="1" t="s">
        <v>5413</v>
      </c>
      <c r="F680" s="1" t="s">
        <v>1741</v>
      </c>
      <c r="G680" s="1" t="s">
        <v>12632</v>
      </c>
      <c r="H680" s="1" t="s">
        <v>12633</v>
      </c>
      <c r="I680" s="1" t="s">
        <v>12633</v>
      </c>
      <c r="J680" s="1">
        <v>7385678869</v>
      </c>
      <c r="K680" s="1" t="s">
        <v>79</v>
      </c>
      <c r="L680" s="1" t="s">
        <v>11945</v>
      </c>
      <c r="M680" s="1" t="s">
        <v>81</v>
      </c>
      <c r="N680" s="1" t="s">
        <v>1418</v>
      </c>
      <c r="O680" s="1"/>
      <c r="P680" s="1" t="s">
        <v>1323</v>
      </c>
      <c r="Q680" s="1" t="s">
        <v>12634</v>
      </c>
      <c r="R680" s="1" t="s">
        <v>12635</v>
      </c>
      <c r="S680" s="1">
        <v>9765284121</v>
      </c>
      <c r="T680" s="1" t="s">
        <v>472</v>
      </c>
      <c r="U680" s="1" t="s">
        <v>12636</v>
      </c>
      <c r="V680" s="1">
        <v>9511678869</v>
      </c>
      <c r="W680" s="1" t="s">
        <v>273</v>
      </c>
      <c r="X680" s="1" t="s">
        <v>12637</v>
      </c>
      <c r="Y680" s="1" t="s">
        <v>191</v>
      </c>
      <c r="Z680" s="1" t="s">
        <v>92</v>
      </c>
      <c r="AA680" s="1" t="s">
        <v>12638</v>
      </c>
      <c r="AB680" s="1" t="s">
        <v>5840</v>
      </c>
      <c r="AC680" s="1" t="s">
        <v>92</v>
      </c>
      <c r="AD680" s="1">
        <v>8.05</v>
      </c>
      <c r="AE680" s="1" t="s">
        <v>93</v>
      </c>
      <c r="AF680" s="1" t="s">
        <v>12639</v>
      </c>
      <c r="AG680" s="1" t="s">
        <v>12640</v>
      </c>
      <c r="AH680" s="1" t="s">
        <v>195</v>
      </c>
      <c r="AI680" s="1" t="s">
        <v>281</v>
      </c>
      <c r="AJ680" s="1">
        <v>82.4</v>
      </c>
      <c r="AK680" s="1"/>
      <c r="AL680" s="1" t="s">
        <v>12641</v>
      </c>
      <c r="AM680" s="1" t="s">
        <v>12642</v>
      </c>
      <c r="AN680" s="1" t="s">
        <v>409</v>
      </c>
      <c r="AO680" s="1" t="s">
        <v>941</v>
      </c>
      <c r="AP680" s="1">
        <v>60</v>
      </c>
      <c r="AQ680" s="1"/>
      <c r="AR680" s="1"/>
      <c r="AS680" s="1"/>
      <c r="AT680" s="1"/>
      <c r="AU680" s="1"/>
      <c r="AV680" s="1"/>
      <c r="AW680" s="1"/>
      <c r="AX680" s="1" t="s">
        <v>361</v>
      </c>
      <c r="AY680" s="1" t="s">
        <v>12643</v>
      </c>
      <c r="AZ680" s="1" t="s">
        <v>1712</v>
      </c>
      <c r="BA680" s="1" t="s">
        <v>2611</v>
      </c>
      <c r="BB680" s="1">
        <v>67.14</v>
      </c>
      <c r="BC680" s="1">
        <v>7.46</v>
      </c>
      <c r="BD680" s="1"/>
      <c r="BE680" s="1"/>
      <c r="BF680" s="1"/>
      <c r="BG680" s="1"/>
      <c r="BH680" s="1"/>
      <c r="BI680" s="1"/>
      <c r="BJ680" s="1" t="s">
        <v>12644</v>
      </c>
      <c r="BK680" s="1"/>
      <c r="BL680" s="1"/>
      <c r="BM680" s="1" t="s">
        <v>12645</v>
      </c>
      <c r="BN680" s="1">
        <v>30</v>
      </c>
      <c r="BO680" s="1"/>
      <c r="BP680" s="1" t="str">
        <f>HYPERLINK("https://nconnect.nicmar.ac.in/storage/profile/ProfilePhoto_P25700644_925768.jpg","Download")</f>
        <v>0</v>
      </c>
      <c r="BQ680" s="3"/>
      <c r="BR680" s="3"/>
    </row>
    <row r="681" spans="1:70">
      <c r="A681" s="1" t="s">
        <v>70</v>
      </c>
      <c r="B681" s="1" t="s">
        <v>1269</v>
      </c>
      <c r="C681" s="1" t="s">
        <v>12646</v>
      </c>
      <c r="D681" s="1" t="s">
        <v>533</v>
      </c>
      <c r="E681" s="1" t="s">
        <v>4328</v>
      </c>
      <c r="F681" s="1" t="s">
        <v>2782</v>
      </c>
      <c r="G681" s="1" t="s">
        <v>12647</v>
      </c>
      <c r="H681" s="1" t="s">
        <v>12648</v>
      </c>
      <c r="I681" s="1" t="s">
        <v>12649</v>
      </c>
      <c r="J681" s="1">
        <v>7083083456</v>
      </c>
      <c r="K681" s="1" t="s">
        <v>79</v>
      </c>
      <c r="L681" s="1" t="s">
        <v>5496</v>
      </c>
      <c r="M681" s="1" t="s">
        <v>81</v>
      </c>
      <c r="N681" s="1" t="s">
        <v>12650</v>
      </c>
      <c r="O681" s="1"/>
      <c r="P681" s="1" t="s">
        <v>1298</v>
      </c>
      <c r="Q681" s="1" t="s">
        <v>12651</v>
      </c>
      <c r="R681" s="1" t="s">
        <v>4328</v>
      </c>
      <c r="S681" s="1">
        <v>9763800725</v>
      </c>
      <c r="T681" s="1" t="s">
        <v>496</v>
      </c>
      <c r="U681" s="1" t="s">
        <v>2758</v>
      </c>
      <c r="V681" s="1">
        <v>9423024295</v>
      </c>
      <c r="W681" s="1" t="s">
        <v>156</v>
      </c>
      <c r="X681" s="1" t="s">
        <v>12652</v>
      </c>
      <c r="Y681" s="1" t="s">
        <v>191</v>
      </c>
      <c r="Z681" s="1" t="s">
        <v>92</v>
      </c>
      <c r="AA681" s="1" t="s">
        <v>12653</v>
      </c>
      <c r="AB681" s="1" t="s">
        <v>3482</v>
      </c>
      <c r="AC681" s="1" t="s">
        <v>92</v>
      </c>
      <c r="AD681" s="1">
        <v>8.44</v>
      </c>
      <c r="AE681" s="1" t="s">
        <v>93</v>
      </c>
      <c r="AF681" s="1" t="s">
        <v>12654</v>
      </c>
      <c r="AG681" s="1" t="s">
        <v>12625</v>
      </c>
      <c r="AH681" s="1" t="s">
        <v>165</v>
      </c>
      <c r="AI681" s="1" t="s">
        <v>166</v>
      </c>
      <c r="AJ681" s="1">
        <v>89.6</v>
      </c>
      <c r="AK681" s="1"/>
      <c r="AL681" s="1" t="s">
        <v>12655</v>
      </c>
      <c r="AM681" s="1" t="s">
        <v>12627</v>
      </c>
      <c r="AN681" s="1" t="s">
        <v>433</v>
      </c>
      <c r="AO681" s="1" t="s">
        <v>412</v>
      </c>
      <c r="AP681" s="1">
        <v>75.08</v>
      </c>
      <c r="AQ681" s="1"/>
      <c r="AR681" s="1"/>
      <c r="AS681" s="1"/>
      <c r="AT681" s="1"/>
      <c r="AU681" s="1"/>
      <c r="AV681" s="1"/>
      <c r="AW681" s="1"/>
      <c r="AX681" s="1" t="s">
        <v>361</v>
      </c>
      <c r="AY681" s="1" t="s">
        <v>12656</v>
      </c>
      <c r="AZ681" s="1" t="s">
        <v>363</v>
      </c>
      <c r="BA681" s="1" t="s">
        <v>202</v>
      </c>
      <c r="BB681" s="1">
        <v>83.31</v>
      </c>
      <c r="BC681" s="1">
        <v>8.77</v>
      </c>
      <c r="BD681" s="1"/>
      <c r="BE681" s="1"/>
      <c r="BF681" s="1"/>
      <c r="BG681" s="1"/>
      <c r="BH681" s="1"/>
      <c r="BI681" s="1"/>
      <c r="BJ681" s="1" t="s">
        <v>1715</v>
      </c>
      <c r="BK681" s="1" t="s">
        <v>12657</v>
      </c>
      <c r="BL681" s="1" t="s">
        <v>1920</v>
      </c>
      <c r="BM681" s="1" t="s">
        <v>12658</v>
      </c>
      <c r="BN681" s="1">
        <v>31</v>
      </c>
      <c r="BO681" s="1"/>
      <c r="BP681" s="1" t="str">
        <f>HYPERLINK("https://nconnect.nicmar.ac.in/storage/profile/ProfilePhoto_P25700645_346279.jpg","Download")</f>
        <v>0</v>
      </c>
      <c r="BQ681" s="3"/>
      <c r="BR681" s="3"/>
    </row>
    <row r="682" spans="1:70">
      <c r="A682" s="1" t="s">
        <v>70</v>
      </c>
      <c r="B682" s="1" t="s">
        <v>1269</v>
      </c>
      <c r="C682" s="1" t="s">
        <v>12659</v>
      </c>
      <c r="D682" s="1" t="s">
        <v>3056</v>
      </c>
      <c r="E682" s="1"/>
      <c r="F682" s="1" t="s">
        <v>12660</v>
      </c>
      <c r="G682" s="1" t="s">
        <v>12661</v>
      </c>
      <c r="H682" s="1" t="s">
        <v>12662</v>
      </c>
      <c r="I682" s="1" t="s">
        <v>12663</v>
      </c>
      <c r="J682" s="1">
        <v>8328351508</v>
      </c>
      <c r="K682" s="1" t="s">
        <v>79</v>
      </c>
      <c r="L682" s="1" t="s">
        <v>12664</v>
      </c>
      <c r="M682" s="1" t="s">
        <v>81</v>
      </c>
      <c r="N682" s="1" t="s">
        <v>12665</v>
      </c>
      <c r="O682" s="1"/>
      <c r="P682" s="1" t="s">
        <v>1462</v>
      </c>
      <c r="Q682" s="1" t="s">
        <v>12666</v>
      </c>
      <c r="R682" s="1" t="s">
        <v>12667</v>
      </c>
      <c r="S682" s="1">
        <v>8328351508</v>
      </c>
      <c r="T682" s="1" t="s">
        <v>12668</v>
      </c>
      <c r="U682" s="1" t="s">
        <v>12669</v>
      </c>
      <c r="V682" s="1">
        <v>9000004083</v>
      </c>
      <c r="W682" s="1" t="s">
        <v>2240</v>
      </c>
      <c r="X682" s="1" t="s">
        <v>12670</v>
      </c>
      <c r="Y682" s="1" t="s">
        <v>9671</v>
      </c>
      <c r="Z682" s="1" t="s">
        <v>609</v>
      </c>
      <c r="AA682" s="1" t="s">
        <v>12670</v>
      </c>
      <c r="AB682" s="1" t="s">
        <v>9671</v>
      </c>
      <c r="AC682" s="1" t="s">
        <v>609</v>
      </c>
      <c r="AD682" s="1">
        <v>8.15</v>
      </c>
      <c r="AE682" s="1" t="s">
        <v>93</v>
      </c>
      <c r="AF682" s="1" t="s">
        <v>12671</v>
      </c>
      <c r="AG682" s="1" t="s">
        <v>1285</v>
      </c>
      <c r="AH682" s="1" t="s">
        <v>162</v>
      </c>
      <c r="AI682" s="1" t="s">
        <v>195</v>
      </c>
      <c r="AJ682" s="1">
        <v>98</v>
      </c>
      <c r="AK682" s="1">
        <v>9.8</v>
      </c>
      <c r="AL682" s="1" t="s">
        <v>12672</v>
      </c>
      <c r="AM682" s="1" t="s">
        <v>613</v>
      </c>
      <c r="AN682" s="1" t="s">
        <v>165</v>
      </c>
      <c r="AO682" s="1" t="s">
        <v>409</v>
      </c>
      <c r="AP682" s="1">
        <v>96.8</v>
      </c>
      <c r="AQ682" s="1">
        <v>9.68</v>
      </c>
      <c r="AR682" s="1"/>
      <c r="AS682" s="1"/>
      <c r="AT682" s="1"/>
      <c r="AU682" s="1"/>
      <c r="AV682" s="1"/>
      <c r="AW682" s="1"/>
      <c r="AX682" s="1" t="s">
        <v>7648</v>
      </c>
      <c r="AY682" s="1" t="s">
        <v>12056</v>
      </c>
      <c r="AZ682" s="1" t="s">
        <v>2463</v>
      </c>
      <c r="BA682" s="1" t="s">
        <v>202</v>
      </c>
      <c r="BB682" s="1">
        <v>69.7</v>
      </c>
      <c r="BC682" s="1">
        <v>6.97</v>
      </c>
      <c r="BD682" s="1"/>
      <c r="BE682" s="1"/>
      <c r="BF682" s="1"/>
      <c r="BG682" s="1"/>
      <c r="BH682" s="1"/>
      <c r="BI682" s="1"/>
      <c r="BJ682" s="1" t="s">
        <v>6758</v>
      </c>
      <c r="BK682" s="1"/>
      <c r="BL682" s="1"/>
      <c r="BM682" s="1" t="s">
        <v>12673</v>
      </c>
      <c r="BN682" s="1">
        <v>4</v>
      </c>
      <c r="BO682" s="1"/>
      <c r="BP682" s="1" t="str">
        <f>HYPERLINK("https://nconnect.nicmar.ac.in/storage/profile/ProfilePhoto_P25700646_127359.jpg","Download")</f>
        <v>0</v>
      </c>
      <c r="BQ682" s="3"/>
      <c r="BR682" s="3"/>
    </row>
    <row r="683" spans="1:70">
      <c r="A683" s="1" t="s">
        <v>70</v>
      </c>
      <c r="B683" s="1" t="s">
        <v>1269</v>
      </c>
      <c r="C683" s="1" t="s">
        <v>12674</v>
      </c>
      <c r="D683" s="1" t="s">
        <v>12675</v>
      </c>
      <c r="E683" s="1" t="s">
        <v>12676</v>
      </c>
      <c r="F683" s="1" t="s">
        <v>12677</v>
      </c>
      <c r="G683" s="1" t="s">
        <v>12678</v>
      </c>
      <c r="H683" s="1" t="s">
        <v>12679</v>
      </c>
      <c r="I683" s="1" t="s">
        <v>12680</v>
      </c>
      <c r="J683" s="1">
        <v>9920959760</v>
      </c>
      <c r="K683" s="1" t="s">
        <v>79</v>
      </c>
      <c r="L683" s="1" t="s">
        <v>1617</v>
      </c>
      <c r="M683" s="1" t="s">
        <v>150</v>
      </c>
      <c r="N683" s="1" t="s">
        <v>3747</v>
      </c>
      <c r="O683" s="1"/>
      <c r="P683" s="1" t="s">
        <v>1278</v>
      </c>
      <c r="Q683" s="1" t="s">
        <v>12681</v>
      </c>
      <c r="R683" s="1" t="s">
        <v>12682</v>
      </c>
      <c r="S683" s="1">
        <v>9867023838</v>
      </c>
      <c r="T683" s="1" t="s">
        <v>4687</v>
      </c>
      <c r="U683" s="1" t="s">
        <v>12683</v>
      </c>
      <c r="V683" s="1">
        <v>9930042212</v>
      </c>
      <c r="W683" s="1" t="s">
        <v>273</v>
      </c>
      <c r="X683" s="1" t="s">
        <v>12684</v>
      </c>
      <c r="Y683" s="1" t="s">
        <v>1623</v>
      </c>
      <c r="Z683" s="1" t="s">
        <v>92</v>
      </c>
      <c r="AA683" s="1" t="s">
        <v>12684</v>
      </c>
      <c r="AB683" s="1" t="s">
        <v>1623</v>
      </c>
      <c r="AC683" s="1" t="s">
        <v>92</v>
      </c>
      <c r="AD683" s="1">
        <v>8.48</v>
      </c>
      <c r="AE683" s="1" t="s">
        <v>93</v>
      </c>
      <c r="AF683" s="1" t="s">
        <v>12685</v>
      </c>
      <c r="AG683" s="1" t="s">
        <v>1152</v>
      </c>
      <c r="AH683" s="1" t="s">
        <v>131</v>
      </c>
      <c r="AI683" s="1" t="s">
        <v>527</v>
      </c>
      <c r="AJ683" s="1">
        <v>78.6</v>
      </c>
      <c r="AK683" s="1">
        <v>0</v>
      </c>
      <c r="AL683" s="1"/>
      <c r="AM683" s="1"/>
      <c r="AN683" s="1"/>
      <c r="AO683" s="1"/>
      <c r="AP683" s="1"/>
      <c r="AQ683" s="1"/>
      <c r="AR683" s="1" t="s">
        <v>98</v>
      </c>
      <c r="AS683" s="1" t="s">
        <v>12686</v>
      </c>
      <c r="AT683" s="1" t="s">
        <v>134</v>
      </c>
      <c r="AU683" s="1" t="s">
        <v>310</v>
      </c>
      <c r="AV683" s="1">
        <v>78</v>
      </c>
      <c r="AW683" s="1">
        <v>0</v>
      </c>
      <c r="AX683" s="1" t="s">
        <v>253</v>
      </c>
      <c r="AY683" s="1" t="s">
        <v>12687</v>
      </c>
      <c r="AZ683" s="1" t="s">
        <v>201</v>
      </c>
      <c r="BA683" s="1" t="s">
        <v>1003</v>
      </c>
      <c r="BB683" s="1">
        <v>78.36</v>
      </c>
      <c r="BC683" s="1">
        <v>8.68</v>
      </c>
      <c r="BD683" s="1"/>
      <c r="BE683" s="1"/>
      <c r="BF683" s="1"/>
      <c r="BG683" s="1"/>
      <c r="BH683" s="1"/>
      <c r="BI683" s="1"/>
      <c r="BJ683" s="1" t="s">
        <v>12688</v>
      </c>
      <c r="BK683" s="1" t="s">
        <v>12689</v>
      </c>
      <c r="BL683" s="1" t="s">
        <v>3110</v>
      </c>
      <c r="BM683" s="1" t="s">
        <v>12690</v>
      </c>
      <c r="BN683" s="1">
        <v>31</v>
      </c>
      <c r="BO683" s="1" t="s">
        <v>12691</v>
      </c>
      <c r="BP683" s="1" t="str">
        <f>HYPERLINK("https://nconnect.nicmar.ac.in/storage/profile/ProfilePhoto_P25700647_481956.jpg","Download")</f>
        <v>0</v>
      </c>
      <c r="BQ683" s="3"/>
      <c r="BR683" s="3"/>
    </row>
    <row r="684" spans="1:70">
      <c r="A684" s="1" t="s">
        <v>70</v>
      </c>
      <c r="B684" s="1" t="s">
        <v>1269</v>
      </c>
      <c r="C684" s="1" t="s">
        <v>12692</v>
      </c>
      <c r="D684" s="1" t="s">
        <v>12693</v>
      </c>
      <c r="E684" s="1" t="s">
        <v>12694</v>
      </c>
      <c r="F684" s="1" t="s">
        <v>12695</v>
      </c>
      <c r="G684" s="1" t="s">
        <v>12696</v>
      </c>
      <c r="H684" s="1" t="s">
        <v>12697</v>
      </c>
      <c r="I684" s="1" t="s">
        <v>12698</v>
      </c>
      <c r="J684" s="1">
        <v>7043305926</v>
      </c>
      <c r="K684" s="1" t="s">
        <v>79</v>
      </c>
      <c r="L684" s="1" t="s">
        <v>8709</v>
      </c>
      <c r="M684" s="1" t="s">
        <v>81</v>
      </c>
      <c r="N684" s="1" t="s">
        <v>7355</v>
      </c>
      <c r="O684" s="1"/>
      <c r="P684" s="1" t="s">
        <v>1323</v>
      </c>
      <c r="Q684" s="1" t="s">
        <v>12699</v>
      </c>
      <c r="R684" s="1" t="s">
        <v>12700</v>
      </c>
      <c r="S684" s="1">
        <v>9426154922</v>
      </c>
      <c r="T684" s="1" t="s">
        <v>5260</v>
      </c>
      <c r="U684" s="1" t="s">
        <v>12701</v>
      </c>
      <c r="V684" s="1">
        <v>8320500467</v>
      </c>
      <c r="W684" s="1" t="s">
        <v>1771</v>
      </c>
      <c r="X684" s="1" t="s">
        <v>12702</v>
      </c>
      <c r="Y684" s="1" t="s">
        <v>191</v>
      </c>
      <c r="Z684" s="1" t="s">
        <v>92</v>
      </c>
      <c r="AA684" s="1" t="s">
        <v>12703</v>
      </c>
      <c r="AB684" s="1" t="s">
        <v>5894</v>
      </c>
      <c r="AC684" s="1" t="s">
        <v>1468</v>
      </c>
      <c r="AD684" s="1">
        <v>8.03</v>
      </c>
      <c r="AE684" s="1" t="s">
        <v>93</v>
      </c>
      <c r="AF684" s="1" t="s">
        <v>12704</v>
      </c>
      <c r="AG684" s="1" t="s">
        <v>12705</v>
      </c>
      <c r="AH684" s="1" t="s">
        <v>1307</v>
      </c>
      <c r="AI684" s="1" t="s">
        <v>308</v>
      </c>
      <c r="AJ684" s="1">
        <v>93.2</v>
      </c>
      <c r="AK684" s="1"/>
      <c r="AL684" s="1" t="s">
        <v>12704</v>
      </c>
      <c r="AM684" s="1" t="s">
        <v>12705</v>
      </c>
      <c r="AN684" s="1" t="s">
        <v>941</v>
      </c>
      <c r="AO684" s="1" t="s">
        <v>506</v>
      </c>
      <c r="AP684" s="1">
        <v>93.2</v>
      </c>
      <c r="AQ684" s="1"/>
      <c r="AR684" s="1"/>
      <c r="AS684" s="1"/>
      <c r="AT684" s="1"/>
      <c r="AU684" s="1"/>
      <c r="AV684" s="1"/>
      <c r="AW684" s="1"/>
      <c r="AX684" s="1" t="s">
        <v>12706</v>
      </c>
      <c r="AY684" s="1" t="s">
        <v>12706</v>
      </c>
      <c r="AZ684" s="1" t="s">
        <v>1407</v>
      </c>
      <c r="BA684" s="1" t="s">
        <v>1361</v>
      </c>
      <c r="BB684" s="1">
        <v>78.1</v>
      </c>
      <c r="BC684" s="1">
        <v>8.31</v>
      </c>
      <c r="BD684" s="1"/>
      <c r="BE684" s="1"/>
      <c r="BF684" s="1"/>
      <c r="BG684" s="1"/>
      <c r="BH684" s="1"/>
      <c r="BI684" s="1"/>
      <c r="BJ684" s="1" t="s">
        <v>12707</v>
      </c>
      <c r="BK684" s="1"/>
      <c r="BL684" s="1"/>
      <c r="BM684" s="1" t="s">
        <v>12708</v>
      </c>
      <c r="BN684" s="1">
        <v>25</v>
      </c>
      <c r="BO684" s="1"/>
      <c r="BP684" s="1" t="str">
        <f>HYPERLINK("https://nconnect.nicmar.ac.in/storage/profile/ProfilePhoto_P25700648_167498.jpg","Download")</f>
        <v>0</v>
      </c>
      <c r="BQ684" s="3"/>
      <c r="BR684" s="3"/>
    </row>
    <row r="685" spans="1:70">
      <c r="A685" s="1" t="s">
        <v>70</v>
      </c>
      <c r="B685" s="1" t="s">
        <v>1269</v>
      </c>
      <c r="C685" s="1" t="s">
        <v>12709</v>
      </c>
      <c r="D685" s="1" t="s">
        <v>12710</v>
      </c>
      <c r="E685" s="1"/>
      <c r="F685" s="1" t="s">
        <v>5036</v>
      </c>
      <c r="G685" s="1" t="s">
        <v>12711</v>
      </c>
      <c r="H685" s="1" t="s">
        <v>12712</v>
      </c>
      <c r="I685" s="1" t="s">
        <v>12713</v>
      </c>
      <c r="J685" s="1">
        <v>7095418558</v>
      </c>
      <c r="K685" s="1" t="s">
        <v>79</v>
      </c>
      <c r="L685" s="1" t="s">
        <v>12714</v>
      </c>
      <c r="M685" s="1" t="s">
        <v>81</v>
      </c>
      <c r="N685" s="1" t="s">
        <v>9165</v>
      </c>
      <c r="O685" s="1"/>
      <c r="P685" s="1" t="s">
        <v>1323</v>
      </c>
      <c r="Q685" s="1" t="s">
        <v>12715</v>
      </c>
      <c r="R685" s="1" t="s">
        <v>12716</v>
      </c>
      <c r="S685" s="1">
        <v>9550519890</v>
      </c>
      <c r="T685" s="1" t="s">
        <v>154</v>
      </c>
      <c r="U685" s="1" t="s">
        <v>12717</v>
      </c>
      <c r="V685" s="1">
        <v>9848882491</v>
      </c>
      <c r="W685" s="1" t="s">
        <v>651</v>
      </c>
      <c r="X685" s="1" t="s">
        <v>12718</v>
      </c>
      <c r="Y685" s="1" t="s">
        <v>12719</v>
      </c>
      <c r="Z685" s="1" t="s">
        <v>276</v>
      </c>
      <c r="AA685" s="1" t="s">
        <v>12718</v>
      </c>
      <c r="AB685" s="1" t="s">
        <v>12719</v>
      </c>
      <c r="AC685" s="1" t="s">
        <v>276</v>
      </c>
      <c r="AD685" s="1">
        <v>9.0</v>
      </c>
      <c r="AE685" s="1" t="s">
        <v>93</v>
      </c>
      <c r="AF685" s="1" t="s">
        <v>12720</v>
      </c>
      <c r="AG685" s="1" t="s">
        <v>12721</v>
      </c>
      <c r="AH685" s="1" t="s">
        <v>169</v>
      </c>
      <c r="AI685" s="1" t="s">
        <v>409</v>
      </c>
      <c r="AJ685" s="1">
        <v>93</v>
      </c>
      <c r="AK685" s="1">
        <v>9.3</v>
      </c>
      <c r="AL685" s="1" t="s">
        <v>12722</v>
      </c>
      <c r="AM685" s="1" t="s">
        <v>12723</v>
      </c>
      <c r="AN685" s="1" t="s">
        <v>310</v>
      </c>
      <c r="AO685" s="1" t="s">
        <v>504</v>
      </c>
      <c r="AP685" s="1">
        <v>88.4</v>
      </c>
      <c r="AQ685" s="1">
        <v>0</v>
      </c>
      <c r="AR685" s="1"/>
      <c r="AS685" s="1"/>
      <c r="AT685" s="1"/>
      <c r="AU685" s="1"/>
      <c r="AV685" s="1"/>
      <c r="AW685" s="1"/>
      <c r="AX685" s="1" t="s">
        <v>12724</v>
      </c>
      <c r="AY685" s="1" t="s">
        <v>12725</v>
      </c>
      <c r="AZ685" s="1" t="s">
        <v>506</v>
      </c>
      <c r="BA685" s="1" t="s">
        <v>1408</v>
      </c>
      <c r="BB685" s="1">
        <v>73.3</v>
      </c>
      <c r="BC685" s="1">
        <v>8.08</v>
      </c>
      <c r="BD685" s="1"/>
      <c r="BE685" s="1"/>
      <c r="BF685" s="1"/>
      <c r="BG685" s="1"/>
      <c r="BH685" s="1"/>
      <c r="BI685" s="1"/>
      <c r="BJ685" s="1" t="s">
        <v>12726</v>
      </c>
      <c r="BK685" s="1"/>
      <c r="BL685" s="1"/>
      <c r="BM685" s="1" t="s">
        <v>12727</v>
      </c>
      <c r="BN685" s="1">
        <v>15</v>
      </c>
      <c r="BO685" s="1"/>
      <c r="BP685" s="1" t="str">
        <f>HYPERLINK("https://nconnect.nicmar.ac.in/storage/profile/ProfilePhoto_P25700649_431865.jpg","Download")</f>
        <v>0</v>
      </c>
      <c r="BQ685" s="3"/>
      <c r="BR685" s="3"/>
    </row>
    <row r="686" spans="1:70">
      <c r="A686" s="1" t="s">
        <v>70</v>
      </c>
      <c r="B686" s="1" t="s">
        <v>1269</v>
      </c>
      <c r="C686" s="1" t="s">
        <v>12728</v>
      </c>
      <c r="D686" s="1" t="s">
        <v>643</v>
      </c>
      <c r="E686" s="1" t="s">
        <v>1566</v>
      </c>
      <c r="F686" s="1" t="s">
        <v>12729</v>
      </c>
      <c r="G686" s="1" t="s">
        <v>12730</v>
      </c>
      <c r="H686" s="1" t="s">
        <v>12731</v>
      </c>
      <c r="I686" s="1" t="s">
        <v>12732</v>
      </c>
      <c r="J686" s="1">
        <v>7058591221</v>
      </c>
      <c r="K686" s="1" t="s">
        <v>79</v>
      </c>
      <c r="L686" s="1" t="s">
        <v>1764</v>
      </c>
      <c r="M686" s="1" t="s">
        <v>81</v>
      </c>
      <c r="N686" s="1" t="s">
        <v>12733</v>
      </c>
      <c r="O686" s="1"/>
      <c r="P686" s="1" t="s">
        <v>1766</v>
      </c>
      <c r="Q686" s="1" t="s">
        <v>12734</v>
      </c>
      <c r="R686" s="1" t="s">
        <v>12735</v>
      </c>
      <c r="S686" s="1">
        <v>9820112357</v>
      </c>
      <c r="T686" s="1" t="s">
        <v>1256</v>
      </c>
      <c r="U686" s="1" t="s">
        <v>12736</v>
      </c>
      <c r="V686" s="1">
        <v>7058493264</v>
      </c>
      <c r="W686" s="1" t="s">
        <v>716</v>
      </c>
      <c r="X686" s="1" t="s">
        <v>12737</v>
      </c>
      <c r="Y686" s="1" t="s">
        <v>5080</v>
      </c>
      <c r="Z686" s="1" t="s">
        <v>92</v>
      </c>
      <c r="AA686" s="1" t="s">
        <v>12738</v>
      </c>
      <c r="AB686" s="1" t="s">
        <v>766</v>
      </c>
      <c r="AC686" s="1" t="s">
        <v>92</v>
      </c>
      <c r="AD686" s="1">
        <v>8.25</v>
      </c>
      <c r="AE686" s="1" t="s">
        <v>93</v>
      </c>
      <c r="AF686" s="1" t="s">
        <v>12739</v>
      </c>
      <c r="AG686" s="1" t="s">
        <v>160</v>
      </c>
      <c r="AH686" s="1" t="s">
        <v>169</v>
      </c>
      <c r="AI686" s="1" t="s">
        <v>409</v>
      </c>
      <c r="AJ686" s="1">
        <v>68.8</v>
      </c>
      <c r="AK686" s="1"/>
      <c r="AL686" s="1"/>
      <c r="AM686" s="1"/>
      <c r="AN686" s="1"/>
      <c r="AO686" s="1"/>
      <c r="AP686" s="1"/>
      <c r="AQ686" s="1"/>
      <c r="AR686" s="1" t="s">
        <v>434</v>
      </c>
      <c r="AS686" s="1" t="s">
        <v>12740</v>
      </c>
      <c r="AT686" s="1" t="s">
        <v>201</v>
      </c>
      <c r="AU686" s="1" t="s">
        <v>481</v>
      </c>
      <c r="AV686" s="1">
        <v>76.47</v>
      </c>
      <c r="AW686" s="1"/>
      <c r="AX686" s="1" t="s">
        <v>1024</v>
      </c>
      <c r="AY686" s="1" t="s">
        <v>12741</v>
      </c>
      <c r="AZ686" s="1" t="s">
        <v>2693</v>
      </c>
      <c r="BA686" s="1" t="s">
        <v>1584</v>
      </c>
      <c r="BB686" s="1">
        <v>65.04</v>
      </c>
      <c r="BC686" s="1">
        <v>7.1</v>
      </c>
      <c r="BD686" s="1"/>
      <c r="BE686" s="1"/>
      <c r="BF686" s="1"/>
      <c r="BG686" s="1"/>
      <c r="BH686" s="1"/>
      <c r="BI686" s="1"/>
      <c r="BJ686" s="1" t="s">
        <v>734</v>
      </c>
      <c r="BK686" s="1"/>
      <c r="BL686" s="1"/>
      <c r="BM686" s="1" t="s">
        <v>12742</v>
      </c>
      <c r="BN686" s="1">
        <v>8</v>
      </c>
      <c r="BO686" s="1"/>
      <c r="BP686" s="1" t="str">
        <f>HYPERLINK("https://nconnect.nicmar.ac.in/storage/profile/ProfilePhoto_P25700650_487352.jpg","Download")</f>
        <v>0</v>
      </c>
      <c r="BQ686" s="3"/>
      <c r="BR686" s="3"/>
    </row>
    <row r="687" spans="1:70">
      <c r="A687" s="1" t="s">
        <v>70</v>
      </c>
      <c r="B687" s="1" t="s">
        <v>1269</v>
      </c>
      <c r="C687" s="1" t="s">
        <v>12743</v>
      </c>
      <c r="D687" s="1" t="s">
        <v>12744</v>
      </c>
      <c r="E687" s="1" t="s">
        <v>12745</v>
      </c>
      <c r="F687" s="1" t="s">
        <v>12746</v>
      </c>
      <c r="G687" s="1" t="s">
        <v>12747</v>
      </c>
      <c r="H687" s="1" t="s">
        <v>12748</v>
      </c>
      <c r="I687" s="1" t="s">
        <v>12749</v>
      </c>
      <c r="J687" s="1">
        <v>7507311402</v>
      </c>
      <c r="K687" s="1" t="s">
        <v>148</v>
      </c>
      <c r="L687" s="1" t="s">
        <v>1929</v>
      </c>
      <c r="M687" s="1" t="s">
        <v>81</v>
      </c>
      <c r="N687" s="1" t="s">
        <v>1418</v>
      </c>
      <c r="O687" s="1"/>
      <c r="P687" s="1" t="s">
        <v>1323</v>
      </c>
      <c r="Q687" s="1" t="s">
        <v>12750</v>
      </c>
      <c r="R687" s="1" t="s">
        <v>12746</v>
      </c>
      <c r="S687" s="1">
        <v>9922943730</v>
      </c>
      <c r="T687" s="1" t="s">
        <v>763</v>
      </c>
      <c r="U687" s="1" t="s">
        <v>12751</v>
      </c>
      <c r="V687" s="1">
        <v>9960345951</v>
      </c>
      <c r="W687" s="1" t="s">
        <v>156</v>
      </c>
      <c r="X687" s="1" t="s">
        <v>12752</v>
      </c>
      <c r="Y687" s="1" t="s">
        <v>191</v>
      </c>
      <c r="Z687" s="1" t="s">
        <v>92</v>
      </c>
      <c r="AA687" s="1" t="s">
        <v>12752</v>
      </c>
      <c r="AB687" s="1" t="s">
        <v>191</v>
      </c>
      <c r="AC687" s="1" t="s">
        <v>92</v>
      </c>
      <c r="AD687" s="1">
        <v>7.56</v>
      </c>
      <c r="AE687" s="1" t="s">
        <v>93</v>
      </c>
      <c r="AF687" s="1" t="s">
        <v>12753</v>
      </c>
      <c r="AG687" s="1" t="s">
        <v>12754</v>
      </c>
      <c r="AH687" s="1" t="s">
        <v>162</v>
      </c>
      <c r="AI687" s="1" t="s">
        <v>195</v>
      </c>
      <c r="AJ687" s="1">
        <v>69.8</v>
      </c>
      <c r="AK687" s="1">
        <v>0</v>
      </c>
      <c r="AL687" s="1" t="s">
        <v>12755</v>
      </c>
      <c r="AM687" s="1" t="s">
        <v>12754</v>
      </c>
      <c r="AN687" s="1" t="s">
        <v>101</v>
      </c>
      <c r="AO687" s="1" t="s">
        <v>941</v>
      </c>
      <c r="AP687" s="1">
        <v>62.31</v>
      </c>
      <c r="AQ687" s="1">
        <v>0</v>
      </c>
      <c r="AR687" s="1"/>
      <c r="AS687" s="1"/>
      <c r="AT687" s="1"/>
      <c r="AU687" s="1"/>
      <c r="AV687" s="1"/>
      <c r="AW687" s="1"/>
      <c r="AX687" s="1" t="s">
        <v>361</v>
      </c>
      <c r="AY687" s="1" t="s">
        <v>12756</v>
      </c>
      <c r="AZ687" s="1" t="s">
        <v>681</v>
      </c>
      <c r="BA687" s="1" t="s">
        <v>1714</v>
      </c>
      <c r="BB687" s="1">
        <v>70.6</v>
      </c>
      <c r="BC687" s="1">
        <v>7.81</v>
      </c>
      <c r="BD687" s="1"/>
      <c r="BE687" s="1"/>
      <c r="BF687" s="1"/>
      <c r="BG687" s="1"/>
      <c r="BH687" s="1"/>
      <c r="BI687" s="1"/>
      <c r="BJ687" s="1" t="s">
        <v>12757</v>
      </c>
      <c r="BK687" s="1"/>
      <c r="BL687" s="1"/>
      <c r="BM687" s="1" t="s">
        <v>12758</v>
      </c>
      <c r="BN687" s="1">
        <v>27</v>
      </c>
      <c r="BO687" s="1"/>
      <c r="BP687" s="1" t="str">
        <f>HYPERLINK("https://nconnect.nicmar.ac.in/storage/profile/ProfilePhoto_P25700651_715392.jpg","Download")</f>
        <v>0</v>
      </c>
      <c r="BQ687" s="3"/>
      <c r="BR687" s="3"/>
    </row>
    <row r="688" spans="1:70">
      <c r="A688" s="1" t="s">
        <v>70</v>
      </c>
      <c r="B688" s="1" t="s">
        <v>1269</v>
      </c>
      <c r="C688" s="1" t="s">
        <v>12759</v>
      </c>
      <c r="D688" s="1" t="s">
        <v>12760</v>
      </c>
      <c r="E688" s="1" t="s">
        <v>12761</v>
      </c>
      <c r="F688" s="1" t="s">
        <v>12762</v>
      </c>
      <c r="G688" s="1" t="s">
        <v>12763</v>
      </c>
      <c r="H688" s="1" t="s">
        <v>12764</v>
      </c>
      <c r="I688" s="1" t="s">
        <v>12765</v>
      </c>
      <c r="J688" s="1">
        <v>9172147932</v>
      </c>
      <c r="K688" s="1" t="s">
        <v>148</v>
      </c>
      <c r="L688" s="1" t="s">
        <v>12766</v>
      </c>
      <c r="M688" s="1" t="s">
        <v>81</v>
      </c>
      <c r="N688" s="1" t="s">
        <v>12767</v>
      </c>
      <c r="O688" s="1"/>
      <c r="P688" s="1" t="s">
        <v>1298</v>
      </c>
      <c r="Q688" s="1" t="s">
        <v>12768</v>
      </c>
      <c r="R688" s="1" t="s">
        <v>12762</v>
      </c>
      <c r="S688" s="1">
        <v>7798771199</v>
      </c>
      <c r="T688" s="1" t="s">
        <v>5260</v>
      </c>
      <c r="U688" s="1" t="s">
        <v>12769</v>
      </c>
      <c r="V688" s="1">
        <v>9156540247</v>
      </c>
      <c r="W688" s="1" t="s">
        <v>273</v>
      </c>
      <c r="X688" s="1" t="s">
        <v>12770</v>
      </c>
      <c r="Y688" s="1" t="s">
        <v>191</v>
      </c>
      <c r="Z688" s="1" t="s">
        <v>92</v>
      </c>
      <c r="AA688" s="1" t="s">
        <v>12770</v>
      </c>
      <c r="AB688" s="1" t="s">
        <v>191</v>
      </c>
      <c r="AC688" s="1" t="s">
        <v>92</v>
      </c>
      <c r="AD688" s="1">
        <v>7.79</v>
      </c>
      <c r="AE688" s="1" t="s">
        <v>93</v>
      </c>
      <c r="AF688" s="1" t="s">
        <v>12771</v>
      </c>
      <c r="AG688" s="1" t="s">
        <v>2497</v>
      </c>
      <c r="AH688" s="1" t="s">
        <v>165</v>
      </c>
      <c r="AI688" s="1" t="s">
        <v>281</v>
      </c>
      <c r="AJ688" s="1">
        <v>86.4</v>
      </c>
      <c r="AK688" s="1">
        <v>0</v>
      </c>
      <c r="AL688" s="1" t="s">
        <v>12772</v>
      </c>
      <c r="AM688" s="1" t="s">
        <v>6978</v>
      </c>
      <c r="AN688" s="1" t="s">
        <v>433</v>
      </c>
      <c r="AO688" s="1" t="s">
        <v>360</v>
      </c>
      <c r="AP688" s="1">
        <v>83.85</v>
      </c>
      <c r="AQ688" s="1">
        <v>0</v>
      </c>
      <c r="AR688" s="1"/>
      <c r="AS688" s="1"/>
      <c r="AT688" s="1"/>
      <c r="AU688" s="1"/>
      <c r="AV688" s="1"/>
      <c r="AW688" s="1"/>
      <c r="AX688" s="1" t="s">
        <v>361</v>
      </c>
      <c r="AY688" s="1" t="s">
        <v>12773</v>
      </c>
      <c r="AZ688" s="1" t="s">
        <v>360</v>
      </c>
      <c r="BA688" s="1" t="s">
        <v>1408</v>
      </c>
      <c r="BB688" s="1">
        <v>82.76</v>
      </c>
      <c r="BC688" s="1">
        <v>8.98</v>
      </c>
      <c r="BD688" s="1"/>
      <c r="BE688" s="1"/>
      <c r="BF688" s="1"/>
      <c r="BG688" s="1"/>
      <c r="BH688" s="1"/>
      <c r="BI688" s="1"/>
      <c r="BJ688" s="1" t="s">
        <v>2146</v>
      </c>
      <c r="BK688" s="1"/>
      <c r="BL688" s="1"/>
      <c r="BM688" s="1" t="s">
        <v>12774</v>
      </c>
      <c r="BN688" s="1">
        <v>30</v>
      </c>
      <c r="BO688" s="1"/>
      <c r="BP688" s="1" t="str">
        <f>HYPERLINK("https://nconnect.nicmar.ac.in/storage/profile/ProfilePhoto_P25700652_942673.jpg","Download")</f>
        <v>0</v>
      </c>
      <c r="BQ688" s="3"/>
      <c r="BR688" s="3"/>
    </row>
    <row r="689" spans="1:70">
      <c r="A689" s="1" t="s">
        <v>70</v>
      </c>
      <c r="B689" s="1" t="s">
        <v>1269</v>
      </c>
      <c r="C689" s="1" t="s">
        <v>12775</v>
      </c>
      <c r="D689" s="1" t="s">
        <v>12776</v>
      </c>
      <c r="E689" s="1" t="s">
        <v>1546</v>
      </c>
      <c r="F689" s="1" t="s">
        <v>12777</v>
      </c>
      <c r="G689" s="1" t="s">
        <v>12778</v>
      </c>
      <c r="H689" s="1" t="s">
        <v>12779</v>
      </c>
      <c r="I689" s="1" t="s">
        <v>12780</v>
      </c>
      <c r="J689" s="1">
        <v>8888761152</v>
      </c>
      <c r="K689" s="1" t="s">
        <v>148</v>
      </c>
      <c r="L689" s="1" t="s">
        <v>672</v>
      </c>
      <c r="M689" s="1" t="s">
        <v>81</v>
      </c>
      <c r="N689" s="1" t="s">
        <v>1765</v>
      </c>
      <c r="O689" s="1"/>
      <c r="P689" s="1" t="s">
        <v>1298</v>
      </c>
      <c r="Q689" s="1" t="s">
        <v>12781</v>
      </c>
      <c r="R689" s="1" t="s">
        <v>1546</v>
      </c>
      <c r="S689" s="1">
        <v>8847701152</v>
      </c>
      <c r="T689" s="1" t="s">
        <v>12782</v>
      </c>
      <c r="U689" s="1" t="s">
        <v>6026</v>
      </c>
      <c r="V689" s="1">
        <v>8847701152</v>
      </c>
      <c r="W689" s="1" t="s">
        <v>12783</v>
      </c>
      <c r="X689" s="1" t="s">
        <v>12784</v>
      </c>
      <c r="Y689" s="1" t="s">
        <v>2790</v>
      </c>
      <c r="Z689" s="1" t="s">
        <v>92</v>
      </c>
      <c r="AA689" s="1" t="s">
        <v>12784</v>
      </c>
      <c r="AB689" s="1" t="s">
        <v>2790</v>
      </c>
      <c r="AC689" s="1" t="s">
        <v>92</v>
      </c>
      <c r="AD689" s="1">
        <v>7.66</v>
      </c>
      <c r="AE689" s="1" t="s">
        <v>93</v>
      </c>
      <c r="AF689" s="1" t="s">
        <v>12785</v>
      </c>
      <c r="AG689" s="1" t="s">
        <v>160</v>
      </c>
      <c r="AH689" s="1" t="s">
        <v>195</v>
      </c>
      <c r="AI689" s="1" t="s">
        <v>281</v>
      </c>
      <c r="AJ689" s="1">
        <v>84.2</v>
      </c>
      <c r="AK689" s="1"/>
      <c r="AL689" s="1"/>
      <c r="AM689" s="1"/>
      <c r="AN689" s="1"/>
      <c r="AO689" s="1"/>
      <c r="AP689" s="1"/>
      <c r="AQ689" s="1"/>
      <c r="AR689" s="1" t="s">
        <v>434</v>
      </c>
      <c r="AS689" s="1" t="s">
        <v>12786</v>
      </c>
      <c r="AT689" s="1" t="s">
        <v>1307</v>
      </c>
      <c r="AU689" s="1" t="s">
        <v>436</v>
      </c>
      <c r="AV689" s="1">
        <v>84.16</v>
      </c>
      <c r="AW689" s="1"/>
      <c r="AX689" s="1" t="s">
        <v>9001</v>
      </c>
      <c r="AY689" s="1" t="s">
        <v>12787</v>
      </c>
      <c r="AZ689" s="1" t="s">
        <v>135</v>
      </c>
      <c r="BA689" s="1" t="s">
        <v>702</v>
      </c>
      <c r="BB689" s="1">
        <v>74</v>
      </c>
      <c r="BC689" s="1">
        <v>7.4</v>
      </c>
      <c r="BD689" s="1"/>
      <c r="BE689" s="1"/>
      <c r="BF689" s="1"/>
      <c r="BG689" s="1"/>
      <c r="BH689" s="1"/>
      <c r="BI689" s="1"/>
      <c r="BJ689" s="1" t="s">
        <v>4188</v>
      </c>
      <c r="BK689" s="1" t="s">
        <v>12788</v>
      </c>
      <c r="BL689" s="1" t="s">
        <v>2914</v>
      </c>
      <c r="BM689" s="1" t="s">
        <v>12789</v>
      </c>
      <c r="BN689" s="1">
        <v>17</v>
      </c>
      <c r="BO689" s="1" t="s">
        <v>12790</v>
      </c>
      <c r="BP689" s="1" t="str">
        <f>HYPERLINK("https://nconnect.nicmar.ac.in/storage/profile/ProfilePhoto_P25700653_961745.jpg","Download")</f>
        <v>0</v>
      </c>
      <c r="BQ689" s="3"/>
      <c r="BR689" s="3"/>
    </row>
    <row r="690" spans="1:70">
      <c r="A690" s="1" t="s">
        <v>70</v>
      </c>
      <c r="B690" s="1" t="s">
        <v>1269</v>
      </c>
      <c r="C690" s="1" t="s">
        <v>12791</v>
      </c>
      <c r="D690" s="1" t="s">
        <v>12792</v>
      </c>
      <c r="E690" s="1"/>
      <c r="F690" s="1" t="s">
        <v>4699</v>
      </c>
      <c r="G690" s="1" t="s">
        <v>12793</v>
      </c>
      <c r="H690" s="1" t="s">
        <v>12794</v>
      </c>
      <c r="I690" s="1" t="s">
        <v>12795</v>
      </c>
      <c r="J690" s="1">
        <v>7059436514</v>
      </c>
      <c r="K690" s="1" t="s">
        <v>79</v>
      </c>
      <c r="L690" s="1" t="s">
        <v>12796</v>
      </c>
      <c r="M690" s="1" t="s">
        <v>81</v>
      </c>
      <c r="N690" s="1" t="s">
        <v>12797</v>
      </c>
      <c r="O690" s="1"/>
      <c r="P690" s="1" t="s">
        <v>3498</v>
      </c>
      <c r="Q690" s="1" t="s">
        <v>12798</v>
      </c>
      <c r="R690" s="1" t="s">
        <v>12799</v>
      </c>
      <c r="S690" s="1">
        <v>8272909776</v>
      </c>
      <c r="T690" s="1" t="s">
        <v>120</v>
      </c>
      <c r="U690" s="1" t="s">
        <v>12800</v>
      </c>
      <c r="V690" s="1">
        <v>8981786833</v>
      </c>
      <c r="W690" s="1" t="s">
        <v>89</v>
      </c>
      <c r="X690" s="1" t="s">
        <v>12801</v>
      </c>
      <c r="Y690" s="1" t="s">
        <v>782</v>
      </c>
      <c r="Z690" s="1" t="s">
        <v>783</v>
      </c>
      <c r="AA690" s="1" t="s">
        <v>12801</v>
      </c>
      <c r="AB690" s="1" t="s">
        <v>782</v>
      </c>
      <c r="AC690" s="1" t="s">
        <v>783</v>
      </c>
      <c r="AD690" s="1">
        <v>8.69</v>
      </c>
      <c r="AE690" s="1" t="s">
        <v>93</v>
      </c>
      <c r="AF690" s="1" t="s">
        <v>12802</v>
      </c>
      <c r="AG690" s="1" t="s">
        <v>1152</v>
      </c>
      <c r="AH690" s="1" t="s">
        <v>12803</v>
      </c>
      <c r="AI690" s="1" t="s">
        <v>999</v>
      </c>
      <c r="AJ690" s="1">
        <v>65.16</v>
      </c>
      <c r="AK690" s="1"/>
      <c r="AL690" s="1"/>
      <c r="AM690" s="1"/>
      <c r="AN690" s="1"/>
      <c r="AO690" s="1"/>
      <c r="AP690" s="1"/>
      <c r="AQ690" s="1"/>
      <c r="AR690" s="1" t="s">
        <v>434</v>
      </c>
      <c r="AS690" s="1" t="s">
        <v>12804</v>
      </c>
      <c r="AT690" s="1" t="s">
        <v>96</v>
      </c>
      <c r="AU690" s="1" t="s">
        <v>479</v>
      </c>
      <c r="AV690" s="1">
        <v>75.4</v>
      </c>
      <c r="AW690" s="1"/>
      <c r="AX690" s="1" t="s">
        <v>12805</v>
      </c>
      <c r="AY690" s="1" t="s">
        <v>12806</v>
      </c>
      <c r="AZ690" s="1" t="s">
        <v>383</v>
      </c>
      <c r="BA690" s="1" t="s">
        <v>173</v>
      </c>
      <c r="BB690" s="1">
        <v>70.19</v>
      </c>
      <c r="BC690" s="1">
        <v>7.77</v>
      </c>
      <c r="BD690" s="1"/>
      <c r="BE690" s="1"/>
      <c r="BF690" s="1"/>
      <c r="BG690" s="1"/>
      <c r="BH690" s="1"/>
      <c r="BI690" s="1"/>
      <c r="BJ690" s="1" t="s">
        <v>4112</v>
      </c>
      <c r="BK690" s="1" t="s">
        <v>12807</v>
      </c>
      <c r="BL690" s="1" t="s">
        <v>340</v>
      </c>
      <c r="BM690" s="1" t="s">
        <v>12808</v>
      </c>
      <c r="BN690" s="1">
        <v>10</v>
      </c>
      <c r="BO690" s="1"/>
      <c r="BP690" s="1" t="str">
        <f>HYPERLINK("https://nconnect.nicmar.ac.in/storage/profile/ProfilePhoto_P25700654_483671.jpg","Download")</f>
        <v>0</v>
      </c>
      <c r="BQ690" s="3"/>
      <c r="BR690" s="3"/>
    </row>
    <row r="691" spans="1:70">
      <c r="A691" s="1" t="s">
        <v>70</v>
      </c>
      <c r="B691" s="1" t="s">
        <v>1269</v>
      </c>
      <c r="C691" s="1" t="s">
        <v>12809</v>
      </c>
      <c r="D691" s="1" t="s">
        <v>12810</v>
      </c>
      <c r="E691" s="1" t="s">
        <v>3399</v>
      </c>
      <c r="F691" s="1" t="s">
        <v>5472</v>
      </c>
      <c r="G691" s="1" t="s">
        <v>12811</v>
      </c>
      <c r="H691" s="1" t="s">
        <v>12812</v>
      </c>
      <c r="I691" s="1" t="s">
        <v>12813</v>
      </c>
      <c r="J691" s="1">
        <v>8329893898</v>
      </c>
      <c r="K691" s="1" t="s">
        <v>79</v>
      </c>
      <c r="L691" s="1" t="s">
        <v>12814</v>
      </c>
      <c r="M691" s="1" t="s">
        <v>81</v>
      </c>
      <c r="N691" s="1" t="s">
        <v>1765</v>
      </c>
      <c r="O691" s="1"/>
      <c r="P691" s="1" t="s">
        <v>1278</v>
      </c>
      <c r="Q691" s="1" t="s">
        <v>12815</v>
      </c>
      <c r="R691" s="1" t="s">
        <v>5472</v>
      </c>
      <c r="S691" s="1">
        <v>9765429254</v>
      </c>
      <c r="T691" s="1" t="s">
        <v>12816</v>
      </c>
      <c r="U691" s="1" t="s">
        <v>12817</v>
      </c>
      <c r="V691" s="1">
        <v>9765429255</v>
      </c>
      <c r="W691" s="1" t="s">
        <v>12816</v>
      </c>
      <c r="X691" s="1" t="s">
        <v>12818</v>
      </c>
      <c r="Y691" s="1" t="s">
        <v>5840</v>
      </c>
      <c r="Z691" s="1" t="s">
        <v>92</v>
      </c>
      <c r="AA691" s="1" t="s">
        <v>12818</v>
      </c>
      <c r="AB691" s="1" t="s">
        <v>5840</v>
      </c>
      <c r="AC691" s="1" t="s">
        <v>92</v>
      </c>
      <c r="AD691" s="1" t="s">
        <v>93</v>
      </c>
      <c r="AE691" s="1" t="s">
        <v>93</v>
      </c>
      <c r="AF691" s="1" t="s">
        <v>12819</v>
      </c>
      <c r="AG691" s="1" t="s">
        <v>12820</v>
      </c>
      <c r="AH691" s="1" t="s">
        <v>165</v>
      </c>
      <c r="AI691" s="1" t="s">
        <v>101</v>
      </c>
      <c r="AJ691" s="1">
        <v>78.2</v>
      </c>
      <c r="AK691" s="1"/>
      <c r="AL691" s="1" t="s">
        <v>12821</v>
      </c>
      <c r="AM691" s="1" t="s">
        <v>12820</v>
      </c>
      <c r="AN691" s="1" t="s">
        <v>433</v>
      </c>
      <c r="AO691" s="1" t="s">
        <v>173</v>
      </c>
      <c r="AP691" s="1">
        <v>66.62</v>
      </c>
      <c r="AQ691" s="1"/>
      <c r="AR691" s="1"/>
      <c r="AS691" s="1"/>
      <c r="AT691" s="1"/>
      <c r="AU691" s="1"/>
      <c r="AV691" s="1"/>
      <c r="AW691" s="1"/>
      <c r="AX691" s="1" t="s">
        <v>12822</v>
      </c>
      <c r="AY691" s="1" t="s">
        <v>12823</v>
      </c>
      <c r="AZ691" s="1" t="s">
        <v>2463</v>
      </c>
      <c r="BA691" s="1" t="s">
        <v>1978</v>
      </c>
      <c r="BB691" s="1">
        <v>65.9</v>
      </c>
      <c r="BC691" s="1">
        <v>7.34</v>
      </c>
      <c r="BD691" s="1"/>
      <c r="BE691" s="1"/>
      <c r="BF691" s="1"/>
      <c r="BG691" s="1"/>
      <c r="BH691" s="1"/>
      <c r="BI691" s="1"/>
      <c r="BJ691" s="1" t="s">
        <v>1715</v>
      </c>
      <c r="BK691" s="1"/>
      <c r="BL691" s="1"/>
      <c r="BM691" s="1" t="s">
        <v>12824</v>
      </c>
      <c r="BN691" s="1">
        <v>4</v>
      </c>
      <c r="BO691" s="1"/>
      <c r="BP691" s="1" t="str">
        <f>HYPERLINK("https://nconnect.nicmar.ac.in/storage/profile/ProfilePhoto_P25700655_148397.jpg","Download")</f>
        <v>0</v>
      </c>
      <c r="BQ691" s="3"/>
      <c r="BR691" s="3"/>
    </row>
    <row r="692" spans="1:70">
      <c r="A692" s="1" t="s">
        <v>70</v>
      </c>
      <c r="B692" s="1" t="s">
        <v>1269</v>
      </c>
      <c r="C692" s="1" t="s">
        <v>12825</v>
      </c>
      <c r="D692" s="1" t="s">
        <v>12826</v>
      </c>
      <c r="E692" s="1" t="s">
        <v>12827</v>
      </c>
      <c r="F692" s="1" t="s">
        <v>7882</v>
      </c>
      <c r="G692" s="1" t="s">
        <v>12828</v>
      </c>
      <c r="H692" s="1" t="s">
        <v>12829</v>
      </c>
      <c r="I692" s="1" t="s">
        <v>12830</v>
      </c>
      <c r="J692" s="1">
        <v>9325519501</v>
      </c>
      <c r="K692" s="1" t="s">
        <v>79</v>
      </c>
      <c r="L692" s="1" t="s">
        <v>12831</v>
      </c>
      <c r="M692" s="1" t="s">
        <v>81</v>
      </c>
      <c r="N692" s="1" t="s">
        <v>3874</v>
      </c>
      <c r="O692" s="1"/>
      <c r="P692" s="1" t="s">
        <v>1323</v>
      </c>
      <c r="Q692" s="1" t="s">
        <v>12832</v>
      </c>
      <c r="R692" s="1" t="s">
        <v>12827</v>
      </c>
      <c r="S692" s="1">
        <v>9325524372</v>
      </c>
      <c r="T692" s="1" t="s">
        <v>12833</v>
      </c>
      <c r="U692" s="1" t="s">
        <v>12834</v>
      </c>
      <c r="V692" s="1">
        <v>7620414645</v>
      </c>
      <c r="W692" s="1" t="s">
        <v>273</v>
      </c>
      <c r="X692" s="1" t="s">
        <v>12835</v>
      </c>
      <c r="Y692" s="1" t="s">
        <v>2790</v>
      </c>
      <c r="Z692" s="1" t="s">
        <v>92</v>
      </c>
      <c r="AA692" s="1" t="s">
        <v>12835</v>
      </c>
      <c r="AB692" s="1" t="s">
        <v>2790</v>
      </c>
      <c r="AC692" s="1" t="s">
        <v>92</v>
      </c>
      <c r="AD692" s="1">
        <v>8.33</v>
      </c>
      <c r="AE692" s="1" t="s">
        <v>93</v>
      </c>
      <c r="AF692" s="1" t="s">
        <v>12836</v>
      </c>
      <c r="AG692" s="1" t="s">
        <v>160</v>
      </c>
      <c r="AH692" s="1" t="s">
        <v>165</v>
      </c>
      <c r="AI692" s="1" t="s">
        <v>166</v>
      </c>
      <c r="AJ692" s="1">
        <v>89</v>
      </c>
      <c r="AK692" s="1"/>
      <c r="AL692" s="1"/>
      <c r="AM692" s="1"/>
      <c r="AN692" s="1"/>
      <c r="AO692" s="1"/>
      <c r="AP692" s="1"/>
      <c r="AQ692" s="1"/>
      <c r="AR692" s="1" t="s">
        <v>98</v>
      </c>
      <c r="AS692" s="1" t="s">
        <v>2792</v>
      </c>
      <c r="AT692" s="1" t="s">
        <v>636</v>
      </c>
      <c r="AU692" s="1" t="s">
        <v>1051</v>
      </c>
      <c r="AV692" s="1">
        <v>87.81</v>
      </c>
      <c r="AW692" s="1"/>
      <c r="AX692" s="1" t="s">
        <v>361</v>
      </c>
      <c r="AY692" s="1" t="s">
        <v>9827</v>
      </c>
      <c r="AZ692" s="1" t="s">
        <v>897</v>
      </c>
      <c r="BA692" s="1" t="s">
        <v>202</v>
      </c>
      <c r="BB692" s="1">
        <v>73.3</v>
      </c>
      <c r="BC692" s="1">
        <v>8.08</v>
      </c>
      <c r="BD692" s="1"/>
      <c r="BE692" s="1"/>
      <c r="BF692" s="1"/>
      <c r="BG692" s="1"/>
      <c r="BH692" s="1"/>
      <c r="BI692" s="1"/>
      <c r="BJ692" s="1" t="s">
        <v>1383</v>
      </c>
      <c r="BK692" s="1" t="s">
        <v>12837</v>
      </c>
      <c r="BL692" s="1" t="s">
        <v>1475</v>
      </c>
      <c r="BM692" s="1" t="s">
        <v>12838</v>
      </c>
      <c r="BN692" s="1">
        <v>8</v>
      </c>
      <c r="BO692" s="1"/>
      <c r="BP692" s="1" t="str">
        <f>HYPERLINK("https://nconnect.nicmar.ac.in/storage/profile/ProfilePhoto_P25700656_593681.jpg","Download")</f>
        <v>0</v>
      </c>
      <c r="BQ692" s="3"/>
      <c r="BR692" s="3"/>
    </row>
    <row r="693" spans="1:70">
      <c r="A693" s="1" t="s">
        <v>70</v>
      </c>
      <c r="B693" s="1" t="s">
        <v>1269</v>
      </c>
      <c r="C693" s="1" t="s">
        <v>12839</v>
      </c>
      <c r="D693" s="1" t="s">
        <v>12840</v>
      </c>
      <c r="E693" s="1" t="s">
        <v>12841</v>
      </c>
      <c r="F693" s="1" t="s">
        <v>3547</v>
      </c>
      <c r="G693" s="1" t="s">
        <v>12842</v>
      </c>
      <c r="H693" s="1" t="s">
        <v>12843</v>
      </c>
      <c r="I693" s="1" t="s">
        <v>12844</v>
      </c>
      <c r="J693" s="1">
        <v>8149988053</v>
      </c>
      <c r="K693" s="1" t="s">
        <v>79</v>
      </c>
      <c r="L693" s="1" t="s">
        <v>12845</v>
      </c>
      <c r="M693" s="1" t="s">
        <v>81</v>
      </c>
      <c r="N693" s="1" t="s">
        <v>6219</v>
      </c>
      <c r="O693" s="1"/>
      <c r="P693" s="1" t="s">
        <v>1323</v>
      </c>
      <c r="Q693" s="1" t="s">
        <v>12846</v>
      </c>
      <c r="R693" s="1" t="s">
        <v>12847</v>
      </c>
      <c r="S693" s="1">
        <v>9850340320</v>
      </c>
      <c r="T693" s="1" t="s">
        <v>763</v>
      </c>
      <c r="U693" s="1" t="s">
        <v>12848</v>
      </c>
      <c r="V693" s="1">
        <v>9028973313</v>
      </c>
      <c r="W693" s="1" t="s">
        <v>156</v>
      </c>
      <c r="X693" s="1" t="s">
        <v>12849</v>
      </c>
      <c r="Y693" s="1" t="s">
        <v>405</v>
      </c>
      <c r="Z693" s="1" t="s">
        <v>92</v>
      </c>
      <c r="AA693" s="1" t="s">
        <v>12849</v>
      </c>
      <c r="AB693" s="1" t="s">
        <v>405</v>
      </c>
      <c r="AC693" s="1" t="s">
        <v>92</v>
      </c>
      <c r="AD693" s="1">
        <v>8.41</v>
      </c>
      <c r="AE693" s="1" t="s">
        <v>93</v>
      </c>
      <c r="AF693" s="1" t="s">
        <v>3669</v>
      </c>
      <c r="AG693" s="1" t="s">
        <v>12850</v>
      </c>
      <c r="AH693" s="1" t="s">
        <v>2223</v>
      </c>
      <c r="AI693" s="1" t="s">
        <v>1668</v>
      </c>
      <c r="AJ693" s="1">
        <v>86.18</v>
      </c>
      <c r="AK693" s="1">
        <v>0</v>
      </c>
      <c r="AL693" s="1" t="s">
        <v>12851</v>
      </c>
      <c r="AM693" s="1" t="s">
        <v>12850</v>
      </c>
      <c r="AN693" s="1" t="s">
        <v>1240</v>
      </c>
      <c r="AO693" s="1" t="s">
        <v>12852</v>
      </c>
      <c r="AP693" s="1">
        <v>61.67</v>
      </c>
      <c r="AQ693" s="1">
        <v>0</v>
      </c>
      <c r="AR693" s="1"/>
      <c r="AS693" s="1"/>
      <c r="AT693" s="1"/>
      <c r="AU693" s="1"/>
      <c r="AV693" s="1"/>
      <c r="AW693" s="1"/>
      <c r="AX693" s="1" t="s">
        <v>410</v>
      </c>
      <c r="AY693" s="1" t="s">
        <v>12853</v>
      </c>
      <c r="AZ693" s="1" t="s">
        <v>4564</v>
      </c>
      <c r="BA693" s="1" t="s">
        <v>383</v>
      </c>
      <c r="BB693" s="1">
        <v>63.7</v>
      </c>
      <c r="BC693" s="1">
        <v>7.12</v>
      </c>
      <c r="BD693" s="1"/>
      <c r="BE693" s="1"/>
      <c r="BF693" s="1"/>
      <c r="BG693" s="1"/>
      <c r="BH693" s="1"/>
      <c r="BI693" s="1"/>
      <c r="BJ693" s="1" t="s">
        <v>2080</v>
      </c>
      <c r="BK693" s="1" t="s">
        <v>12854</v>
      </c>
      <c r="BL693" s="1" t="s">
        <v>12855</v>
      </c>
      <c r="BM693" s="1" t="s">
        <v>12856</v>
      </c>
      <c r="BN693" s="1">
        <v>8</v>
      </c>
      <c r="BO693" s="1" t="s">
        <v>12857</v>
      </c>
      <c r="BP693" s="1" t="str">
        <f>HYPERLINK("https://nconnect.nicmar.ac.in/storage/profile/ProfilePhoto_P25700657_983527.jpg","Download")</f>
        <v>0</v>
      </c>
      <c r="BQ693" s="3"/>
      <c r="BR693" s="3"/>
    </row>
    <row r="694" spans="1:70">
      <c r="A694" s="1" t="s">
        <v>70</v>
      </c>
      <c r="B694" s="1" t="s">
        <v>1269</v>
      </c>
      <c r="C694" s="1" t="s">
        <v>12858</v>
      </c>
      <c r="D694" s="1" t="s">
        <v>12859</v>
      </c>
      <c r="E694" s="1" t="s">
        <v>12860</v>
      </c>
      <c r="F694" s="1" t="s">
        <v>12861</v>
      </c>
      <c r="G694" s="1" t="s">
        <v>12862</v>
      </c>
      <c r="H694" s="1" t="s">
        <v>12863</v>
      </c>
      <c r="I694" s="1" t="s">
        <v>12864</v>
      </c>
      <c r="J694" s="1">
        <v>8390157668</v>
      </c>
      <c r="K694" s="1" t="s">
        <v>79</v>
      </c>
      <c r="L694" s="1" t="s">
        <v>12865</v>
      </c>
      <c r="M694" s="1" t="s">
        <v>81</v>
      </c>
      <c r="N694" s="1" t="s">
        <v>3856</v>
      </c>
      <c r="O694" s="1"/>
      <c r="P694" s="1" t="s">
        <v>1278</v>
      </c>
      <c r="Q694" s="1" t="s">
        <v>12866</v>
      </c>
      <c r="R694" s="1" t="s">
        <v>12861</v>
      </c>
      <c r="S694" s="1">
        <v>9423413654</v>
      </c>
      <c r="T694" s="1" t="s">
        <v>122</v>
      </c>
      <c r="U694" s="1" t="s">
        <v>301</v>
      </c>
      <c r="V694" s="1">
        <v>7385536131</v>
      </c>
      <c r="W694" s="1" t="s">
        <v>89</v>
      </c>
      <c r="X694" s="1" t="s">
        <v>12867</v>
      </c>
      <c r="Y694" s="1" t="s">
        <v>567</v>
      </c>
      <c r="Z694" s="1" t="s">
        <v>92</v>
      </c>
      <c r="AA694" s="1" t="s">
        <v>12867</v>
      </c>
      <c r="AB694" s="1" t="s">
        <v>567</v>
      </c>
      <c r="AC694" s="1" t="s">
        <v>92</v>
      </c>
      <c r="AD694" s="1">
        <v>8.9</v>
      </c>
      <c r="AE694" s="1" t="s">
        <v>93</v>
      </c>
      <c r="AF694" s="1" t="s">
        <v>12868</v>
      </c>
      <c r="AG694" s="1" t="s">
        <v>12869</v>
      </c>
      <c r="AH694" s="1" t="s">
        <v>383</v>
      </c>
      <c r="AI694" s="1" t="s">
        <v>281</v>
      </c>
      <c r="AJ694" s="1">
        <v>90.4</v>
      </c>
      <c r="AK694" s="1"/>
      <c r="AL694" s="1"/>
      <c r="AM694" s="1"/>
      <c r="AN694" s="1"/>
      <c r="AO694" s="1"/>
      <c r="AP694" s="1"/>
      <c r="AQ694" s="1"/>
      <c r="AR694" s="1" t="s">
        <v>98</v>
      </c>
      <c r="AS694" s="1" t="s">
        <v>12870</v>
      </c>
      <c r="AT694" s="1" t="s">
        <v>169</v>
      </c>
      <c r="AU694" s="1" t="s">
        <v>1712</v>
      </c>
      <c r="AV694" s="1">
        <v>89.2</v>
      </c>
      <c r="AW694" s="1"/>
      <c r="AX694" s="1" t="s">
        <v>12871</v>
      </c>
      <c r="AY694" s="1" t="s">
        <v>12872</v>
      </c>
      <c r="AZ694" s="1" t="s">
        <v>105</v>
      </c>
      <c r="BA694" s="1" t="s">
        <v>1714</v>
      </c>
      <c r="BB694" s="1">
        <v>87.6</v>
      </c>
      <c r="BC694" s="1">
        <v>9.51</v>
      </c>
      <c r="BD694" s="1"/>
      <c r="BE694" s="1"/>
      <c r="BF694" s="1"/>
      <c r="BG694" s="1"/>
      <c r="BH694" s="1"/>
      <c r="BI694" s="1"/>
      <c r="BJ694" s="1" t="s">
        <v>12873</v>
      </c>
      <c r="BK694" s="1"/>
      <c r="BL694" s="1"/>
      <c r="BM694" s="1" t="s">
        <v>12874</v>
      </c>
      <c r="BN694" s="1">
        <v>30</v>
      </c>
      <c r="BO694" s="1" t="s">
        <v>12875</v>
      </c>
      <c r="BP694" s="1" t="str">
        <f>HYPERLINK("https://nconnect.nicmar.ac.in/storage/profile/ProfilePhoto_P25700658_675928.jpg","Download")</f>
        <v>0</v>
      </c>
      <c r="BQ694" s="3"/>
      <c r="BR694" s="3"/>
    </row>
    <row r="695" spans="1:70">
      <c r="A695" s="1" t="s">
        <v>70</v>
      </c>
      <c r="B695" s="1" t="s">
        <v>1269</v>
      </c>
      <c r="C695" s="1" t="s">
        <v>12876</v>
      </c>
      <c r="D695" s="1" t="s">
        <v>12877</v>
      </c>
      <c r="E695" s="1"/>
      <c r="F695" s="1" t="s">
        <v>12878</v>
      </c>
      <c r="G695" s="1" t="s">
        <v>12879</v>
      </c>
      <c r="H695" s="1" t="s">
        <v>12880</v>
      </c>
      <c r="I695" s="1" t="s">
        <v>12881</v>
      </c>
      <c r="J695" s="1">
        <v>9652296802</v>
      </c>
      <c r="K695" s="1" t="s">
        <v>79</v>
      </c>
      <c r="L695" s="1" t="s">
        <v>8512</v>
      </c>
      <c r="M695" s="1" t="s">
        <v>81</v>
      </c>
      <c r="N695" s="1" t="s">
        <v>3893</v>
      </c>
      <c r="O695" s="1"/>
      <c r="P695" s="1" t="s">
        <v>1278</v>
      </c>
      <c r="Q695" s="1" t="s">
        <v>12882</v>
      </c>
      <c r="R695" s="1" t="s">
        <v>12883</v>
      </c>
      <c r="S695" s="1">
        <v>9490268835</v>
      </c>
      <c r="T695" s="1" t="s">
        <v>154</v>
      </c>
      <c r="U695" s="1" t="s">
        <v>12884</v>
      </c>
      <c r="V695" s="1">
        <v>7093407357</v>
      </c>
      <c r="W695" s="1" t="s">
        <v>273</v>
      </c>
      <c r="X695" s="1" t="s">
        <v>12885</v>
      </c>
      <c r="Y695" s="1" t="s">
        <v>12719</v>
      </c>
      <c r="Z695" s="1" t="s">
        <v>276</v>
      </c>
      <c r="AA695" s="1" t="s">
        <v>12885</v>
      </c>
      <c r="AB695" s="1" t="s">
        <v>12719</v>
      </c>
      <c r="AC695" s="1" t="s">
        <v>276</v>
      </c>
      <c r="AD695" s="1">
        <v>8.12</v>
      </c>
      <c r="AE695" s="1" t="s">
        <v>93</v>
      </c>
      <c r="AF695" s="1" t="s">
        <v>12886</v>
      </c>
      <c r="AG695" s="1" t="s">
        <v>2245</v>
      </c>
      <c r="AH695" s="1" t="s">
        <v>165</v>
      </c>
      <c r="AI695" s="1" t="s">
        <v>281</v>
      </c>
      <c r="AJ695" s="1">
        <v>95</v>
      </c>
      <c r="AK695" s="1">
        <v>9.5</v>
      </c>
      <c r="AL695" s="1" t="s">
        <v>12887</v>
      </c>
      <c r="AM695" s="1" t="s">
        <v>12888</v>
      </c>
      <c r="AN695" s="1" t="s">
        <v>101</v>
      </c>
      <c r="AO695" s="1" t="s">
        <v>941</v>
      </c>
      <c r="AP695" s="1">
        <v>93.4</v>
      </c>
      <c r="AQ695" s="1">
        <v>9.67</v>
      </c>
      <c r="AR695" s="1"/>
      <c r="AS695" s="1"/>
      <c r="AT695" s="1"/>
      <c r="AU695" s="1"/>
      <c r="AV695" s="1"/>
      <c r="AW695" s="1"/>
      <c r="AX695" s="1" t="s">
        <v>12073</v>
      </c>
      <c r="AY695" s="1" t="s">
        <v>12889</v>
      </c>
      <c r="AZ695" s="1" t="s">
        <v>1131</v>
      </c>
      <c r="BA695" s="1" t="s">
        <v>702</v>
      </c>
      <c r="BB695" s="1">
        <v>77.3</v>
      </c>
      <c r="BC695" s="1">
        <v>7.73</v>
      </c>
      <c r="BD695" s="1"/>
      <c r="BE695" s="1"/>
      <c r="BF695" s="1"/>
      <c r="BG695" s="1"/>
      <c r="BH695" s="1"/>
      <c r="BI695" s="1"/>
      <c r="BJ695" s="1" t="s">
        <v>12890</v>
      </c>
      <c r="BK695" s="1"/>
      <c r="BL695" s="1"/>
      <c r="BM695" s="1" t="s">
        <v>12891</v>
      </c>
      <c r="BN695" s="1">
        <v>2</v>
      </c>
      <c r="BO695" s="1" t="s">
        <v>12892</v>
      </c>
      <c r="BP695" s="1" t="str">
        <f>HYPERLINK("https://nconnect.nicmar.ac.in/storage/profile/ProfilePhoto_P25700659_347681.jpg","Download")</f>
        <v>0</v>
      </c>
      <c r="BQ695" s="3"/>
      <c r="BR695" s="3"/>
    </row>
    <row r="696" spans="1:70">
      <c r="A696" s="1" t="s">
        <v>70</v>
      </c>
      <c r="B696" s="1" t="s">
        <v>1269</v>
      </c>
      <c r="C696" s="1" t="s">
        <v>12893</v>
      </c>
      <c r="D696" s="1" t="s">
        <v>12894</v>
      </c>
      <c r="E696" s="1"/>
      <c r="F696" s="1" t="s">
        <v>111</v>
      </c>
      <c r="G696" s="1" t="s">
        <v>12895</v>
      </c>
      <c r="H696" s="1" t="s">
        <v>12896</v>
      </c>
      <c r="I696" s="1" t="s">
        <v>12897</v>
      </c>
      <c r="J696" s="1">
        <v>8148047319</v>
      </c>
      <c r="K696" s="1" t="s">
        <v>148</v>
      </c>
      <c r="L696" s="1" t="s">
        <v>12898</v>
      </c>
      <c r="M696" s="1" t="s">
        <v>81</v>
      </c>
      <c r="N696" s="1" t="s">
        <v>6514</v>
      </c>
      <c r="O696" s="1"/>
      <c r="P696" s="1" t="s">
        <v>1323</v>
      </c>
      <c r="Q696" s="1" t="s">
        <v>12899</v>
      </c>
      <c r="R696" s="1" t="s">
        <v>12900</v>
      </c>
      <c r="S696" s="1">
        <v>9600967325</v>
      </c>
      <c r="T696" s="1" t="s">
        <v>520</v>
      </c>
      <c r="U696" s="1" t="s">
        <v>12901</v>
      </c>
      <c r="V696" s="1">
        <v>8248915977</v>
      </c>
      <c r="W696" s="1" t="s">
        <v>273</v>
      </c>
      <c r="X696" s="1" t="s">
        <v>12902</v>
      </c>
      <c r="Y696" s="1" t="s">
        <v>12903</v>
      </c>
      <c r="Z696" s="1" t="s">
        <v>1377</v>
      </c>
      <c r="AA696" s="1" t="s">
        <v>12902</v>
      </c>
      <c r="AB696" s="1" t="s">
        <v>12903</v>
      </c>
      <c r="AC696" s="1" t="s">
        <v>1377</v>
      </c>
      <c r="AD696" s="1">
        <v>8.83</v>
      </c>
      <c r="AE696" s="1" t="s">
        <v>93</v>
      </c>
      <c r="AF696" s="1" t="s">
        <v>12904</v>
      </c>
      <c r="AG696" s="1" t="s">
        <v>9314</v>
      </c>
      <c r="AH696" s="1" t="s">
        <v>101</v>
      </c>
      <c r="AI696" s="1" t="s">
        <v>1065</v>
      </c>
      <c r="AJ696" s="1">
        <v>93.8</v>
      </c>
      <c r="AK696" s="1"/>
      <c r="AL696" s="1" t="s">
        <v>12904</v>
      </c>
      <c r="AM696" s="1" t="s">
        <v>9314</v>
      </c>
      <c r="AN696" s="1" t="s">
        <v>699</v>
      </c>
      <c r="AO696" s="1" t="s">
        <v>506</v>
      </c>
      <c r="AP696" s="1">
        <v>95.34</v>
      </c>
      <c r="AQ696" s="1"/>
      <c r="AR696" s="1"/>
      <c r="AS696" s="1"/>
      <c r="AT696" s="1"/>
      <c r="AU696" s="1"/>
      <c r="AV696" s="1"/>
      <c r="AW696" s="1"/>
      <c r="AX696" s="1" t="s">
        <v>1381</v>
      </c>
      <c r="AY696" s="1" t="s">
        <v>12905</v>
      </c>
      <c r="AZ696" s="1" t="s">
        <v>1131</v>
      </c>
      <c r="BA696" s="1" t="s">
        <v>1361</v>
      </c>
      <c r="BB696" s="1">
        <v>86.03</v>
      </c>
      <c r="BC696" s="1">
        <v>8.6</v>
      </c>
      <c r="BD696" s="1"/>
      <c r="BE696" s="1"/>
      <c r="BF696" s="1"/>
      <c r="BG696" s="1"/>
      <c r="BH696" s="1"/>
      <c r="BI696" s="1"/>
      <c r="BJ696" s="1" t="s">
        <v>12906</v>
      </c>
      <c r="BK696" s="1"/>
      <c r="BL696" s="1"/>
      <c r="BM696" s="1" t="s">
        <v>12907</v>
      </c>
      <c r="BN696" s="1">
        <v>12</v>
      </c>
      <c r="BO696" s="1"/>
      <c r="BP696" s="1" t="str">
        <f>HYPERLINK("https://nconnect.nicmar.ac.in/storage/profile/ProfilePhoto_P25700660_348769.jpg","Download")</f>
        <v>0</v>
      </c>
      <c r="BQ696" s="3"/>
      <c r="BR696" s="3"/>
    </row>
    <row r="697" spans="1:70">
      <c r="A697" s="1" t="s">
        <v>70</v>
      </c>
      <c r="B697" s="1" t="s">
        <v>1269</v>
      </c>
      <c r="C697" s="1" t="s">
        <v>12908</v>
      </c>
      <c r="D697" s="1" t="s">
        <v>12909</v>
      </c>
      <c r="E697" s="1"/>
      <c r="F697" s="1" t="s">
        <v>4784</v>
      </c>
      <c r="G697" s="1" t="s">
        <v>12910</v>
      </c>
      <c r="H697" s="1" t="s">
        <v>12911</v>
      </c>
      <c r="I697" s="1" t="s">
        <v>12912</v>
      </c>
      <c r="J697" s="1">
        <v>9384654535</v>
      </c>
      <c r="K697" s="1" t="s">
        <v>79</v>
      </c>
      <c r="L697" s="1" t="s">
        <v>12913</v>
      </c>
      <c r="M697" s="1" t="s">
        <v>81</v>
      </c>
      <c r="N697" s="1" t="s">
        <v>12914</v>
      </c>
      <c r="O697" s="1"/>
      <c r="P697" s="1" t="s">
        <v>1323</v>
      </c>
      <c r="Q697" s="1" t="s">
        <v>12915</v>
      </c>
      <c r="R697" s="1" t="s">
        <v>12916</v>
      </c>
      <c r="S697" s="1">
        <v>9677090869</v>
      </c>
      <c r="T697" s="1" t="s">
        <v>496</v>
      </c>
      <c r="U697" s="1" t="s">
        <v>12917</v>
      </c>
      <c r="V697" s="1">
        <v>9080380248</v>
      </c>
      <c r="W697" s="1" t="s">
        <v>122</v>
      </c>
      <c r="X697" s="1" t="s">
        <v>12918</v>
      </c>
      <c r="Y697" s="1" t="s">
        <v>2320</v>
      </c>
      <c r="Z697" s="1" t="s">
        <v>1377</v>
      </c>
      <c r="AA697" s="1" t="s">
        <v>12918</v>
      </c>
      <c r="AB697" s="1" t="s">
        <v>2320</v>
      </c>
      <c r="AC697" s="1" t="s">
        <v>1377</v>
      </c>
      <c r="AD697" s="1">
        <v>8.62</v>
      </c>
      <c r="AE697" s="1" t="s">
        <v>93</v>
      </c>
      <c r="AF697" s="1" t="s">
        <v>12919</v>
      </c>
      <c r="AG697" s="1" t="s">
        <v>9841</v>
      </c>
      <c r="AH697" s="1" t="s">
        <v>503</v>
      </c>
      <c r="AI697" s="1" t="s">
        <v>527</v>
      </c>
      <c r="AJ697" s="1">
        <v>85.5</v>
      </c>
      <c r="AK697" s="1">
        <v>9</v>
      </c>
      <c r="AL697" s="1" t="s">
        <v>12920</v>
      </c>
      <c r="AM697" s="1" t="s">
        <v>1379</v>
      </c>
      <c r="AN697" s="1" t="s">
        <v>165</v>
      </c>
      <c r="AO697" s="1" t="s">
        <v>166</v>
      </c>
      <c r="AP697" s="1">
        <v>74</v>
      </c>
      <c r="AQ697" s="1">
        <v>0</v>
      </c>
      <c r="AR697" s="1"/>
      <c r="AS697" s="1"/>
      <c r="AT697" s="1"/>
      <c r="AU697" s="1"/>
      <c r="AV697" s="1"/>
      <c r="AW697" s="1"/>
      <c r="AX697" s="1" t="s">
        <v>1381</v>
      </c>
      <c r="AY697" s="1" t="s">
        <v>12921</v>
      </c>
      <c r="AZ697" s="1" t="s">
        <v>636</v>
      </c>
      <c r="BA697" s="1" t="s">
        <v>284</v>
      </c>
      <c r="BB697" s="1">
        <v>83.5</v>
      </c>
      <c r="BC697" s="1">
        <v>8.35</v>
      </c>
      <c r="BD697" s="1"/>
      <c r="BE697" s="1"/>
      <c r="BF697" s="1"/>
      <c r="BG697" s="1"/>
      <c r="BH697" s="1"/>
      <c r="BI697" s="1"/>
      <c r="BJ697" s="1" t="s">
        <v>12922</v>
      </c>
      <c r="BK697" s="1" t="s">
        <v>12923</v>
      </c>
      <c r="BL697" s="1" t="s">
        <v>1337</v>
      </c>
      <c r="BM697" s="1" t="s">
        <v>12924</v>
      </c>
      <c r="BN697" s="1">
        <v>11</v>
      </c>
      <c r="BO697" s="1" t="s">
        <v>12925</v>
      </c>
      <c r="BP697" s="1" t="str">
        <f>HYPERLINK("https://nconnect.nicmar.ac.in/storage/profile/ProfilePhoto_P25700661_438971.jpg","Download")</f>
        <v>0</v>
      </c>
      <c r="BQ697" s="3"/>
      <c r="BR697" s="3"/>
    </row>
    <row r="698" spans="1:70">
      <c r="A698" s="1" t="s">
        <v>70</v>
      </c>
      <c r="B698" s="1" t="s">
        <v>1269</v>
      </c>
      <c r="C698" s="1" t="s">
        <v>12926</v>
      </c>
      <c r="D698" s="1" t="s">
        <v>6489</v>
      </c>
      <c r="E698" s="1" t="s">
        <v>144</v>
      </c>
      <c r="F698" s="1" t="s">
        <v>12927</v>
      </c>
      <c r="G698" s="1" t="s">
        <v>12928</v>
      </c>
      <c r="H698" s="1" t="s">
        <v>12929</v>
      </c>
      <c r="I698" s="1" t="s">
        <v>12930</v>
      </c>
      <c r="J698" s="1">
        <v>7517356373</v>
      </c>
      <c r="K698" s="1" t="s">
        <v>79</v>
      </c>
      <c r="L698" s="1" t="s">
        <v>12931</v>
      </c>
      <c r="M698" s="1" t="s">
        <v>81</v>
      </c>
      <c r="N698" s="1" t="s">
        <v>1418</v>
      </c>
      <c r="O698" s="1"/>
      <c r="P698" s="1" t="s">
        <v>1278</v>
      </c>
      <c r="Q698" s="1" t="s">
        <v>12932</v>
      </c>
      <c r="R698" s="1" t="s">
        <v>12933</v>
      </c>
      <c r="S698" s="1">
        <v>8149234348</v>
      </c>
      <c r="T698" s="1" t="s">
        <v>154</v>
      </c>
      <c r="U698" s="1" t="s">
        <v>12934</v>
      </c>
      <c r="V698" s="1">
        <v>9307009781</v>
      </c>
      <c r="W698" s="1" t="s">
        <v>273</v>
      </c>
      <c r="X698" s="1" t="s">
        <v>12935</v>
      </c>
      <c r="Y698" s="1" t="s">
        <v>1018</v>
      </c>
      <c r="Z698" s="1" t="s">
        <v>92</v>
      </c>
      <c r="AA698" s="1" t="s">
        <v>12935</v>
      </c>
      <c r="AB698" s="1" t="s">
        <v>1018</v>
      </c>
      <c r="AC698" s="1" t="s">
        <v>92</v>
      </c>
      <c r="AD698" s="1">
        <v>7.98</v>
      </c>
      <c r="AE698" s="1" t="s">
        <v>93</v>
      </c>
      <c r="AF698" s="1" t="s">
        <v>12936</v>
      </c>
      <c r="AG698" s="1" t="s">
        <v>12937</v>
      </c>
      <c r="AH698" s="1" t="s">
        <v>165</v>
      </c>
      <c r="AI698" s="1" t="s">
        <v>281</v>
      </c>
      <c r="AJ698" s="1">
        <v>65.2</v>
      </c>
      <c r="AK698" s="1"/>
      <c r="AL698" s="1"/>
      <c r="AM698" s="1"/>
      <c r="AN698" s="1"/>
      <c r="AO698" s="1"/>
      <c r="AP698" s="1"/>
      <c r="AQ698" s="1"/>
      <c r="AR698" s="1" t="s">
        <v>434</v>
      </c>
      <c r="AS698" s="1" t="s">
        <v>12938</v>
      </c>
      <c r="AT698" s="1" t="s">
        <v>169</v>
      </c>
      <c r="AU698" s="1" t="s">
        <v>1131</v>
      </c>
      <c r="AV698" s="1">
        <v>83.53</v>
      </c>
      <c r="AW698" s="1"/>
      <c r="AX698" s="1" t="s">
        <v>1024</v>
      </c>
      <c r="AY698" s="1" t="s">
        <v>12939</v>
      </c>
      <c r="AZ698" s="1" t="s">
        <v>436</v>
      </c>
      <c r="BA698" s="1" t="s">
        <v>944</v>
      </c>
      <c r="BB698" s="1">
        <v>63.45</v>
      </c>
      <c r="BC698" s="1">
        <v>7.03</v>
      </c>
      <c r="BD698" s="1"/>
      <c r="BE698" s="1"/>
      <c r="BF698" s="1"/>
      <c r="BG698" s="1"/>
      <c r="BH698" s="1"/>
      <c r="BI698" s="1"/>
      <c r="BJ698" s="1" t="s">
        <v>12940</v>
      </c>
      <c r="BK698" s="1" t="s">
        <v>12941</v>
      </c>
      <c r="BL698" s="1" t="s">
        <v>12942</v>
      </c>
      <c r="BM698" s="1" t="s">
        <v>12943</v>
      </c>
      <c r="BN698" s="1">
        <v>16</v>
      </c>
      <c r="BO698" s="1"/>
      <c r="BP698" s="1" t="str">
        <f>HYPERLINK("https://nconnect.nicmar.ac.in/storage/profile/ProfilePhoto_P25700662_857164.jpg","Download")</f>
        <v>0</v>
      </c>
      <c r="BQ698" s="3"/>
      <c r="BR698" s="3"/>
    </row>
    <row r="699" spans="1:70">
      <c r="A699" s="1" t="s">
        <v>70</v>
      </c>
      <c r="B699" s="1" t="s">
        <v>1269</v>
      </c>
      <c r="C699" s="1" t="s">
        <v>12944</v>
      </c>
      <c r="D699" s="1" t="s">
        <v>5583</v>
      </c>
      <c r="E699" s="1" t="s">
        <v>2485</v>
      </c>
      <c r="F699" s="1" t="s">
        <v>12945</v>
      </c>
      <c r="G699" s="1" t="s">
        <v>12946</v>
      </c>
      <c r="H699" s="1" t="s">
        <v>12947</v>
      </c>
      <c r="I699" s="1" t="s">
        <v>12948</v>
      </c>
      <c r="J699" s="1">
        <v>9139384018</v>
      </c>
      <c r="K699" s="1" t="s">
        <v>79</v>
      </c>
      <c r="L699" s="1" t="s">
        <v>12949</v>
      </c>
      <c r="M699" s="1" t="s">
        <v>81</v>
      </c>
      <c r="N699" s="1" t="s">
        <v>2008</v>
      </c>
      <c r="O699" s="1"/>
      <c r="P699" s="1" t="s">
        <v>1278</v>
      </c>
      <c r="Q699" s="1" t="s">
        <v>12950</v>
      </c>
      <c r="R699" s="1" t="s">
        <v>12951</v>
      </c>
      <c r="S699" s="1">
        <v>9158564325</v>
      </c>
      <c r="T699" s="1" t="s">
        <v>154</v>
      </c>
      <c r="U699" s="1" t="s">
        <v>12952</v>
      </c>
      <c r="V699" s="1">
        <v>8999731418</v>
      </c>
      <c r="W699" s="1" t="s">
        <v>12953</v>
      </c>
      <c r="X699" s="1" t="s">
        <v>12954</v>
      </c>
      <c r="Y699" s="1" t="s">
        <v>191</v>
      </c>
      <c r="Z699" s="1" t="s">
        <v>92</v>
      </c>
      <c r="AA699" s="1" t="s">
        <v>12954</v>
      </c>
      <c r="AB699" s="1" t="s">
        <v>191</v>
      </c>
      <c r="AC699" s="1" t="s">
        <v>92</v>
      </c>
      <c r="AD699" s="1">
        <v>8.11</v>
      </c>
      <c r="AE699" s="1" t="s">
        <v>93</v>
      </c>
      <c r="AF699" s="1" t="s">
        <v>12955</v>
      </c>
      <c r="AG699" s="1" t="s">
        <v>12956</v>
      </c>
      <c r="AH699" s="1" t="s">
        <v>101</v>
      </c>
      <c r="AI699" s="1" t="s">
        <v>433</v>
      </c>
      <c r="AJ699" s="1">
        <v>83.8</v>
      </c>
      <c r="AK699" s="1"/>
      <c r="AL699" s="1"/>
      <c r="AM699" s="1"/>
      <c r="AN699" s="1"/>
      <c r="AO699" s="1"/>
      <c r="AP699" s="1"/>
      <c r="AQ699" s="1"/>
      <c r="AR699" s="1" t="s">
        <v>98</v>
      </c>
      <c r="AS699" s="1" t="s">
        <v>12957</v>
      </c>
      <c r="AT699" s="1" t="s">
        <v>310</v>
      </c>
      <c r="AU699" s="1" t="s">
        <v>105</v>
      </c>
      <c r="AV699" s="1">
        <v>78</v>
      </c>
      <c r="AW699" s="1"/>
      <c r="AX699" s="1" t="s">
        <v>361</v>
      </c>
      <c r="AY699" s="1" t="s">
        <v>12958</v>
      </c>
      <c r="AZ699" s="1" t="s">
        <v>2693</v>
      </c>
      <c r="BA699" s="1" t="s">
        <v>1714</v>
      </c>
      <c r="BB699" s="1">
        <v>62.48</v>
      </c>
      <c r="BC699" s="1">
        <v>7.02</v>
      </c>
      <c r="BD699" s="1"/>
      <c r="BE699" s="1"/>
      <c r="BF699" s="1"/>
      <c r="BG699" s="1"/>
      <c r="BH699" s="1"/>
      <c r="BI699" s="1"/>
      <c r="BJ699" s="1" t="s">
        <v>1715</v>
      </c>
      <c r="BK699" s="1"/>
      <c r="BL699" s="1"/>
      <c r="BM699" s="1" t="s">
        <v>12959</v>
      </c>
      <c r="BN699" s="1">
        <v>84</v>
      </c>
      <c r="BO699" s="1"/>
      <c r="BP699" s="1" t="str">
        <f>HYPERLINK("https://nconnect.nicmar.ac.in/storage/profile/ProfilePhoto_P25700663_453187.jpg","Download")</f>
        <v>0</v>
      </c>
      <c r="BQ699" s="3"/>
      <c r="BR699" s="3"/>
    </row>
    <row r="700" spans="1:70">
      <c r="A700" s="1" t="s">
        <v>70</v>
      </c>
      <c r="B700" s="1" t="s">
        <v>1269</v>
      </c>
      <c r="C700" s="1" t="s">
        <v>12960</v>
      </c>
      <c r="D700" s="1" t="s">
        <v>12961</v>
      </c>
      <c r="E700" s="1" t="s">
        <v>12962</v>
      </c>
      <c r="F700" s="1" t="s">
        <v>4823</v>
      </c>
      <c r="G700" s="1" t="s">
        <v>12963</v>
      </c>
      <c r="H700" s="1" t="s">
        <v>12964</v>
      </c>
      <c r="I700" s="1" t="s">
        <v>12965</v>
      </c>
      <c r="J700" s="1">
        <v>7989008011</v>
      </c>
      <c r="K700" s="1" t="s">
        <v>79</v>
      </c>
      <c r="L700" s="1" t="s">
        <v>12966</v>
      </c>
      <c r="M700" s="1" t="s">
        <v>81</v>
      </c>
      <c r="N700" s="1" t="s">
        <v>12967</v>
      </c>
      <c r="O700" s="1"/>
      <c r="P700" s="1" t="s">
        <v>1323</v>
      </c>
      <c r="Q700" s="1" t="s">
        <v>12968</v>
      </c>
      <c r="R700" s="1" t="s">
        <v>12969</v>
      </c>
      <c r="S700" s="1">
        <v>8886493636</v>
      </c>
      <c r="T700" s="1" t="s">
        <v>496</v>
      </c>
      <c r="U700" s="1" t="s">
        <v>12970</v>
      </c>
      <c r="V700" s="1">
        <v>9949800029</v>
      </c>
      <c r="W700" s="1" t="s">
        <v>651</v>
      </c>
      <c r="X700" s="1" t="s">
        <v>12971</v>
      </c>
      <c r="Y700" s="1" t="s">
        <v>608</v>
      </c>
      <c r="Z700" s="1" t="s">
        <v>609</v>
      </c>
      <c r="AA700" s="1" t="s">
        <v>12971</v>
      </c>
      <c r="AB700" s="1" t="s">
        <v>608</v>
      </c>
      <c r="AC700" s="1" t="s">
        <v>609</v>
      </c>
      <c r="AD700" s="1">
        <v>8.77</v>
      </c>
      <c r="AE700" s="1" t="s">
        <v>93</v>
      </c>
      <c r="AF700" s="1" t="s">
        <v>12972</v>
      </c>
      <c r="AG700" s="1" t="s">
        <v>12973</v>
      </c>
      <c r="AH700" s="1" t="s">
        <v>383</v>
      </c>
      <c r="AI700" s="1" t="s">
        <v>166</v>
      </c>
      <c r="AJ700" s="1">
        <v>78</v>
      </c>
      <c r="AK700" s="1"/>
      <c r="AL700" s="1" t="s">
        <v>12972</v>
      </c>
      <c r="AM700" s="1" t="s">
        <v>12974</v>
      </c>
      <c r="AN700" s="1" t="s">
        <v>169</v>
      </c>
      <c r="AO700" s="1" t="s">
        <v>173</v>
      </c>
      <c r="AP700" s="1">
        <v>81.2</v>
      </c>
      <c r="AQ700" s="1"/>
      <c r="AR700" s="1"/>
      <c r="AS700" s="1"/>
      <c r="AT700" s="1"/>
      <c r="AU700" s="1"/>
      <c r="AV700" s="1"/>
      <c r="AW700" s="1"/>
      <c r="AX700" s="1" t="s">
        <v>1359</v>
      </c>
      <c r="AY700" s="1" t="s">
        <v>12975</v>
      </c>
      <c r="AZ700" s="1" t="s">
        <v>920</v>
      </c>
      <c r="BA700" s="1" t="s">
        <v>944</v>
      </c>
      <c r="BB700" s="1">
        <v>75.8</v>
      </c>
      <c r="BC700" s="1">
        <v>7.58</v>
      </c>
      <c r="BD700" s="1"/>
      <c r="BE700" s="1"/>
      <c r="BF700" s="1"/>
      <c r="BG700" s="1"/>
      <c r="BH700" s="1"/>
      <c r="BI700" s="1"/>
      <c r="BJ700" s="1" t="s">
        <v>12976</v>
      </c>
      <c r="BK700" s="1"/>
      <c r="BL700" s="1"/>
      <c r="BM700" s="1" t="s">
        <v>12977</v>
      </c>
      <c r="BN700" s="1">
        <v>8</v>
      </c>
      <c r="BO700" s="1" t="s">
        <v>12978</v>
      </c>
      <c r="BP700" s="1" t="str">
        <f>HYPERLINK("https://nconnect.nicmar.ac.in/storage/profile/ProfilePhoto_P25700664_238457.jpg","Download")</f>
        <v>0</v>
      </c>
      <c r="BQ700" s="3"/>
      <c r="BR700" s="3"/>
    </row>
    <row r="701" spans="1:70">
      <c r="A701" s="1" t="s">
        <v>70</v>
      </c>
      <c r="B701" s="1" t="s">
        <v>1269</v>
      </c>
      <c r="C701" s="1" t="s">
        <v>12979</v>
      </c>
      <c r="D701" s="1" t="s">
        <v>12980</v>
      </c>
      <c r="E701" s="1" t="s">
        <v>12981</v>
      </c>
      <c r="F701" s="1" t="s">
        <v>12982</v>
      </c>
      <c r="G701" s="1" t="s">
        <v>12983</v>
      </c>
      <c r="H701" s="1" t="s">
        <v>12984</v>
      </c>
      <c r="I701" s="1" t="s">
        <v>12985</v>
      </c>
      <c r="J701" s="1">
        <v>9284871398</v>
      </c>
      <c r="K701" s="1" t="s">
        <v>148</v>
      </c>
      <c r="L701" s="1" t="s">
        <v>12986</v>
      </c>
      <c r="M701" s="1" t="s">
        <v>81</v>
      </c>
      <c r="N701" s="1" t="s">
        <v>12987</v>
      </c>
      <c r="O701" s="1"/>
      <c r="P701" s="1" t="s">
        <v>1323</v>
      </c>
      <c r="Q701" s="1" t="s">
        <v>12988</v>
      </c>
      <c r="R701" s="1" t="s">
        <v>12981</v>
      </c>
      <c r="S701" s="1">
        <v>7666153704</v>
      </c>
      <c r="T701" s="1" t="s">
        <v>7870</v>
      </c>
      <c r="U701" s="1" t="s">
        <v>12989</v>
      </c>
      <c r="V701" s="1">
        <v>9930577348</v>
      </c>
      <c r="W701" s="1" t="s">
        <v>156</v>
      </c>
      <c r="X701" s="1" t="s">
        <v>12990</v>
      </c>
      <c r="Y701" s="1" t="s">
        <v>766</v>
      </c>
      <c r="Z701" s="1" t="s">
        <v>92</v>
      </c>
      <c r="AA701" s="1" t="s">
        <v>12990</v>
      </c>
      <c r="AB701" s="1" t="s">
        <v>766</v>
      </c>
      <c r="AC701" s="1" t="s">
        <v>92</v>
      </c>
      <c r="AD701" s="1">
        <v>8.09</v>
      </c>
      <c r="AE701" s="1" t="s">
        <v>93</v>
      </c>
      <c r="AF701" s="1" t="s">
        <v>12991</v>
      </c>
      <c r="AG701" s="1" t="s">
        <v>12992</v>
      </c>
      <c r="AH701" s="1" t="s">
        <v>162</v>
      </c>
      <c r="AI701" s="1" t="s">
        <v>165</v>
      </c>
      <c r="AJ701" s="1">
        <v>82.2</v>
      </c>
      <c r="AK701" s="1">
        <v>0</v>
      </c>
      <c r="AL701" s="1" t="s">
        <v>12993</v>
      </c>
      <c r="AM701" s="1" t="s">
        <v>12994</v>
      </c>
      <c r="AN701" s="1" t="s">
        <v>101</v>
      </c>
      <c r="AO701" s="1" t="s">
        <v>198</v>
      </c>
      <c r="AP701" s="1">
        <v>67.85</v>
      </c>
      <c r="AQ701" s="1">
        <v>0</v>
      </c>
      <c r="AR701" s="1"/>
      <c r="AS701" s="1"/>
      <c r="AT701" s="1"/>
      <c r="AU701" s="1"/>
      <c r="AV701" s="1"/>
      <c r="AW701" s="1"/>
      <c r="AX701" s="1" t="s">
        <v>253</v>
      </c>
      <c r="AY701" s="1" t="s">
        <v>12995</v>
      </c>
      <c r="AZ701" s="1" t="s">
        <v>201</v>
      </c>
      <c r="BA701" s="1" t="s">
        <v>413</v>
      </c>
      <c r="BB701" s="1">
        <v>76.75</v>
      </c>
      <c r="BC701" s="1">
        <v>8.75</v>
      </c>
      <c r="BD701" s="1"/>
      <c r="BE701" s="1"/>
      <c r="BF701" s="1"/>
      <c r="BG701" s="1"/>
      <c r="BH701" s="1"/>
      <c r="BI701" s="1"/>
      <c r="BJ701" s="1" t="s">
        <v>12996</v>
      </c>
      <c r="BK701" s="1" t="s">
        <v>12997</v>
      </c>
      <c r="BL701" s="1" t="s">
        <v>1920</v>
      </c>
      <c r="BM701" s="1" t="s">
        <v>12998</v>
      </c>
      <c r="BN701" s="1">
        <v>32</v>
      </c>
      <c r="BO701" s="1" t="s">
        <v>12999</v>
      </c>
      <c r="BP701" s="1" t="str">
        <f>HYPERLINK("https://nconnect.nicmar.ac.in/storage/profile/ProfilePhoto_P25700665_185362.jpg","Download")</f>
        <v>0</v>
      </c>
      <c r="BQ701" s="3"/>
      <c r="BR701" s="3"/>
    </row>
    <row r="702" spans="1:70">
      <c r="A702" s="1" t="s">
        <v>70</v>
      </c>
      <c r="B702" s="1" t="s">
        <v>1269</v>
      </c>
      <c r="C702" s="1" t="s">
        <v>13000</v>
      </c>
      <c r="D702" s="1" t="s">
        <v>7453</v>
      </c>
      <c r="E702" s="1" t="s">
        <v>1566</v>
      </c>
      <c r="F702" s="1" t="s">
        <v>13001</v>
      </c>
      <c r="G702" s="1" t="s">
        <v>13002</v>
      </c>
      <c r="H702" s="1" t="s">
        <v>13003</v>
      </c>
      <c r="I702" s="1" t="s">
        <v>13004</v>
      </c>
      <c r="J702" s="1">
        <v>9975624261</v>
      </c>
      <c r="K702" s="1" t="s">
        <v>79</v>
      </c>
      <c r="L702" s="1" t="s">
        <v>13005</v>
      </c>
      <c r="M702" s="1" t="s">
        <v>81</v>
      </c>
      <c r="N702" s="1" t="s">
        <v>1418</v>
      </c>
      <c r="O702" s="1"/>
      <c r="P702" s="1" t="s">
        <v>1278</v>
      </c>
      <c r="Q702" s="1" t="s">
        <v>13006</v>
      </c>
      <c r="R702" s="1" t="s">
        <v>13007</v>
      </c>
      <c r="S702" s="1">
        <v>9823172051</v>
      </c>
      <c r="T702" s="1" t="s">
        <v>496</v>
      </c>
      <c r="U702" s="1" t="s">
        <v>13008</v>
      </c>
      <c r="V702" s="1">
        <v>9764250958</v>
      </c>
      <c r="W702" s="1" t="s">
        <v>1488</v>
      </c>
      <c r="X702" s="1" t="s">
        <v>13009</v>
      </c>
      <c r="Y702" s="1" t="s">
        <v>219</v>
      </c>
      <c r="Z702" s="1" t="s">
        <v>92</v>
      </c>
      <c r="AA702" s="1" t="s">
        <v>13009</v>
      </c>
      <c r="AB702" s="1" t="s">
        <v>219</v>
      </c>
      <c r="AC702" s="1" t="s">
        <v>92</v>
      </c>
      <c r="AD702" s="1">
        <v>8.05</v>
      </c>
      <c r="AE702" s="1" t="s">
        <v>93</v>
      </c>
      <c r="AF702" s="1" t="s">
        <v>1832</v>
      </c>
      <c r="AG702" s="1" t="s">
        <v>13010</v>
      </c>
      <c r="AH702" s="1" t="s">
        <v>252</v>
      </c>
      <c r="AI702" s="1" t="s">
        <v>201</v>
      </c>
      <c r="AJ702" s="1">
        <v>77</v>
      </c>
      <c r="AK702" s="1"/>
      <c r="AL702" s="1" t="s">
        <v>13011</v>
      </c>
      <c r="AM702" s="1" t="s">
        <v>13012</v>
      </c>
      <c r="AN702" s="1" t="s">
        <v>201</v>
      </c>
      <c r="AO702" s="1" t="s">
        <v>436</v>
      </c>
      <c r="AP702" s="1">
        <v>88.67</v>
      </c>
      <c r="AQ702" s="1"/>
      <c r="AR702" s="1"/>
      <c r="AS702" s="1"/>
      <c r="AT702" s="1"/>
      <c r="AU702" s="1"/>
      <c r="AV702" s="1"/>
      <c r="AW702" s="1"/>
      <c r="AX702" s="1" t="s">
        <v>13013</v>
      </c>
      <c r="AY702" s="1" t="s">
        <v>13014</v>
      </c>
      <c r="AZ702" s="1" t="s">
        <v>506</v>
      </c>
      <c r="BA702" s="1" t="s">
        <v>1584</v>
      </c>
      <c r="BB702" s="1">
        <v>78.8</v>
      </c>
      <c r="BC702" s="1">
        <v>8.63</v>
      </c>
      <c r="BD702" s="1"/>
      <c r="BE702" s="1"/>
      <c r="BF702" s="1"/>
      <c r="BG702" s="1"/>
      <c r="BH702" s="1"/>
      <c r="BI702" s="1"/>
      <c r="BJ702" s="1" t="s">
        <v>13015</v>
      </c>
      <c r="BK702" s="1"/>
      <c r="BL702" s="1"/>
      <c r="BM702" s="1" t="s">
        <v>13016</v>
      </c>
      <c r="BN702" s="1">
        <v>32</v>
      </c>
      <c r="BO702" s="1"/>
      <c r="BP702" s="1" t="str">
        <f>HYPERLINK("https://nconnect.nicmar.ac.in/storage/profile/ProfilePhoto_P25700666_356489.jpg","Download")</f>
        <v>0</v>
      </c>
      <c r="BQ702" s="3"/>
      <c r="BR702" s="3"/>
    </row>
    <row r="703" spans="1:70">
      <c r="A703" s="1" t="s">
        <v>70</v>
      </c>
      <c r="B703" s="1" t="s">
        <v>1269</v>
      </c>
      <c r="C703" s="1" t="s">
        <v>13017</v>
      </c>
      <c r="D703" s="1" t="s">
        <v>9817</v>
      </c>
      <c r="E703" s="1" t="s">
        <v>13018</v>
      </c>
      <c r="F703" s="1" t="s">
        <v>13019</v>
      </c>
      <c r="G703" s="1" t="s">
        <v>13020</v>
      </c>
      <c r="H703" s="1" t="s">
        <v>13021</v>
      </c>
      <c r="I703" s="1" t="s">
        <v>13022</v>
      </c>
      <c r="J703" s="1">
        <v>9975505708</v>
      </c>
      <c r="K703" s="1" t="s">
        <v>79</v>
      </c>
      <c r="L703" s="1" t="s">
        <v>13023</v>
      </c>
      <c r="M703" s="1" t="s">
        <v>81</v>
      </c>
      <c r="N703" s="1" t="s">
        <v>1418</v>
      </c>
      <c r="O703" s="1"/>
      <c r="P703" s="1" t="s">
        <v>1323</v>
      </c>
      <c r="Q703" s="1" t="s">
        <v>13024</v>
      </c>
      <c r="R703" s="1" t="s">
        <v>13018</v>
      </c>
      <c r="S703" s="1">
        <v>9423494064</v>
      </c>
      <c r="T703" s="1" t="s">
        <v>2824</v>
      </c>
      <c r="U703" s="1" t="s">
        <v>13025</v>
      </c>
      <c r="V703" s="1">
        <v>9421494959</v>
      </c>
      <c r="W703" s="1" t="s">
        <v>2824</v>
      </c>
      <c r="X703" s="1" t="s">
        <v>13026</v>
      </c>
      <c r="Y703" s="1" t="s">
        <v>6399</v>
      </c>
      <c r="Z703" s="1" t="s">
        <v>92</v>
      </c>
      <c r="AA703" s="1" t="s">
        <v>13026</v>
      </c>
      <c r="AB703" s="1" t="s">
        <v>6399</v>
      </c>
      <c r="AC703" s="1" t="s">
        <v>92</v>
      </c>
      <c r="AD703" s="1" t="s">
        <v>93</v>
      </c>
      <c r="AE703" s="1" t="s">
        <v>93</v>
      </c>
      <c r="AF703" s="1" t="s">
        <v>13027</v>
      </c>
      <c r="AG703" s="1" t="s">
        <v>939</v>
      </c>
      <c r="AH703" s="1" t="s">
        <v>166</v>
      </c>
      <c r="AI703" s="1" t="s">
        <v>308</v>
      </c>
      <c r="AJ703" s="1">
        <v>82.4</v>
      </c>
      <c r="AK703" s="1">
        <v>0</v>
      </c>
      <c r="AL703" s="1"/>
      <c r="AM703" s="1"/>
      <c r="AN703" s="1"/>
      <c r="AO703" s="1"/>
      <c r="AP703" s="1"/>
      <c r="AQ703" s="1"/>
      <c r="AR703" s="1" t="s">
        <v>98</v>
      </c>
      <c r="AS703" s="1" t="s">
        <v>13028</v>
      </c>
      <c r="AT703" s="1" t="s">
        <v>310</v>
      </c>
      <c r="AU703" s="1" t="s">
        <v>481</v>
      </c>
      <c r="AV703" s="1">
        <v>82.21</v>
      </c>
      <c r="AW703" s="1">
        <v>0</v>
      </c>
      <c r="AX703" s="1" t="s">
        <v>361</v>
      </c>
      <c r="AY703" s="1" t="s">
        <v>7828</v>
      </c>
      <c r="AZ703" s="1" t="s">
        <v>2693</v>
      </c>
      <c r="BA703" s="1" t="s">
        <v>1714</v>
      </c>
      <c r="BB703" s="1">
        <v>63.5</v>
      </c>
      <c r="BC703" s="1">
        <v>7.1</v>
      </c>
      <c r="BD703" s="1"/>
      <c r="BE703" s="1"/>
      <c r="BF703" s="1"/>
      <c r="BG703" s="1"/>
      <c r="BH703" s="1"/>
      <c r="BI703" s="1"/>
      <c r="BJ703" s="1" t="s">
        <v>13029</v>
      </c>
      <c r="BK703" s="1"/>
      <c r="BL703" s="1"/>
      <c r="BM703" s="1" t="s">
        <v>13030</v>
      </c>
      <c r="BN703" s="1">
        <v>13</v>
      </c>
      <c r="BO703" s="1"/>
      <c r="BP703" s="1" t="str">
        <f>HYPERLINK("https://nconnect.nicmar.ac.in/storage/profile/ProfilePhoto_P25700667_685391.jpg","Download")</f>
        <v>0</v>
      </c>
      <c r="BQ703" s="3"/>
      <c r="BR703" s="3"/>
    </row>
    <row r="704" spans="1:70">
      <c r="A704" s="1" t="s">
        <v>70</v>
      </c>
      <c r="B704" s="1" t="s">
        <v>1269</v>
      </c>
      <c r="C704" s="1" t="s">
        <v>13031</v>
      </c>
      <c r="D704" s="1" t="s">
        <v>13032</v>
      </c>
      <c r="E704" s="1" t="s">
        <v>1009</v>
      </c>
      <c r="F704" s="1" t="s">
        <v>7350</v>
      </c>
      <c r="G704" s="1" t="s">
        <v>13033</v>
      </c>
      <c r="H704" s="1" t="s">
        <v>13034</v>
      </c>
      <c r="I704" s="1" t="s">
        <v>13035</v>
      </c>
      <c r="J704" s="1">
        <v>9137916664</v>
      </c>
      <c r="K704" s="1" t="s">
        <v>79</v>
      </c>
      <c r="L704" s="1" t="s">
        <v>13036</v>
      </c>
      <c r="M704" s="1" t="s">
        <v>81</v>
      </c>
      <c r="N704" s="1" t="s">
        <v>13037</v>
      </c>
      <c r="O704" s="1"/>
      <c r="P704" s="1" t="s">
        <v>1323</v>
      </c>
      <c r="Q704" s="1" t="s">
        <v>13038</v>
      </c>
      <c r="R704" s="1" t="s">
        <v>13039</v>
      </c>
      <c r="S704" s="1">
        <v>9833311194</v>
      </c>
      <c r="T704" s="1" t="s">
        <v>12034</v>
      </c>
      <c r="U704" s="1" t="s">
        <v>13040</v>
      </c>
      <c r="V704" s="1">
        <v>9137366059</v>
      </c>
      <c r="W704" s="1" t="s">
        <v>156</v>
      </c>
      <c r="X704" s="1" t="s">
        <v>13041</v>
      </c>
      <c r="Y704" s="1" t="s">
        <v>1623</v>
      </c>
      <c r="Z704" s="1" t="s">
        <v>92</v>
      </c>
      <c r="AA704" s="1" t="s">
        <v>13041</v>
      </c>
      <c r="AB704" s="1" t="s">
        <v>1623</v>
      </c>
      <c r="AC704" s="1" t="s">
        <v>92</v>
      </c>
      <c r="AD704" s="1">
        <v>7.99</v>
      </c>
      <c r="AE704" s="1" t="s">
        <v>93</v>
      </c>
      <c r="AF704" s="1" t="s">
        <v>3046</v>
      </c>
      <c r="AG704" s="1" t="s">
        <v>13042</v>
      </c>
      <c r="AH704" s="1" t="s">
        <v>12803</v>
      </c>
      <c r="AI704" s="1" t="s">
        <v>999</v>
      </c>
      <c r="AJ704" s="1">
        <v>80.6</v>
      </c>
      <c r="AK704" s="1"/>
      <c r="AL704" s="1"/>
      <c r="AM704" s="1"/>
      <c r="AN704" s="1"/>
      <c r="AO704" s="1"/>
      <c r="AP704" s="1"/>
      <c r="AQ704" s="1"/>
      <c r="AR704" s="1" t="s">
        <v>434</v>
      </c>
      <c r="AS704" s="1" t="s">
        <v>13043</v>
      </c>
      <c r="AT704" s="1" t="s">
        <v>636</v>
      </c>
      <c r="AU704" s="1" t="s">
        <v>436</v>
      </c>
      <c r="AV704" s="1">
        <v>93.7</v>
      </c>
      <c r="AW704" s="1"/>
      <c r="AX704" s="1" t="s">
        <v>1024</v>
      </c>
      <c r="AY704" s="1" t="s">
        <v>13044</v>
      </c>
      <c r="AZ704" s="1" t="s">
        <v>897</v>
      </c>
      <c r="BA704" s="1" t="s">
        <v>413</v>
      </c>
      <c r="BB704" s="1">
        <v>72.07</v>
      </c>
      <c r="BC704" s="1">
        <v>8.02</v>
      </c>
      <c r="BD704" s="1"/>
      <c r="BE704" s="1"/>
      <c r="BF704" s="1"/>
      <c r="BG704" s="1"/>
      <c r="BH704" s="1"/>
      <c r="BI704" s="1"/>
      <c r="BJ704" s="1" t="s">
        <v>13045</v>
      </c>
      <c r="BK704" s="1" t="s">
        <v>13046</v>
      </c>
      <c r="BL704" s="1" t="s">
        <v>1920</v>
      </c>
      <c r="BM704" s="1" t="s">
        <v>13047</v>
      </c>
      <c r="BN704" s="1">
        <v>20</v>
      </c>
      <c r="BO704" s="1"/>
      <c r="BP704" s="1" t="str">
        <f>HYPERLINK("https://nconnect.nicmar.ac.in/storage/profile/ProfilePhoto_P25700668_892617.jpg","Download")</f>
        <v>0</v>
      </c>
      <c r="BQ704" s="3"/>
      <c r="BR704" s="3"/>
    </row>
    <row r="705" spans="1:70">
      <c r="A705" s="1" t="s">
        <v>70</v>
      </c>
      <c r="B705" s="1" t="s">
        <v>1269</v>
      </c>
      <c r="C705" s="1" t="s">
        <v>13048</v>
      </c>
      <c r="D705" s="1" t="s">
        <v>13049</v>
      </c>
      <c r="E705" s="1" t="s">
        <v>1039</v>
      </c>
      <c r="F705" s="1" t="s">
        <v>13050</v>
      </c>
      <c r="G705" s="1" t="s">
        <v>13051</v>
      </c>
      <c r="H705" s="1" t="s">
        <v>13052</v>
      </c>
      <c r="I705" s="1" t="s">
        <v>13053</v>
      </c>
      <c r="J705" s="1">
        <v>8984683220</v>
      </c>
      <c r="K705" s="1" t="s">
        <v>79</v>
      </c>
      <c r="L705" s="1" t="s">
        <v>13054</v>
      </c>
      <c r="M705" s="1" t="s">
        <v>81</v>
      </c>
      <c r="N705" s="1" t="s">
        <v>2393</v>
      </c>
      <c r="O705" s="1"/>
      <c r="P705" s="1" t="s">
        <v>1323</v>
      </c>
      <c r="Q705" s="1" t="s">
        <v>13055</v>
      </c>
      <c r="R705" s="1" t="s">
        <v>13056</v>
      </c>
      <c r="S705" s="1">
        <v>8984683220</v>
      </c>
      <c r="T705" s="1" t="s">
        <v>13057</v>
      </c>
      <c r="U705" s="1" t="s">
        <v>13058</v>
      </c>
      <c r="V705" s="1">
        <v>8984524063</v>
      </c>
      <c r="W705" s="1" t="s">
        <v>156</v>
      </c>
      <c r="X705" s="1" t="s">
        <v>13059</v>
      </c>
      <c r="Y705" s="1" t="s">
        <v>2096</v>
      </c>
      <c r="Z705" s="1" t="s">
        <v>1731</v>
      </c>
      <c r="AA705" s="1" t="s">
        <v>13059</v>
      </c>
      <c r="AB705" s="1" t="s">
        <v>2096</v>
      </c>
      <c r="AC705" s="1" t="s">
        <v>1731</v>
      </c>
      <c r="AD705" s="1">
        <v>7.7</v>
      </c>
      <c r="AE705" s="1" t="s">
        <v>93</v>
      </c>
      <c r="AF705" s="1" t="s">
        <v>13060</v>
      </c>
      <c r="AG705" s="1" t="s">
        <v>10244</v>
      </c>
      <c r="AH705" s="1" t="s">
        <v>999</v>
      </c>
      <c r="AI705" s="1" t="s">
        <v>503</v>
      </c>
      <c r="AJ705" s="1">
        <v>95</v>
      </c>
      <c r="AK705" s="1">
        <v>10</v>
      </c>
      <c r="AL705" s="1" t="s">
        <v>13061</v>
      </c>
      <c r="AM705" s="1" t="s">
        <v>10244</v>
      </c>
      <c r="AN705" s="1" t="s">
        <v>503</v>
      </c>
      <c r="AO705" s="1" t="s">
        <v>479</v>
      </c>
      <c r="AP705" s="1">
        <v>85</v>
      </c>
      <c r="AQ705" s="1"/>
      <c r="AR705" s="1"/>
      <c r="AS705" s="1"/>
      <c r="AT705" s="1"/>
      <c r="AU705" s="1"/>
      <c r="AV705" s="1"/>
      <c r="AW705" s="1"/>
      <c r="AX705" s="1" t="s">
        <v>3432</v>
      </c>
      <c r="AY705" s="1" t="s">
        <v>4205</v>
      </c>
      <c r="AZ705" s="1" t="s">
        <v>165</v>
      </c>
      <c r="BA705" s="1" t="s">
        <v>1131</v>
      </c>
      <c r="BB705" s="1">
        <v>86.58</v>
      </c>
      <c r="BC705" s="1">
        <v>8.14</v>
      </c>
      <c r="BD705" s="1"/>
      <c r="BE705" s="1"/>
      <c r="BF705" s="1"/>
      <c r="BG705" s="1"/>
      <c r="BH705" s="1"/>
      <c r="BI705" s="1"/>
      <c r="BJ705" s="1" t="s">
        <v>13062</v>
      </c>
      <c r="BK705" s="1"/>
      <c r="BL705" s="1"/>
      <c r="BM705" s="1" t="s">
        <v>13063</v>
      </c>
      <c r="BN705" s="1">
        <v>15</v>
      </c>
      <c r="BO705" s="1"/>
      <c r="BP705" s="1" t="str">
        <f>HYPERLINK("https://nconnect.nicmar.ac.in/storage/profile/ProfilePhoto_P25700669_295168.jpg","Download")</f>
        <v>0</v>
      </c>
      <c r="BQ705" s="3"/>
      <c r="BR705" s="3"/>
    </row>
    <row r="706" spans="1:70">
      <c r="A706" s="1" t="s">
        <v>70</v>
      </c>
      <c r="B706" s="1" t="s">
        <v>1269</v>
      </c>
      <c r="C706" s="1" t="s">
        <v>13064</v>
      </c>
      <c r="D706" s="1" t="s">
        <v>13065</v>
      </c>
      <c r="E706" s="1"/>
      <c r="F706" s="1" t="s">
        <v>13066</v>
      </c>
      <c r="G706" s="1" t="s">
        <v>13067</v>
      </c>
      <c r="H706" s="1" t="s">
        <v>13068</v>
      </c>
      <c r="I706" s="1" t="s">
        <v>13069</v>
      </c>
      <c r="J706" s="1">
        <v>6362521917</v>
      </c>
      <c r="K706" s="1" t="s">
        <v>79</v>
      </c>
      <c r="L706" s="1" t="s">
        <v>4014</v>
      </c>
      <c r="M706" s="1" t="s">
        <v>81</v>
      </c>
      <c r="N706" s="1" t="s">
        <v>8780</v>
      </c>
      <c r="O706" s="1"/>
      <c r="P706" s="1" t="s">
        <v>1462</v>
      </c>
      <c r="Q706" s="1" t="s">
        <v>13070</v>
      </c>
      <c r="R706" s="1" t="s">
        <v>13071</v>
      </c>
      <c r="S706" s="1">
        <v>9916008484</v>
      </c>
      <c r="T706" s="1" t="s">
        <v>154</v>
      </c>
      <c r="U706" s="1" t="s">
        <v>13072</v>
      </c>
      <c r="V706" s="1">
        <v>9148542866</v>
      </c>
      <c r="W706" s="1" t="s">
        <v>273</v>
      </c>
      <c r="X706" s="1" t="s">
        <v>13073</v>
      </c>
      <c r="Y706" s="1" t="s">
        <v>7174</v>
      </c>
      <c r="Z706" s="1" t="s">
        <v>1084</v>
      </c>
      <c r="AA706" s="1" t="s">
        <v>13073</v>
      </c>
      <c r="AB706" s="1" t="s">
        <v>7174</v>
      </c>
      <c r="AC706" s="1" t="s">
        <v>1084</v>
      </c>
      <c r="AD706" s="1">
        <v>8.22</v>
      </c>
      <c r="AE706" s="1" t="s">
        <v>93</v>
      </c>
      <c r="AF706" s="1" t="s">
        <v>13074</v>
      </c>
      <c r="AG706" s="1" t="s">
        <v>13075</v>
      </c>
      <c r="AH706" s="1" t="s">
        <v>166</v>
      </c>
      <c r="AI706" s="1" t="s">
        <v>308</v>
      </c>
      <c r="AJ706" s="1">
        <v>75.2</v>
      </c>
      <c r="AK706" s="1"/>
      <c r="AL706" s="1" t="s">
        <v>13076</v>
      </c>
      <c r="AM706" s="1" t="s">
        <v>13077</v>
      </c>
      <c r="AN706" s="1" t="s">
        <v>173</v>
      </c>
      <c r="AO706" s="1" t="s">
        <v>506</v>
      </c>
      <c r="AP706" s="1">
        <v>86.66</v>
      </c>
      <c r="AQ706" s="1"/>
      <c r="AR706" s="1"/>
      <c r="AS706" s="1"/>
      <c r="AT706" s="1"/>
      <c r="AU706" s="1"/>
      <c r="AV706" s="1"/>
      <c r="AW706" s="1"/>
      <c r="AX706" s="1" t="s">
        <v>1606</v>
      </c>
      <c r="AY706" s="1" t="s">
        <v>13078</v>
      </c>
      <c r="AZ706" s="1" t="s">
        <v>897</v>
      </c>
      <c r="BA706" s="1" t="s">
        <v>1714</v>
      </c>
      <c r="BB706" s="1">
        <v>78.1</v>
      </c>
      <c r="BC706" s="1">
        <v>7.81</v>
      </c>
      <c r="BD706" s="1"/>
      <c r="BE706" s="1"/>
      <c r="BF706" s="1"/>
      <c r="BG706" s="1"/>
      <c r="BH706" s="1"/>
      <c r="BI706" s="1"/>
      <c r="BJ706" s="1" t="s">
        <v>13079</v>
      </c>
      <c r="BK706" s="1"/>
      <c r="BL706" s="1"/>
      <c r="BM706" s="1" t="s">
        <v>13080</v>
      </c>
      <c r="BN706" s="1">
        <v>19</v>
      </c>
      <c r="BO706" s="1" t="s">
        <v>13081</v>
      </c>
      <c r="BP706" s="1" t="str">
        <f>HYPERLINK("https://nconnect.nicmar.ac.in/storage/profile/ProfilePhoto_P25700670_485319.jpg","Download")</f>
        <v>0</v>
      </c>
      <c r="BQ706" s="3"/>
      <c r="BR706" s="3"/>
    </row>
    <row r="707" spans="1:70">
      <c r="A707" s="1" t="s">
        <v>70</v>
      </c>
      <c r="B707" s="1" t="s">
        <v>1269</v>
      </c>
      <c r="C707" s="1" t="s">
        <v>13082</v>
      </c>
      <c r="D707" s="1" t="s">
        <v>13083</v>
      </c>
      <c r="E707" s="1"/>
      <c r="F707" s="1" t="s">
        <v>111</v>
      </c>
      <c r="G707" s="1" t="s">
        <v>13084</v>
      </c>
      <c r="H707" s="1" t="s">
        <v>13085</v>
      </c>
      <c r="I707" s="1" t="s">
        <v>13086</v>
      </c>
      <c r="J707" s="1">
        <v>7395910769</v>
      </c>
      <c r="K707" s="1" t="s">
        <v>79</v>
      </c>
      <c r="L707" s="1" t="s">
        <v>13087</v>
      </c>
      <c r="M707" s="1" t="s">
        <v>81</v>
      </c>
      <c r="N707" s="1" t="s">
        <v>13088</v>
      </c>
      <c r="O707" s="1"/>
      <c r="P707" s="1" t="s">
        <v>1278</v>
      </c>
      <c r="Q707" s="1" t="s">
        <v>13089</v>
      </c>
      <c r="R707" s="1" t="s">
        <v>13090</v>
      </c>
      <c r="S707" s="1">
        <v>9444767739</v>
      </c>
      <c r="T707" s="1" t="s">
        <v>5657</v>
      </c>
      <c r="U707" s="1" t="s">
        <v>13091</v>
      </c>
      <c r="V707" s="1">
        <v>9941955909</v>
      </c>
      <c r="W707" s="1" t="s">
        <v>651</v>
      </c>
      <c r="X707" s="1" t="s">
        <v>13092</v>
      </c>
      <c r="Y707" s="1" t="s">
        <v>2320</v>
      </c>
      <c r="Z707" s="1" t="s">
        <v>1377</v>
      </c>
      <c r="AA707" s="1" t="s">
        <v>13092</v>
      </c>
      <c r="AB707" s="1" t="s">
        <v>2320</v>
      </c>
      <c r="AC707" s="1" t="s">
        <v>1377</v>
      </c>
      <c r="AD707" s="1">
        <v>8.14</v>
      </c>
      <c r="AE707" s="1" t="s">
        <v>93</v>
      </c>
      <c r="AF707" s="1" t="s">
        <v>12920</v>
      </c>
      <c r="AG707" s="1" t="s">
        <v>12153</v>
      </c>
      <c r="AH707" s="1" t="s">
        <v>281</v>
      </c>
      <c r="AI707" s="1" t="s">
        <v>409</v>
      </c>
      <c r="AJ707" s="1">
        <v>80.4</v>
      </c>
      <c r="AK707" s="1">
        <v>0</v>
      </c>
      <c r="AL707" s="1" t="s">
        <v>12920</v>
      </c>
      <c r="AM707" s="1" t="s">
        <v>12153</v>
      </c>
      <c r="AN707" s="1" t="s">
        <v>308</v>
      </c>
      <c r="AO707" s="1" t="s">
        <v>1712</v>
      </c>
      <c r="AP707" s="1">
        <v>84.84</v>
      </c>
      <c r="AQ707" s="1">
        <v>0</v>
      </c>
      <c r="AR707" s="1"/>
      <c r="AS707" s="1"/>
      <c r="AT707" s="1"/>
      <c r="AU707" s="1"/>
      <c r="AV707" s="1"/>
      <c r="AW707" s="1"/>
      <c r="AX707" s="1" t="s">
        <v>13093</v>
      </c>
      <c r="AY707" s="1" t="s">
        <v>13094</v>
      </c>
      <c r="AZ707" s="1" t="s">
        <v>506</v>
      </c>
      <c r="BA707" s="1" t="s">
        <v>1408</v>
      </c>
      <c r="BB707" s="1">
        <v>71.4</v>
      </c>
      <c r="BC707" s="1">
        <v>7.14</v>
      </c>
      <c r="BD707" s="1"/>
      <c r="BE707" s="1"/>
      <c r="BF707" s="1"/>
      <c r="BG707" s="1"/>
      <c r="BH707" s="1"/>
      <c r="BI707" s="1"/>
      <c r="BJ707" s="1" t="s">
        <v>13095</v>
      </c>
      <c r="BK707" s="1"/>
      <c r="BL707" s="1"/>
      <c r="BM707" s="1" t="s">
        <v>13096</v>
      </c>
      <c r="BN707" s="1">
        <v>15</v>
      </c>
      <c r="BO707" s="1"/>
      <c r="BP707" s="1" t="str">
        <f>HYPERLINK("https://nconnect.nicmar.ac.in/storage/profile/ProfilePhoto_P25700671_749136.jpg","Download")</f>
        <v>0</v>
      </c>
      <c r="BQ707" s="3"/>
      <c r="BR707" s="3"/>
    </row>
    <row r="708" spans="1:70">
      <c r="A708" s="1" t="s">
        <v>70</v>
      </c>
      <c r="B708" s="1" t="s">
        <v>1269</v>
      </c>
      <c r="C708" s="1" t="s">
        <v>13097</v>
      </c>
      <c r="D708" s="1" t="s">
        <v>13098</v>
      </c>
      <c r="E708" s="1" t="s">
        <v>13099</v>
      </c>
      <c r="F708" s="1" t="s">
        <v>8795</v>
      </c>
      <c r="G708" s="1" t="s">
        <v>13100</v>
      </c>
      <c r="H708" s="1" t="s">
        <v>13101</v>
      </c>
      <c r="I708" s="1" t="s">
        <v>13102</v>
      </c>
      <c r="J708" s="1">
        <v>9552016176</v>
      </c>
      <c r="K708" s="1" t="s">
        <v>148</v>
      </c>
      <c r="L708" s="1" t="s">
        <v>13103</v>
      </c>
      <c r="M708" s="1" t="s">
        <v>81</v>
      </c>
      <c r="N708" s="1" t="s">
        <v>2008</v>
      </c>
      <c r="O708" s="1"/>
      <c r="P708" s="1" t="s">
        <v>1298</v>
      </c>
      <c r="Q708" s="1" t="s">
        <v>13104</v>
      </c>
      <c r="R708" s="1" t="s">
        <v>13099</v>
      </c>
      <c r="S708" s="1">
        <v>9923352853</v>
      </c>
      <c r="T708" s="1" t="s">
        <v>763</v>
      </c>
      <c r="U708" s="1" t="s">
        <v>13105</v>
      </c>
      <c r="V708" s="1">
        <v>9637541019</v>
      </c>
      <c r="W708" s="1" t="s">
        <v>122</v>
      </c>
      <c r="X708" s="1" t="s">
        <v>13106</v>
      </c>
      <c r="Y708" s="1" t="s">
        <v>191</v>
      </c>
      <c r="Z708" s="1" t="s">
        <v>92</v>
      </c>
      <c r="AA708" s="1" t="s">
        <v>13106</v>
      </c>
      <c r="AB708" s="1" t="s">
        <v>191</v>
      </c>
      <c r="AC708" s="1" t="s">
        <v>92</v>
      </c>
      <c r="AD708" s="1">
        <v>8.67</v>
      </c>
      <c r="AE708" s="1" t="s">
        <v>93</v>
      </c>
      <c r="AF708" s="1" t="s">
        <v>13107</v>
      </c>
      <c r="AG708" s="1" t="s">
        <v>13108</v>
      </c>
      <c r="AH708" s="1" t="s">
        <v>96</v>
      </c>
      <c r="AI708" s="1" t="s">
        <v>97</v>
      </c>
      <c r="AJ708" s="1">
        <v>65</v>
      </c>
      <c r="AK708" s="1"/>
      <c r="AL708" s="1"/>
      <c r="AM708" s="1"/>
      <c r="AN708" s="1"/>
      <c r="AO708" s="1"/>
      <c r="AP708" s="1"/>
      <c r="AQ708" s="1"/>
      <c r="AR708" s="1" t="s">
        <v>98</v>
      </c>
      <c r="AS708" s="1" t="s">
        <v>13109</v>
      </c>
      <c r="AT708" s="1" t="s">
        <v>100</v>
      </c>
      <c r="AU708" s="1" t="s">
        <v>101</v>
      </c>
      <c r="AV708" s="1">
        <v>78.18</v>
      </c>
      <c r="AW708" s="1"/>
      <c r="AX708" s="1" t="s">
        <v>361</v>
      </c>
      <c r="AY708" s="1" t="s">
        <v>13110</v>
      </c>
      <c r="AZ708" s="1" t="s">
        <v>169</v>
      </c>
      <c r="BA708" s="1" t="s">
        <v>506</v>
      </c>
      <c r="BB708" s="1">
        <v>71.9</v>
      </c>
      <c r="BC708" s="1">
        <v>7.94</v>
      </c>
      <c r="BD708" s="1"/>
      <c r="BE708" s="1"/>
      <c r="BF708" s="1"/>
      <c r="BG708" s="1"/>
      <c r="BH708" s="1"/>
      <c r="BI708" s="1"/>
      <c r="BJ708" s="1" t="s">
        <v>13111</v>
      </c>
      <c r="BK708" s="1"/>
      <c r="BL708" s="1"/>
      <c r="BM708" s="1" t="s">
        <v>13112</v>
      </c>
      <c r="BN708" s="1">
        <v>14</v>
      </c>
      <c r="BO708" s="1" t="s">
        <v>13113</v>
      </c>
      <c r="BP708" s="1" t="str">
        <f>HYPERLINK("https://nconnect.nicmar.ac.in/storage/profile/ProfilePhoto_P25700672_847361.jpg","Download")</f>
        <v>0</v>
      </c>
      <c r="BQ708" s="3"/>
      <c r="BR708" s="3"/>
    </row>
    <row r="709" spans="1:70">
      <c r="A709" s="1" t="s">
        <v>70</v>
      </c>
      <c r="B709" s="1" t="s">
        <v>1269</v>
      </c>
      <c r="C709" s="1" t="s">
        <v>13114</v>
      </c>
      <c r="D709" s="1" t="s">
        <v>13115</v>
      </c>
      <c r="E709" s="1" t="s">
        <v>13116</v>
      </c>
      <c r="F709" s="1" t="s">
        <v>3304</v>
      </c>
      <c r="G709" s="1" t="s">
        <v>13117</v>
      </c>
      <c r="H709" s="1" t="s">
        <v>13118</v>
      </c>
      <c r="I709" s="1" t="s">
        <v>13119</v>
      </c>
      <c r="J709" s="1">
        <v>6303184412</v>
      </c>
      <c r="K709" s="1" t="s">
        <v>79</v>
      </c>
      <c r="L709" s="1" t="s">
        <v>13120</v>
      </c>
      <c r="M709" s="1" t="s">
        <v>81</v>
      </c>
      <c r="N709" s="1" t="s">
        <v>10995</v>
      </c>
      <c r="O709" s="1"/>
      <c r="P709" s="1" t="s">
        <v>1323</v>
      </c>
      <c r="Q709" s="1" t="s">
        <v>13121</v>
      </c>
      <c r="R709" s="1" t="s">
        <v>13122</v>
      </c>
      <c r="S709" s="1">
        <v>9441822789</v>
      </c>
      <c r="T709" s="1" t="s">
        <v>13123</v>
      </c>
      <c r="U709" s="1" t="s">
        <v>13124</v>
      </c>
      <c r="V709" s="1">
        <v>9347909238</v>
      </c>
      <c r="W709" s="1" t="s">
        <v>651</v>
      </c>
      <c r="X709" s="1" t="s">
        <v>13125</v>
      </c>
      <c r="Y709" s="1" t="s">
        <v>4636</v>
      </c>
      <c r="Z709" s="1" t="s">
        <v>276</v>
      </c>
      <c r="AA709" s="1" t="s">
        <v>13125</v>
      </c>
      <c r="AB709" s="1" t="s">
        <v>4636</v>
      </c>
      <c r="AC709" s="1" t="s">
        <v>276</v>
      </c>
      <c r="AD709" s="1">
        <v>8.03</v>
      </c>
      <c r="AE709" s="1" t="s">
        <v>93</v>
      </c>
      <c r="AF709" s="1" t="s">
        <v>2264</v>
      </c>
      <c r="AG709" s="1" t="s">
        <v>13126</v>
      </c>
      <c r="AH709" s="1" t="s">
        <v>456</v>
      </c>
      <c r="AI709" s="1" t="s">
        <v>479</v>
      </c>
      <c r="AJ709" s="1">
        <v>92</v>
      </c>
      <c r="AK709" s="1">
        <v>9.2</v>
      </c>
      <c r="AL709" s="1" t="s">
        <v>1153</v>
      </c>
      <c r="AM709" s="1" t="s">
        <v>13127</v>
      </c>
      <c r="AN709" s="1" t="s">
        <v>383</v>
      </c>
      <c r="AO709" s="1" t="s">
        <v>1065</v>
      </c>
      <c r="AP709" s="1">
        <v>91.3</v>
      </c>
      <c r="AQ709" s="1">
        <v>9.13</v>
      </c>
      <c r="AR709" s="1"/>
      <c r="AS709" s="1"/>
      <c r="AT709" s="1"/>
      <c r="AU709" s="1"/>
      <c r="AV709" s="1"/>
      <c r="AW709" s="1"/>
      <c r="AX709" s="1" t="s">
        <v>1088</v>
      </c>
      <c r="AY709" s="1" t="s">
        <v>5579</v>
      </c>
      <c r="AZ709" s="1" t="s">
        <v>201</v>
      </c>
      <c r="BA709" s="1" t="s">
        <v>590</v>
      </c>
      <c r="BB709" s="1">
        <v>68.4</v>
      </c>
      <c r="BC709" s="1">
        <v>7.59</v>
      </c>
      <c r="BD709" s="1"/>
      <c r="BE709" s="1"/>
      <c r="BF709" s="1"/>
      <c r="BG709" s="1"/>
      <c r="BH709" s="1"/>
      <c r="BI709" s="1"/>
      <c r="BJ709" s="1" t="s">
        <v>13128</v>
      </c>
      <c r="BK709" s="1"/>
      <c r="BL709" s="1"/>
      <c r="BM709" s="1" t="s">
        <v>13129</v>
      </c>
      <c r="BN709" s="1">
        <v>4</v>
      </c>
      <c r="BO709" s="1" t="s">
        <v>13130</v>
      </c>
      <c r="BP709" s="1" t="str">
        <f>HYPERLINK("https://nconnect.nicmar.ac.in/storage/profile/ProfilePhoto_P25700673_596741.jpg","Download")</f>
        <v>0</v>
      </c>
      <c r="BQ709" s="3"/>
      <c r="BR709" s="3"/>
    </row>
    <row r="710" spans="1:70">
      <c r="A710" s="1" t="s">
        <v>70</v>
      </c>
      <c r="B710" s="1" t="s">
        <v>1269</v>
      </c>
      <c r="C710" s="1" t="s">
        <v>13131</v>
      </c>
      <c r="D710" s="1" t="s">
        <v>2896</v>
      </c>
      <c r="E710" s="1" t="s">
        <v>1455</v>
      </c>
      <c r="F710" s="1" t="s">
        <v>3911</v>
      </c>
      <c r="G710" s="1" t="s">
        <v>13132</v>
      </c>
      <c r="H710" s="1" t="s">
        <v>13133</v>
      </c>
      <c r="I710" s="1" t="s">
        <v>13134</v>
      </c>
      <c r="J710" s="1">
        <v>7977681533</v>
      </c>
      <c r="K710" s="1" t="s">
        <v>79</v>
      </c>
      <c r="L710" s="1" t="s">
        <v>13135</v>
      </c>
      <c r="M710" s="1" t="s">
        <v>81</v>
      </c>
      <c r="N710" s="1" t="s">
        <v>2029</v>
      </c>
      <c r="O710" s="1"/>
      <c r="P710" s="1" t="s">
        <v>1278</v>
      </c>
      <c r="Q710" s="1" t="s">
        <v>13136</v>
      </c>
      <c r="R710" s="1" t="s">
        <v>13137</v>
      </c>
      <c r="S710" s="1">
        <v>9594991665</v>
      </c>
      <c r="T710" s="1" t="s">
        <v>763</v>
      </c>
      <c r="U710" s="1" t="s">
        <v>13138</v>
      </c>
      <c r="V710" s="1">
        <v>7666209049</v>
      </c>
      <c r="W710" s="1" t="s">
        <v>156</v>
      </c>
      <c r="X710" s="1" t="s">
        <v>13139</v>
      </c>
      <c r="Y710" s="1" t="s">
        <v>766</v>
      </c>
      <c r="Z710" s="1" t="s">
        <v>92</v>
      </c>
      <c r="AA710" s="1" t="s">
        <v>13139</v>
      </c>
      <c r="AB710" s="1" t="s">
        <v>766</v>
      </c>
      <c r="AC710" s="1" t="s">
        <v>92</v>
      </c>
      <c r="AD710" s="1">
        <v>8.52</v>
      </c>
      <c r="AE710" s="1" t="s">
        <v>93</v>
      </c>
      <c r="AF710" s="1" t="s">
        <v>13140</v>
      </c>
      <c r="AG710" s="1" t="s">
        <v>160</v>
      </c>
      <c r="AH710" s="1" t="s">
        <v>281</v>
      </c>
      <c r="AI710" s="1" t="s">
        <v>409</v>
      </c>
      <c r="AJ710" s="1">
        <v>74.6</v>
      </c>
      <c r="AK710" s="1"/>
      <c r="AL710" s="1"/>
      <c r="AM710" s="1"/>
      <c r="AN710" s="1"/>
      <c r="AO710" s="1"/>
      <c r="AP710" s="1"/>
      <c r="AQ710" s="1"/>
      <c r="AR710" s="1" t="s">
        <v>98</v>
      </c>
      <c r="AS710" s="1" t="s">
        <v>13141</v>
      </c>
      <c r="AT710" s="1" t="s">
        <v>409</v>
      </c>
      <c r="AU710" s="1" t="s">
        <v>2690</v>
      </c>
      <c r="AV710" s="1">
        <v>73.63</v>
      </c>
      <c r="AW710" s="1"/>
      <c r="AX710" s="1" t="s">
        <v>253</v>
      </c>
      <c r="AY710" s="1" t="s">
        <v>2036</v>
      </c>
      <c r="AZ710" s="1" t="s">
        <v>2690</v>
      </c>
      <c r="BA710" s="1" t="s">
        <v>1584</v>
      </c>
      <c r="BB710" s="1">
        <v>70.52</v>
      </c>
      <c r="BC710" s="1">
        <v>7.77</v>
      </c>
      <c r="BD710" s="1"/>
      <c r="BE710" s="1"/>
      <c r="BF710" s="1"/>
      <c r="BG710" s="1"/>
      <c r="BH710" s="1"/>
      <c r="BI710" s="1"/>
      <c r="BJ710" s="1" t="s">
        <v>255</v>
      </c>
      <c r="BK710" s="1"/>
      <c r="BL710" s="1"/>
      <c r="BM710" s="1" t="s">
        <v>13142</v>
      </c>
      <c r="BN710" s="1">
        <v>9</v>
      </c>
      <c r="BO710" s="1"/>
      <c r="BP710" s="1" t="str">
        <f>HYPERLINK("https://nconnect.nicmar.ac.in/storage/profile/ProfilePhoto_P25700674_179648.jpg","Download")</f>
        <v>0</v>
      </c>
      <c r="BQ710" s="3"/>
      <c r="BR710" s="3"/>
    </row>
    <row r="711" spans="1:70">
      <c r="A711" s="1" t="s">
        <v>70</v>
      </c>
      <c r="B711" s="1" t="s">
        <v>1269</v>
      </c>
      <c r="C711" s="1" t="s">
        <v>13143</v>
      </c>
      <c r="D711" s="1" t="s">
        <v>13144</v>
      </c>
      <c r="E711" s="1" t="s">
        <v>2767</v>
      </c>
      <c r="F711" s="1" t="s">
        <v>1680</v>
      </c>
      <c r="G711" s="1" t="s">
        <v>13145</v>
      </c>
      <c r="H711" s="1" t="s">
        <v>13146</v>
      </c>
      <c r="I711" s="1" t="s">
        <v>13147</v>
      </c>
      <c r="J711" s="1">
        <v>9940971788</v>
      </c>
      <c r="K711" s="1" t="s">
        <v>79</v>
      </c>
      <c r="L711" s="1" t="s">
        <v>13148</v>
      </c>
      <c r="M711" s="1" t="s">
        <v>81</v>
      </c>
      <c r="N711" s="1" t="s">
        <v>13149</v>
      </c>
      <c r="O711" s="1"/>
      <c r="P711" s="1" t="s">
        <v>1323</v>
      </c>
      <c r="Q711" s="1" t="s">
        <v>13150</v>
      </c>
      <c r="R711" s="1" t="s">
        <v>13151</v>
      </c>
      <c r="S711" s="1">
        <v>9842348001</v>
      </c>
      <c r="T711" s="1" t="s">
        <v>13152</v>
      </c>
      <c r="U711" s="1" t="s">
        <v>13153</v>
      </c>
      <c r="V711" s="1">
        <v>9489003506</v>
      </c>
      <c r="W711" s="1" t="s">
        <v>651</v>
      </c>
      <c r="X711" s="1" t="s">
        <v>13154</v>
      </c>
      <c r="Y711" s="1" t="s">
        <v>13155</v>
      </c>
      <c r="Z711" s="1" t="s">
        <v>1377</v>
      </c>
      <c r="AA711" s="1" t="s">
        <v>13154</v>
      </c>
      <c r="AB711" s="1" t="s">
        <v>13155</v>
      </c>
      <c r="AC711" s="1" t="s">
        <v>1377</v>
      </c>
      <c r="AD711" s="1">
        <v>8.02</v>
      </c>
      <c r="AE711" s="1" t="s">
        <v>93</v>
      </c>
      <c r="AF711" s="1" t="s">
        <v>13156</v>
      </c>
      <c r="AG711" s="1" t="s">
        <v>12153</v>
      </c>
      <c r="AH711" s="1" t="s">
        <v>503</v>
      </c>
      <c r="AI711" s="1" t="s">
        <v>456</v>
      </c>
      <c r="AJ711" s="1">
        <v>88</v>
      </c>
      <c r="AK711" s="1"/>
      <c r="AL711" s="1" t="s">
        <v>13156</v>
      </c>
      <c r="AM711" s="1" t="s">
        <v>12153</v>
      </c>
      <c r="AN711" s="1" t="s">
        <v>678</v>
      </c>
      <c r="AO711" s="1" t="s">
        <v>281</v>
      </c>
      <c r="AP711" s="1">
        <v>70.92</v>
      </c>
      <c r="AQ711" s="1"/>
      <c r="AR711" s="1"/>
      <c r="AS711" s="1"/>
      <c r="AT711" s="1"/>
      <c r="AU711" s="1"/>
      <c r="AV711" s="1"/>
      <c r="AW711" s="1"/>
      <c r="AX711" s="1" t="s">
        <v>1381</v>
      </c>
      <c r="AY711" s="1" t="s">
        <v>13157</v>
      </c>
      <c r="AZ711" s="1" t="s">
        <v>169</v>
      </c>
      <c r="BA711" s="1" t="s">
        <v>590</v>
      </c>
      <c r="BB711" s="1">
        <v>71.6</v>
      </c>
      <c r="BC711" s="1"/>
      <c r="BD711" s="1"/>
      <c r="BE711" s="1"/>
      <c r="BF711" s="1"/>
      <c r="BG711" s="1"/>
      <c r="BH711" s="1"/>
      <c r="BI711" s="1"/>
      <c r="BJ711" s="1" t="s">
        <v>13158</v>
      </c>
      <c r="BK711" s="1" t="s">
        <v>13159</v>
      </c>
      <c r="BL711" s="1" t="s">
        <v>1629</v>
      </c>
      <c r="BM711" s="1" t="s">
        <v>13160</v>
      </c>
      <c r="BN711" s="1">
        <v>26</v>
      </c>
      <c r="BO711" s="1"/>
      <c r="BP711" s="1" t="str">
        <f>HYPERLINK("https://nconnect.nicmar.ac.in/storage/profile/ProfilePhoto_P25700675_971354.jpg","Download")</f>
        <v>0</v>
      </c>
      <c r="BQ711" s="3"/>
      <c r="BR711" s="3"/>
    </row>
    <row r="712" spans="1:70">
      <c r="A712" s="1" t="s">
        <v>70</v>
      </c>
      <c r="B712" s="1" t="s">
        <v>1269</v>
      </c>
      <c r="C712" s="1" t="s">
        <v>13161</v>
      </c>
      <c r="D712" s="1" t="s">
        <v>13162</v>
      </c>
      <c r="E712" s="1" t="s">
        <v>13163</v>
      </c>
      <c r="F712" s="1" t="s">
        <v>13164</v>
      </c>
      <c r="G712" s="1" t="s">
        <v>13165</v>
      </c>
      <c r="H712" s="1" t="s">
        <v>13166</v>
      </c>
      <c r="I712" s="1" t="s">
        <v>13167</v>
      </c>
      <c r="J712" s="1">
        <v>7249887027</v>
      </c>
      <c r="K712" s="1" t="s">
        <v>79</v>
      </c>
      <c r="L712" s="1" t="s">
        <v>13168</v>
      </c>
      <c r="M712" s="1" t="s">
        <v>81</v>
      </c>
      <c r="N712" s="1" t="s">
        <v>6122</v>
      </c>
      <c r="O712" s="1"/>
      <c r="P712" s="1" t="s">
        <v>1323</v>
      </c>
      <c r="Q712" s="1" t="s">
        <v>13169</v>
      </c>
      <c r="R712" s="1" t="s">
        <v>13170</v>
      </c>
      <c r="S712" s="1">
        <v>9822630674</v>
      </c>
      <c r="T712" s="1" t="s">
        <v>154</v>
      </c>
      <c r="U712" s="1" t="s">
        <v>13171</v>
      </c>
      <c r="V712" s="1">
        <v>8275929100</v>
      </c>
      <c r="W712" s="1" t="s">
        <v>156</v>
      </c>
      <c r="X712" s="1" t="s">
        <v>13172</v>
      </c>
      <c r="Y712" s="1" t="s">
        <v>5937</v>
      </c>
      <c r="Z712" s="1" t="s">
        <v>92</v>
      </c>
      <c r="AA712" s="1" t="s">
        <v>13172</v>
      </c>
      <c r="AB712" s="1" t="s">
        <v>5937</v>
      </c>
      <c r="AC712" s="1" t="s">
        <v>92</v>
      </c>
      <c r="AD712" s="1">
        <v>7.49</v>
      </c>
      <c r="AE712" s="1" t="s">
        <v>93</v>
      </c>
      <c r="AF712" s="1" t="s">
        <v>13173</v>
      </c>
      <c r="AG712" s="1" t="s">
        <v>525</v>
      </c>
      <c r="AH712" s="1" t="s">
        <v>101</v>
      </c>
      <c r="AI712" s="1" t="s">
        <v>409</v>
      </c>
      <c r="AJ712" s="1">
        <v>73</v>
      </c>
      <c r="AK712" s="1"/>
      <c r="AL712" s="1" t="s">
        <v>13174</v>
      </c>
      <c r="AM712" s="1" t="s">
        <v>476</v>
      </c>
      <c r="AN712" s="1" t="s">
        <v>228</v>
      </c>
      <c r="AO712" s="1" t="s">
        <v>1712</v>
      </c>
      <c r="AP712" s="1">
        <v>76.33</v>
      </c>
      <c r="AQ712" s="1"/>
      <c r="AR712" s="1"/>
      <c r="AS712" s="1"/>
      <c r="AT712" s="1"/>
      <c r="AU712" s="1"/>
      <c r="AV712" s="1"/>
      <c r="AW712" s="1"/>
      <c r="AX712" s="1" t="s">
        <v>13175</v>
      </c>
      <c r="AY712" s="1" t="s">
        <v>13176</v>
      </c>
      <c r="AZ712" s="1" t="s">
        <v>897</v>
      </c>
      <c r="BA712" s="1" t="s">
        <v>1361</v>
      </c>
      <c r="BB712" s="1">
        <v>60.69</v>
      </c>
      <c r="BC712" s="1"/>
      <c r="BD712" s="1"/>
      <c r="BE712" s="1"/>
      <c r="BF712" s="1"/>
      <c r="BG712" s="1"/>
      <c r="BH712" s="1"/>
      <c r="BI712" s="1"/>
      <c r="BJ712" s="1" t="s">
        <v>13177</v>
      </c>
      <c r="BK712" s="1"/>
      <c r="BL712" s="1"/>
      <c r="BM712" s="1" t="s">
        <v>13178</v>
      </c>
      <c r="BN712" s="1">
        <v>5</v>
      </c>
      <c r="BO712" s="1"/>
      <c r="BP712" s="1" t="str">
        <f>HYPERLINK("https://nconnect.nicmar.ac.in/storage/profile/ProfilePhoto_P25700676_965278.jpg","Download")</f>
        <v>0</v>
      </c>
      <c r="BQ712" s="3"/>
      <c r="BR712" s="3"/>
    </row>
    <row r="713" spans="1:70">
      <c r="A713" s="1" t="s">
        <v>70</v>
      </c>
      <c r="B713" s="1" t="s">
        <v>1269</v>
      </c>
      <c r="C713" s="1" t="s">
        <v>13179</v>
      </c>
      <c r="D713" s="1" t="s">
        <v>12338</v>
      </c>
      <c r="E713" s="1" t="s">
        <v>2485</v>
      </c>
      <c r="F713" s="1" t="s">
        <v>13180</v>
      </c>
      <c r="G713" s="1" t="s">
        <v>13181</v>
      </c>
      <c r="H713" s="1" t="s">
        <v>13182</v>
      </c>
      <c r="I713" s="1" t="s">
        <v>13183</v>
      </c>
      <c r="J713" s="1">
        <v>8983831511</v>
      </c>
      <c r="K713" s="1" t="s">
        <v>79</v>
      </c>
      <c r="L713" s="1" t="s">
        <v>10632</v>
      </c>
      <c r="M713" s="1" t="s">
        <v>81</v>
      </c>
      <c r="N713" s="1" t="s">
        <v>13184</v>
      </c>
      <c r="O713" s="1"/>
      <c r="P713" s="1" t="s">
        <v>1298</v>
      </c>
      <c r="Q713" s="1" t="s">
        <v>13185</v>
      </c>
      <c r="R713" s="1" t="s">
        <v>2485</v>
      </c>
      <c r="S713" s="1">
        <v>9423953511</v>
      </c>
      <c r="T713" s="1" t="s">
        <v>7444</v>
      </c>
      <c r="U713" s="1" t="s">
        <v>1071</v>
      </c>
      <c r="V713" s="1">
        <v>8983831511</v>
      </c>
      <c r="W713" s="1" t="s">
        <v>273</v>
      </c>
      <c r="X713" s="1" t="s">
        <v>13186</v>
      </c>
      <c r="Y713" s="1" t="s">
        <v>304</v>
      </c>
      <c r="Z713" s="1" t="s">
        <v>92</v>
      </c>
      <c r="AA713" s="1" t="s">
        <v>13186</v>
      </c>
      <c r="AB713" s="1" t="s">
        <v>304</v>
      </c>
      <c r="AC713" s="1" t="s">
        <v>92</v>
      </c>
      <c r="AD713" s="1" t="s">
        <v>93</v>
      </c>
      <c r="AE713" s="1" t="s">
        <v>93</v>
      </c>
      <c r="AF713" s="1" t="s">
        <v>13187</v>
      </c>
      <c r="AG713" s="1" t="s">
        <v>13188</v>
      </c>
      <c r="AH713" s="1" t="s">
        <v>161</v>
      </c>
      <c r="AI713" s="1" t="s">
        <v>162</v>
      </c>
      <c r="AJ713" s="1">
        <v>79</v>
      </c>
      <c r="AK713" s="1"/>
      <c r="AL713" s="1" t="s">
        <v>13189</v>
      </c>
      <c r="AM713" s="1" t="s">
        <v>13188</v>
      </c>
      <c r="AN713" s="1" t="s">
        <v>165</v>
      </c>
      <c r="AO713" s="1" t="s">
        <v>166</v>
      </c>
      <c r="AP713" s="1">
        <v>66.31</v>
      </c>
      <c r="AQ713" s="1"/>
      <c r="AR713" s="1"/>
      <c r="AS713" s="1"/>
      <c r="AT713" s="1"/>
      <c r="AU713" s="1"/>
      <c r="AV713" s="1"/>
      <c r="AW713" s="1"/>
      <c r="AX713" s="1" t="s">
        <v>13190</v>
      </c>
      <c r="AY713" s="1" t="s">
        <v>13190</v>
      </c>
      <c r="AZ713" s="1" t="s">
        <v>169</v>
      </c>
      <c r="BA713" s="1" t="s">
        <v>481</v>
      </c>
      <c r="BB713" s="1">
        <v>65.9</v>
      </c>
      <c r="BC713" s="1"/>
      <c r="BD713" s="1"/>
      <c r="BE713" s="1"/>
      <c r="BF713" s="1"/>
      <c r="BG713" s="1"/>
      <c r="BH713" s="1"/>
      <c r="BI713" s="1"/>
      <c r="BJ713" s="1" t="s">
        <v>13191</v>
      </c>
      <c r="BK713" s="1" t="s">
        <v>13192</v>
      </c>
      <c r="BL713" s="1" t="s">
        <v>1561</v>
      </c>
      <c r="BM713" s="1" t="s">
        <v>13193</v>
      </c>
      <c r="BN713" s="1">
        <v>17</v>
      </c>
      <c r="BO713" s="1" t="s">
        <v>13194</v>
      </c>
      <c r="BP713" s="1" t="str">
        <f>HYPERLINK("https://nconnect.nicmar.ac.in/storage/profile/ProfilePhoto_P25700677_147963.jpg","Download")</f>
        <v>0</v>
      </c>
      <c r="BQ713" s="3"/>
      <c r="BR713" s="3"/>
    </row>
    <row r="714" spans="1:70">
      <c r="A714" s="1" t="s">
        <v>70</v>
      </c>
      <c r="B714" s="1" t="s">
        <v>1269</v>
      </c>
      <c r="C714" s="1" t="s">
        <v>13195</v>
      </c>
      <c r="D714" s="1" t="s">
        <v>4009</v>
      </c>
      <c r="E714" s="1" t="s">
        <v>13196</v>
      </c>
      <c r="F714" s="1" t="s">
        <v>13197</v>
      </c>
      <c r="G714" s="1" t="s">
        <v>13198</v>
      </c>
      <c r="H714" s="1" t="s">
        <v>13199</v>
      </c>
      <c r="I714" s="1" t="s">
        <v>13200</v>
      </c>
      <c r="J714" s="1">
        <v>7972934945</v>
      </c>
      <c r="K714" s="1" t="s">
        <v>148</v>
      </c>
      <c r="L714" s="1" t="s">
        <v>6102</v>
      </c>
      <c r="M714" s="1" t="s">
        <v>81</v>
      </c>
      <c r="N714" s="1" t="s">
        <v>8166</v>
      </c>
      <c r="O714" s="1"/>
      <c r="P714" s="1" t="s">
        <v>1278</v>
      </c>
      <c r="Q714" s="1" t="s">
        <v>13201</v>
      </c>
      <c r="R714" s="1" t="s">
        <v>13202</v>
      </c>
      <c r="S714" s="1">
        <v>9922695213</v>
      </c>
      <c r="T714" s="1" t="s">
        <v>496</v>
      </c>
      <c r="U714" s="1" t="s">
        <v>13203</v>
      </c>
      <c r="V714" s="1">
        <v>8087196329</v>
      </c>
      <c r="W714" s="1" t="s">
        <v>122</v>
      </c>
      <c r="X714" s="1" t="s">
        <v>13204</v>
      </c>
      <c r="Y714" s="1" t="s">
        <v>328</v>
      </c>
      <c r="Z714" s="1" t="s">
        <v>92</v>
      </c>
      <c r="AA714" s="1" t="s">
        <v>13204</v>
      </c>
      <c r="AB714" s="1" t="s">
        <v>328</v>
      </c>
      <c r="AC714" s="1" t="s">
        <v>92</v>
      </c>
      <c r="AD714" s="1">
        <v>7.59</v>
      </c>
      <c r="AE714" s="1" t="s">
        <v>93</v>
      </c>
      <c r="AF714" s="1" t="s">
        <v>13205</v>
      </c>
      <c r="AG714" s="1" t="s">
        <v>13206</v>
      </c>
      <c r="AH714" s="1" t="s">
        <v>101</v>
      </c>
      <c r="AI714" s="1" t="s">
        <v>433</v>
      </c>
      <c r="AJ714" s="1">
        <v>66.2</v>
      </c>
      <c r="AK714" s="1"/>
      <c r="AL714" s="1"/>
      <c r="AM714" s="1"/>
      <c r="AN714" s="1"/>
      <c r="AO714" s="1"/>
      <c r="AP714" s="1"/>
      <c r="AQ714" s="1"/>
      <c r="AR714" s="1" t="s">
        <v>434</v>
      </c>
      <c r="AS714" s="1" t="s">
        <v>13207</v>
      </c>
      <c r="AT714" s="1" t="s">
        <v>310</v>
      </c>
      <c r="AU714" s="1" t="s">
        <v>481</v>
      </c>
      <c r="AV714" s="1">
        <v>73.79</v>
      </c>
      <c r="AW714" s="1"/>
      <c r="AX714" s="1" t="s">
        <v>361</v>
      </c>
      <c r="AY714" s="1" t="s">
        <v>13208</v>
      </c>
      <c r="AZ714" s="1" t="s">
        <v>2693</v>
      </c>
      <c r="BA714" s="1" t="s">
        <v>1714</v>
      </c>
      <c r="BB714" s="1">
        <v>66.8</v>
      </c>
      <c r="BC714" s="1">
        <v>7.43</v>
      </c>
      <c r="BD714" s="1"/>
      <c r="BE714" s="1"/>
      <c r="BF714" s="1"/>
      <c r="BG714" s="1"/>
      <c r="BH714" s="1"/>
      <c r="BI714" s="1"/>
      <c r="BJ714" s="1" t="s">
        <v>13209</v>
      </c>
      <c r="BK714" s="1"/>
      <c r="BL714" s="1"/>
      <c r="BM714" s="1" t="s">
        <v>13210</v>
      </c>
      <c r="BN714" s="1">
        <v>17</v>
      </c>
      <c r="BO714" s="1"/>
      <c r="BP714" s="1" t="str">
        <f>HYPERLINK("https://nconnect.nicmar.ac.in/storage/profile/ProfilePhoto_P25700678_436728.jpg","Download")</f>
        <v>0</v>
      </c>
      <c r="BQ714" s="3"/>
      <c r="BR714" s="3"/>
    </row>
    <row r="715" spans="1:70">
      <c r="A715" s="1" t="s">
        <v>70</v>
      </c>
      <c r="B715" s="1" t="s">
        <v>1269</v>
      </c>
      <c r="C715" s="1" t="s">
        <v>13211</v>
      </c>
      <c r="D715" s="1" t="s">
        <v>13212</v>
      </c>
      <c r="E715" s="1" t="s">
        <v>1139</v>
      </c>
      <c r="F715" s="1" t="s">
        <v>13213</v>
      </c>
      <c r="G715" s="1" t="s">
        <v>13214</v>
      </c>
      <c r="H715" s="1" t="s">
        <v>13215</v>
      </c>
      <c r="I715" s="1" t="s">
        <v>13216</v>
      </c>
      <c r="J715" s="1">
        <v>8010366158</v>
      </c>
      <c r="K715" s="1" t="s">
        <v>79</v>
      </c>
      <c r="L715" s="1" t="s">
        <v>13217</v>
      </c>
      <c r="M715" s="1" t="s">
        <v>81</v>
      </c>
      <c r="N715" s="1" t="s">
        <v>9396</v>
      </c>
      <c r="O715" s="1"/>
      <c r="P715" s="1" t="s">
        <v>1278</v>
      </c>
      <c r="Q715" s="1" t="s">
        <v>13218</v>
      </c>
      <c r="R715" s="1" t="s">
        <v>13219</v>
      </c>
      <c r="S715" s="1">
        <v>9423892974</v>
      </c>
      <c r="T715" s="1" t="s">
        <v>763</v>
      </c>
      <c r="U715" s="1" t="s">
        <v>13220</v>
      </c>
      <c r="V715" s="1">
        <v>8767840940</v>
      </c>
      <c r="W715" s="1" t="s">
        <v>156</v>
      </c>
      <c r="X715" s="1" t="s">
        <v>13221</v>
      </c>
      <c r="Y715" s="1" t="s">
        <v>191</v>
      </c>
      <c r="Z715" s="1" t="s">
        <v>92</v>
      </c>
      <c r="AA715" s="1" t="s">
        <v>13221</v>
      </c>
      <c r="AB715" s="1" t="s">
        <v>191</v>
      </c>
      <c r="AC715" s="1" t="s">
        <v>92</v>
      </c>
      <c r="AD715" s="1" t="s">
        <v>93</v>
      </c>
      <c r="AE715" s="1" t="s">
        <v>93</v>
      </c>
      <c r="AF715" s="1" t="s">
        <v>13222</v>
      </c>
      <c r="AG715" s="1" t="s">
        <v>160</v>
      </c>
      <c r="AH715" s="1" t="s">
        <v>101</v>
      </c>
      <c r="AI715" s="1" t="s">
        <v>409</v>
      </c>
      <c r="AJ715" s="1">
        <v>72</v>
      </c>
      <c r="AK715" s="1">
        <v>0</v>
      </c>
      <c r="AL715" s="1" t="s">
        <v>13223</v>
      </c>
      <c r="AM715" s="1" t="s">
        <v>160</v>
      </c>
      <c r="AN715" s="1" t="s">
        <v>699</v>
      </c>
      <c r="AO715" s="1" t="s">
        <v>504</v>
      </c>
      <c r="AP715" s="1">
        <v>80</v>
      </c>
      <c r="AQ715" s="1">
        <v>0</v>
      </c>
      <c r="AR715" s="1"/>
      <c r="AS715" s="1"/>
      <c r="AT715" s="1"/>
      <c r="AU715" s="1"/>
      <c r="AV715" s="1"/>
      <c r="AW715" s="1"/>
      <c r="AX715" s="1" t="s">
        <v>9405</v>
      </c>
      <c r="AY715" s="1" t="s">
        <v>13224</v>
      </c>
      <c r="AZ715" s="1" t="s">
        <v>506</v>
      </c>
      <c r="BA715" s="1" t="s">
        <v>1714</v>
      </c>
      <c r="BB715" s="1">
        <v>73.2</v>
      </c>
      <c r="BC715" s="1">
        <v>8.07</v>
      </c>
      <c r="BD715" s="1"/>
      <c r="BE715" s="1"/>
      <c r="BF715" s="1"/>
      <c r="BG715" s="1"/>
      <c r="BH715" s="1"/>
      <c r="BI715" s="1"/>
      <c r="BJ715" s="1" t="s">
        <v>1715</v>
      </c>
      <c r="BK715" s="1"/>
      <c r="BL715" s="1"/>
      <c r="BM715" s="1"/>
      <c r="BN715" s="1"/>
      <c r="BO715" s="1"/>
      <c r="BP715" s="1" t="str">
        <f>HYPERLINK("https://nconnect.nicmar.ac.in/storage/profile/ProfilePhoto_P25700679_568347.jpg","Download")</f>
        <v>0</v>
      </c>
      <c r="BQ715" s="3"/>
      <c r="BR715" s="3"/>
    </row>
    <row r="716" spans="1:70">
      <c r="A716" s="1" t="s">
        <v>70</v>
      </c>
      <c r="B716" s="1" t="s">
        <v>1269</v>
      </c>
      <c r="C716" s="1" t="s">
        <v>13225</v>
      </c>
      <c r="D716" s="1" t="s">
        <v>13226</v>
      </c>
      <c r="E716" s="1" t="s">
        <v>2129</v>
      </c>
      <c r="F716" s="1" t="s">
        <v>13227</v>
      </c>
      <c r="G716" s="1" t="s">
        <v>13228</v>
      </c>
      <c r="H716" s="1" t="s">
        <v>13229</v>
      </c>
      <c r="I716" s="1" t="s">
        <v>13230</v>
      </c>
      <c r="J716" s="1">
        <v>9880722771</v>
      </c>
      <c r="K716" s="1" t="s">
        <v>79</v>
      </c>
      <c r="L716" s="1" t="s">
        <v>8478</v>
      </c>
      <c r="M716" s="1" t="s">
        <v>81</v>
      </c>
      <c r="N716" s="1" t="s">
        <v>13231</v>
      </c>
      <c r="O716" s="1"/>
      <c r="P716" s="1" t="s">
        <v>1298</v>
      </c>
      <c r="Q716" s="1" t="s">
        <v>13232</v>
      </c>
      <c r="R716" s="1" t="s">
        <v>13233</v>
      </c>
      <c r="S716" s="1">
        <v>9448425872</v>
      </c>
      <c r="T716" s="1" t="s">
        <v>496</v>
      </c>
      <c r="U716" s="1" t="s">
        <v>13234</v>
      </c>
      <c r="V716" s="1">
        <v>9739377993</v>
      </c>
      <c r="W716" s="1" t="s">
        <v>273</v>
      </c>
      <c r="X716" s="1" t="s">
        <v>13235</v>
      </c>
      <c r="Y716" s="1" t="s">
        <v>3827</v>
      </c>
      <c r="Z716" s="1" t="s">
        <v>1084</v>
      </c>
      <c r="AA716" s="1" t="s">
        <v>13235</v>
      </c>
      <c r="AB716" s="1" t="s">
        <v>3827</v>
      </c>
      <c r="AC716" s="1" t="s">
        <v>1084</v>
      </c>
      <c r="AD716" s="1">
        <v>7.54</v>
      </c>
      <c r="AE716" s="1" t="s">
        <v>93</v>
      </c>
      <c r="AF716" s="1" t="s">
        <v>13236</v>
      </c>
      <c r="AG716" s="1" t="s">
        <v>13237</v>
      </c>
      <c r="AH716" s="1" t="s">
        <v>479</v>
      </c>
      <c r="AI716" s="1" t="s">
        <v>636</v>
      </c>
      <c r="AJ716" s="1">
        <v>68.16</v>
      </c>
      <c r="AK716" s="1">
        <v>7.17</v>
      </c>
      <c r="AL716" s="1"/>
      <c r="AM716" s="1"/>
      <c r="AN716" s="1"/>
      <c r="AO716" s="1"/>
      <c r="AP716" s="1"/>
      <c r="AQ716" s="1"/>
      <c r="AR716" s="1" t="s">
        <v>434</v>
      </c>
      <c r="AS716" s="1" t="s">
        <v>13238</v>
      </c>
      <c r="AT716" s="1" t="s">
        <v>308</v>
      </c>
      <c r="AU716" s="1" t="s">
        <v>1003</v>
      </c>
      <c r="AV716" s="1">
        <v>62.93</v>
      </c>
      <c r="AW716" s="1">
        <v>6.62</v>
      </c>
      <c r="AX716" s="1" t="s">
        <v>13239</v>
      </c>
      <c r="AY716" s="1" t="s">
        <v>13240</v>
      </c>
      <c r="AZ716" s="1" t="s">
        <v>2693</v>
      </c>
      <c r="BA716" s="1" t="s">
        <v>1361</v>
      </c>
      <c r="BB716" s="1">
        <v>65.7</v>
      </c>
      <c r="BC716" s="1">
        <v>7.32</v>
      </c>
      <c r="BD716" s="1"/>
      <c r="BE716" s="1"/>
      <c r="BF716" s="1"/>
      <c r="BG716" s="1"/>
      <c r="BH716" s="1"/>
      <c r="BI716" s="1"/>
      <c r="BJ716" s="1" t="s">
        <v>13241</v>
      </c>
      <c r="BK716" s="1"/>
      <c r="BL716" s="1"/>
      <c r="BM716" s="1" t="s">
        <v>13242</v>
      </c>
      <c r="BN716" s="1">
        <v>16</v>
      </c>
      <c r="BO716" s="1" t="s">
        <v>13243</v>
      </c>
      <c r="BP716" s="1" t="str">
        <f>HYPERLINK("https://nconnect.nicmar.ac.in/storage/profile/ProfilePhoto_P25700680_758621.jpg","Download")</f>
        <v>0</v>
      </c>
      <c r="BQ716" s="3"/>
      <c r="BR716" s="3"/>
    </row>
    <row r="717" spans="1:70">
      <c r="A717" s="1" t="s">
        <v>70</v>
      </c>
      <c r="B717" s="1" t="s">
        <v>1269</v>
      </c>
      <c r="C717" s="1" t="s">
        <v>13244</v>
      </c>
      <c r="D717" s="1" t="s">
        <v>1965</v>
      </c>
      <c r="E717" s="1" t="s">
        <v>13245</v>
      </c>
      <c r="F717" s="1" t="s">
        <v>13246</v>
      </c>
      <c r="G717" s="1" t="s">
        <v>13247</v>
      </c>
      <c r="H717" s="1" t="s">
        <v>13248</v>
      </c>
      <c r="I717" s="1" t="s">
        <v>13249</v>
      </c>
      <c r="J717" s="1">
        <v>9307961904</v>
      </c>
      <c r="K717" s="1" t="s">
        <v>79</v>
      </c>
      <c r="L717" s="1" t="s">
        <v>13250</v>
      </c>
      <c r="M717" s="1" t="s">
        <v>81</v>
      </c>
      <c r="N717" s="1" t="s">
        <v>1765</v>
      </c>
      <c r="O717" s="1"/>
      <c r="P717" s="1" t="s">
        <v>1278</v>
      </c>
      <c r="Q717" s="1" t="s">
        <v>13251</v>
      </c>
      <c r="R717" s="1" t="s">
        <v>13245</v>
      </c>
      <c r="S717" s="1">
        <v>9623816798</v>
      </c>
      <c r="T717" s="1" t="s">
        <v>13252</v>
      </c>
      <c r="U717" s="1" t="s">
        <v>4302</v>
      </c>
      <c r="V717" s="1">
        <v>7350062451</v>
      </c>
      <c r="W717" s="1" t="s">
        <v>156</v>
      </c>
      <c r="X717" s="1" t="s">
        <v>13253</v>
      </c>
      <c r="Y717" s="1" t="s">
        <v>191</v>
      </c>
      <c r="Z717" s="1" t="s">
        <v>92</v>
      </c>
      <c r="AA717" s="1" t="s">
        <v>13253</v>
      </c>
      <c r="AB717" s="1" t="s">
        <v>191</v>
      </c>
      <c r="AC717" s="1" t="s">
        <v>92</v>
      </c>
      <c r="AD717" s="1">
        <v>8.95</v>
      </c>
      <c r="AE717" s="1" t="s">
        <v>93</v>
      </c>
      <c r="AF717" s="1" t="s">
        <v>13254</v>
      </c>
      <c r="AG717" s="1" t="s">
        <v>8066</v>
      </c>
      <c r="AH717" s="1" t="s">
        <v>161</v>
      </c>
      <c r="AI717" s="1" t="s">
        <v>162</v>
      </c>
      <c r="AJ717" s="1">
        <v>86</v>
      </c>
      <c r="AK717" s="1"/>
      <c r="AL717" s="1"/>
      <c r="AM717" s="1"/>
      <c r="AN717" s="1"/>
      <c r="AO717" s="1"/>
      <c r="AP717" s="1"/>
      <c r="AQ717" s="1"/>
      <c r="AR717" s="1" t="s">
        <v>98</v>
      </c>
      <c r="AS717" s="1" t="s">
        <v>8557</v>
      </c>
      <c r="AT717" s="1" t="s">
        <v>733</v>
      </c>
      <c r="AU717" s="1" t="s">
        <v>308</v>
      </c>
      <c r="AV717" s="1">
        <v>84.33</v>
      </c>
      <c r="AW717" s="1"/>
      <c r="AX717" s="1" t="s">
        <v>361</v>
      </c>
      <c r="AY717" s="1" t="s">
        <v>13255</v>
      </c>
      <c r="AZ717" s="1" t="s">
        <v>433</v>
      </c>
      <c r="BA717" s="1" t="s">
        <v>284</v>
      </c>
      <c r="BB717" s="1">
        <v>83.68</v>
      </c>
      <c r="BC717" s="1">
        <v>9.51</v>
      </c>
      <c r="BD717" s="1"/>
      <c r="BE717" s="1"/>
      <c r="BF717" s="1"/>
      <c r="BG717" s="1"/>
      <c r="BH717" s="1"/>
      <c r="BI717" s="1"/>
      <c r="BJ717" s="1" t="s">
        <v>13256</v>
      </c>
      <c r="BK717" s="1"/>
      <c r="BL717" s="1"/>
      <c r="BM717" s="1" t="s">
        <v>13257</v>
      </c>
      <c r="BN717" s="1">
        <v>8</v>
      </c>
      <c r="BO717" s="1" t="s">
        <v>13258</v>
      </c>
      <c r="BP717" s="1" t="str">
        <f>HYPERLINK("https://nconnect.nicmar.ac.in/storage/profile/ProfilePhoto_P25700681_619574.jpg","Download")</f>
        <v>0</v>
      </c>
      <c r="BQ717" s="3"/>
      <c r="BR717" s="3"/>
    </row>
    <row r="718" spans="1:70">
      <c r="A718" s="1" t="s">
        <v>70</v>
      </c>
      <c r="B718" s="1" t="s">
        <v>1269</v>
      </c>
      <c r="C718" s="1" t="s">
        <v>13259</v>
      </c>
      <c r="D718" s="1" t="s">
        <v>13260</v>
      </c>
      <c r="E718" s="1" t="s">
        <v>10087</v>
      </c>
      <c r="F718" s="1" t="s">
        <v>13261</v>
      </c>
      <c r="G718" s="1" t="s">
        <v>13262</v>
      </c>
      <c r="H718" s="1" t="s">
        <v>13263</v>
      </c>
      <c r="I718" s="1" t="s">
        <v>13264</v>
      </c>
      <c r="J718" s="1">
        <v>9481655061</v>
      </c>
      <c r="K718" s="1" t="s">
        <v>79</v>
      </c>
      <c r="L718" s="1" t="s">
        <v>1531</v>
      </c>
      <c r="M718" s="1" t="s">
        <v>81</v>
      </c>
      <c r="N718" s="1" t="s">
        <v>13265</v>
      </c>
      <c r="O718" s="1"/>
      <c r="P718" s="1" t="s">
        <v>1278</v>
      </c>
      <c r="Q718" s="1" t="s">
        <v>13266</v>
      </c>
      <c r="R718" s="1" t="s">
        <v>13267</v>
      </c>
      <c r="S718" s="1">
        <v>9900028348</v>
      </c>
      <c r="T718" s="1" t="s">
        <v>496</v>
      </c>
      <c r="U718" s="1" t="s">
        <v>13268</v>
      </c>
      <c r="V718" s="1">
        <v>8105088699</v>
      </c>
      <c r="W718" s="1" t="s">
        <v>651</v>
      </c>
      <c r="X718" s="1" t="s">
        <v>13269</v>
      </c>
      <c r="Y718" s="1" t="s">
        <v>1083</v>
      </c>
      <c r="Z718" s="1" t="s">
        <v>1084</v>
      </c>
      <c r="AA718" s="1" t="s">
        <v>13269</v>
      </c>
      <c r="AB718" s="1" t="s">
        <v>1083</v>
      </c>
      <c r="AC718" s="1" t="s">
        <v>1084</v>
      </c>
      <c r="AD718" s="1">
        <v>7.9</v>
      </c>
      <c r="AE718" s="1" t="s">
        <v>93</v>
      </c>
      <c r="AF718" s="1" t="s">
        <v>13270</v>
      </c>
      <c r="AG718" s="1" t="s">
        <v>939</v>
      </c>
      <c r="AH718" s="1" t="s">
        <v>165</v>
      </c>
      <c r="AI718" s="1" t="s">
        <v>166</v>
      </c>
      <c r="AJ718" s="1">
        <v>77.2</v>
      </c>
      <c r="AK718" s="1"/>
      <c r="AL718" s="1" t="s">
        <v>13271</v>
      </c>
      <c r="AM718" s="1" t="s">
        <v>2056</v>
      </c>
      <c r="AN718" s="1" t="s">
        <v>433</v>
      </c>
      <c r="AO718" s="1" t="s">
        <v>173</v>
      </c>
      <c r="AP718" s="1">
        <v>76.3</v>
      </c>
      <c r="AQ718" s="1"/>
      <c r="AR718" s="1"/>
      <c r="AS718" s="1"/>
      <c r="AT718" s="1"/>
      <c r="AU718" s="1"/>
      <c r="AV718" s="1"/>
      <c r="AW718" s="1"/>
      <c r="AX718" s="1" t="s">
        <v>1519</v>
      </c>
      <c r="AY718" s="1" t="s">
        <v>13272</v>
      </c>
      <c r="AZ718" s="1" t="s">
        <v>228</v>
      </c>
      <c r="BA718" s="1" t="s">
        <v>1361</v>
      </c>
      <c r="BB718" s="1">
        <v>62.8</v>
      </c>
      <c r="BC718" s="1"/>
      <c r="BD718" s="1"/>
      <c r="BE718" s="1"/>
      <c r="BF718" s="1"/>
      <c r="BG718" s="1"/>
      <c r="BH718" s="1"/>
      <c r="BI718" s="1"/>
      <c r="BJ718" s="1" t="s">
        <v>13273</v>
      </c>
      <c r="BK718" s="1"/>
      <c r="BL718" s="1"/>
      <c r="BM718" s="1" t="s">
        <v>13274</v>
      </c>
      <c r="BN718" s="1">
        <v>23</v>
      </c>
      <c r="BO718" s="1"/>
      <c r="BP718" s="1" t="str">
        <f>HYPERLINK("https://nconnect.nicmar.ac.in/storage/profile/ProfilePhoto_P25700682_615498.jpg","Download")</f>
        <v>0</v>
      </c>
      <c r="BQ718" s="3"/>
      <c r="BR718" s="3"/>
    </row>
    <row r="719" spans="1:70">
      <c r="A719" s="1" t="s">
        <v>70</v>
      </c>
      <c r="B719" s="1" t="s">
        <v>1269</v>
      </c>
      <c r="C719" s="1" t="s">
        <v>13275</v>
      </c>
      <c r="D719" s="1" t="s">
        <v>13276</v>
      </c>
      <c r="E719" s="1" t="s">
        <v>3231</v>
      </c>
      <c r="F719" s="1" t="s">
        <v>2024</v>
      </c>
      <c r="G719" s="1" t="s">
        <v>13277</v>
      </c>
      <c r="H719" s="1" t="s">
        <v>13278</v>
      </c>
      <c r="I719" s="1" t="s">
        <v>13279</v>
      </c>
      <c r="J719" s="1">
        <v>8551899733</v>
      </c>
      <c r="K719" s="1" t="s">
        <v>79</v>
      </c>
      <c r="L719" s="1" t="s">
        <v>4236</v>
      </c>
      <c r="M719" s="1" t="s">
        <v>81</v>
      </c>
      <c r="N719" s="1" t="s">
        <v>12733</v>
      </c>
      <c r="O719" s="1"/>
      <c r="P719" s="1" t="s">
        <v>1298</v>
      </c>
      <c r="Q719" s="1" t="s">
        <v>13280</v>
      </c>
      <c r="R719" s="1" t="s">
        <v>13281</v>
      </c>
      <c r="S719" s="1">
        <v>7972740452</v>
      </c>
      <c r="T719" s="1" t="s">
        <v>154</v>
      </c>
      <c r="U719" s="1" t="s">
        <v>13282</v>
      </c>
      <c r="V719" s="1">
        <v>9049482678</v>
      </c>
      <c r="W719" s="1" t="s">
        <v>156</v>
      </c>
      <c r="X719" s="1" t="s">
        <v>13283</v>
      </c>
      <c r="Y719" s="1" t="s">
        <v>304</v>
      </c>
      <c r="Z719" s="1" t="s">
        <v>92</v>
      </c>
      <c r="AA719" s="1" t="s">
        <v>13284</v>
      </c>
      <c r="AB719" s="1" t="s">
        <v>304</v>
      </c>
      <c r="AC719" s="1" t="s">
        <v>92</v>
      </c>
      <c r="AD719" s="1">
        <v>7.89</v>
      </c>
      <c r="AE719" s="1" t="s">
        <v>93</v>
      </c>
      <c r="AF719" s="1" t="s">
        <v>13285</v>
      </c>
      <c r="AG719" s="1" t="s">
        <v>160</v>
      </c>
      <c r="AH719" s="1" t="s">
        <v>161</v>
      </c>
      <c r="AI719" s="1" t="s">
        <v>162</v>
      </c>
      <c r="AJ719" s="1">
        <v>77</v>
      </c>
      <c r="AK719" s="1">
        <v>0</v>
      </c>
      <c r="AL719" s="1"/>
      <c r="AM719" s="1"/>
      <c r="AN719" s="1"/>
      <c r="AO719" s="1"/>
      <c r="AP719" s="1"/>
      <c r="AQ719" s="1"/>
      <c r="AR719" s="1" t="s">
        <v>434</v>
      </c>
      <c r="AS719" s="1" t="s">
        <v>13286</v>
      </c>
      <c r="AT719" s="1" t="s">
        <v>134</v>
      </c>
      <c r="AU719" s="1" t="s">
        <v>433</v>
      </c>
      <c r="AV719" s="1">
        <v>69.52</v>
      </c>
      <c r="AW719" s="1"/>
      <c r="AX719" s="1" t="s">
        <v>13287</v>
      </c>
      <c r="AY719" s="1" t="s">
        <v>13286</v>
      </c>
      <c r="AZ719" s="1" t="s">
        <v>201</v>
      </c>
      <c r="BA719" s="1" t="s">
        <v>105</v>
      </c>
      <c r="BB719" s="1">
        <v>75.56</v>
      </c>
      <c r="BC719" s="1">
        <v>8.2</v>
      </c>
      <c r="BD719" s="1"/>
      <c r="BE719" s="1"/>
      <c r="BF719" s="1"/>
      <c r="BG719" s="1"/>
      <c r="BH719" s="1"/>
      <c r="BI719" s="1"/>
      <c r="BJ719" s="1" t="s">
        <v>13288</v>
      </c>
      <c r="BK719" s="1" t="s">
        <v>13289</v>
      </c>
      <c r="BL719" s="1" t="s">
        <v>639</v>
      </c>
      <c r="BM719" s="1" t="s">
        <v>13290</v>
      </c>
      <c r="BN719" s="1">
        <v>30</v>
      </c>
      <c r="BO719" s="1" t="s">
        <v>13291</v>
      </c>
      <c r="BP719" s="1" t="str">
        <f>HYPERLINK("https://nconnect.nicmar.ac.in/storage/profile/ProfilePhoto_P25700683_957612.jpg","Download")</f>
        <v>0</v>
      </c>
      <c r="BQ719" s="3"/>
      <c r="BR719" s="3"/>
    </row>
    <row r="720" spans="1:70">
      <c r="A720" s="1" t="s">
        <v>70</v>
      </c>
      <c r="B720" s="1" t="s">
        <v>1269</v>
      </c>
      <c r="C720" s="1" t="s">
        <v>13292</v>
      </c>
      <c r="D720" s="1" t="s">
        <v>13293</v>
      </c>
      <c r="E720" s="1" t="s">
        <v>1680</v>
      </c>
      <c r="F720" s="1" t="s">
        <v>13294</v>
      </c>
      <c r="G720" s="1" t="s">
        <v>13295</v>
      </c>
      <c r="H720" s="1" t="s">
        <v>13296</v>
      </c>
      <c r="I720" s="1" t="s">
        <v>13297</v>
      </c>
      <c r="J720" s="1">
        <v>6238276637</v>
      </c>
      <c r="K720" s="1" t="s">
        <v>79</v>
      </c>
      <c r="L720" s="1" t="s">
        <v>13298</v>
      </c>
      <c r="M720" s="1" t="s">
        <v>81</v>
      </c>
      <c r="N720" s="1" t="s">
        <v>13299</v>
      </c>
      <c r="O720" s="1"/>
      <c r="P720" s="1" t="s">
        <v>1298</v>
      </c>
      <c r="Q720" s="1" t="s">
        <v>13300</v>
      </c>
      <c r="R720" s="1" t="s">
        <v>13301</v>
      </c>
      <c r="S720" s="1">
        <v>9447988464</v>
      </c>
      <c r="T720" s="1" t="s">
        <v>13302</v>
      </c>
      <c r="U720" s="1" t="s">
        <v>13303</v>
      </c>
      <c r="V720" s="1">
        <v>9744754425</v>
      </c>
      <c r="W720" s="1" t="s">
        <v>13304</v>
      </c>
      <c r="X720" s="1" t="s">
        <v>13305</v>
      </c>
      <c r="Y720" s="1" t="s">
        <v>1491</v>
      </c>
      <c r="Z720" s="1" t="s">
        <v>125</v>
      </c>
      <c r="AA720" s="1" t="s">
        <v>13305</v>
      </c>
      <c r="AB720" s="1" t="s">
        <v>1491</v>
      </c>
      <c r="AC720" s="1" t="s">
        <v>125</v>
      </c>
      <c r="AD720" s="1">
        <v>8.68</v>
      </c>
      <c r="AE720" s="1" t="s">
        <v>93</v>
      </c>
      <c r="AF720" s="1" t="s">
        <v>13306</v>
      </c>
      <c r="AG720" s="1" t="s">
        <v>3963</v>
      </c>
      <c r="AH720" s="1" t="s">
        <v>161</v>
      </c>
      <c r="AI720" s="1" t="s">
        <v>527</v>
      </c>
      <c r="AJ720" s="1">
        <v>89.3</v>
      </c>
      <c r="AK720" s="1"/>
      <c r="AL720" s="1" t="s">
        <v>13307</v>
      </c>
      <c r="AM720" s="1" t="s">
        <v>3963</v>
      </c>
      <c r="AN720" s="1" t="s">
        <v>165</v>
      </c>
      <c r="AO720" s="1" t="s">
        <v>166</v>
      </c>
      <c r="AP720" s="1">
        <v>76.8</v>
      </c>
      <c r="AQ720" s="1"/>
      <c r="AR720" s="1"/>
      <c r="AS720" s="1"/>
      <c r="AT720" s="1"/>
      <c r="AU720" s="1"/>
      <c r="AV720" s="1"/>
      <c r="AW720" s="1"/>
      <c r="AX720" s="1" t="s">
        <v>132</v>
      </c>
      <c r="AY720" s="1" t="s">
        <v>13308</v>
      </c>
      <c r="AZ720" s="1" t="s">
        <v>636</v>
      </c>
      <c r="BA720" s="1" t="s">
        <v>2693</v>
      </c>
      <c r="BB720" s="1">
        <v>73</v>
      </c>
      <c r="BC720" s="1">
        <v>7.3</v>
      </c>
      <c r="BD720" s="1"/>
      <c r="BE720" s="1"/>
      <c r="BF720" s="1"/>
      <c r="BG720" s="1"/>
      <c r="BH720" s="1"/>
      <c r="BI720" s="1"/>
      <c r="BJ720" s="1" t="s">
        <v>13309</v>
      </c>
      <c r="BK720" s="1" t="s">
        <v>13310</v>
      </c>
      <c r="BL720" s="1" t="s">
        <v>8345</v>
      </c>
      <c r="BM720" s="1" t="s">
        <v>13311</v>
      </c>
      <c r="BN720" s="1">
        <v>8</v>
      </c>
      <c r="BO720" s="1" t="s">
        <v>13312</v>
      </c>
      <c r="BP720" s="1" t="str">
        <f>HYPERLINK("https://nconnect.nicmar.ac.in/storage/profile/ProfilePhoto_P25700684_186534.jpg","Download")</f>
        <v>0</v>
      </c>
      <c r="BQ720" s="3"/>
      <c r="BR720" s="3"/>
    </row>
    <row r="721" spans="1:70">
      <c r="A721" s="1" t="s">
        <v>70</v>
      </c>
      <c r="B721" s="1" t="s">
        <v>1269</v>
      </c>
      <c r="C721" s="1" t="s">
        <v>13313</v>
      </c>
      <c r="D721" s="1" t="s">
        <v>13314</v>
      </c>
      <c r="E721" s="1" t="s">
        <v>2579</v>
      </c>
      <c r="F721" s="1" t="s">
        <v>2024</v>
      </c>
      <c r="G721" s="1" t="s">
        <v>13315</v>
      </c>
      <c r="H721" s="1" t="s">
        <v>13316</v>
      </c>
      <c r="I721" s="1" t="s">
        <v>13317</v>
      </c>
      <c r="J721" s="1">
        <v>8767503950</v>
      </c>
      <c r="K721" s="1" t="s">
        <v>148</v>
      </c>
      <c r="L721" s="1" t="s">
        <v>13318</v>
      </c>
      <c r="M721" s="1" t="s">
        <v>81</v>
      </c>
      <c r="N721" s="1" t="s">
        <v>860</v>
      </c>
      <c r="O721" s="1"/>
      <c r="P721" s="1" t="s">
        <v>1298</v>
      </c>
      <c r="Q721" s="1" t="s">
        <v>13319</v>
      </c>
      <c r="R721" s="1" t="s">
        <v>2579</v>
      </c>
      <c r="S721" s="1">
        <v>9552221322</v>
      </c>
      <c r="T721" s="1" t="s">
        <v>496</v>
      </c>
      <c r="U721" s="1" t="s">
        <v>6643</v>
      </c>
      <c r="V721" s="1">
        <v>9850372400</v>
      </c>
      <c r="W721" s="1" t="s">
        <v>156</v>
      </c>
      <c r="X721" s="1" t="s">
        <v>13320</v>
      </c>
      <c r="Y721" s="1" t="s">
        <v>6399</v>
      </c>
      <c r="Z721" s="1" t="s">
        <v>92</v>
      </c>
      <c r="AA721" s="1" t="s">
        <v>13320</v>
      </c>
      <c r="AB721" s="1" t="s">
        <v>6399</v>
      </c>
      <c r="AC721" s="1" t="s">
        <v>92</v>
      </c>
      <c r="AD721" s="1">
        <v>9.29</v>
      </c>
      <c r="AE721" s="1" t="s">
        <v>93</v>
      </c>
      <c r="AF721" s="1" t="s">
        <v>13321</v>
      </c>
      <c r="AG721" s="1" t="s">
        <v>13322</v>
      </c>
      <c r="AH721" s="1" t="s">
        <v>281</v>
      </c>
      <c r="AI721" s="1" t="s">
        <v>409</v>
      </c>
      <c r="AJ721" s="1">
        <v>90</v>
      </c>
      <c r="AK721" s="1"/>
      <c r="AL721" s="1" t="s">
        <v>13323</v>
      </c>
      <c r="AM721" s="1" t="s">
        <v>9531</v>
      </c>
      <c r="AN721" s="1" t="s">
        <v>409</v>
      </c>
      <c r="AO721" s="1" t="s">
        <v>504</v>
      </c>
      <c r="AP721" s="1">
        <v>90</v>
      </c>
      <c r="AQ721" s="1"/>
      <c r="AR721" s="1"/>
      <c r="AS721" s="1"/>
      <c r="AT721" s="1"/>
      <c r="AU721" s="1"/>
      <c r="AV721" s="1"/>
      <c r="AW721" s="1"/>
      <c r="AX721" s="1" t="s">
        <v>102</v>
      </c>
      <c r="AY721" s="1" t="s">
        <v>13324</v>
      </c>
      <c r="AZ721" s="1" t="s">
        <v>897</v>
      </c>
      <c r="BA721" s="1" t="s">
        <v>1584</v>
      </c>
      <c r="BB721" s="1">
        <v>82.5</v>
      </c>
      <c r="BC721" s="1">
        <v>8.75</v>
      </c>
      <c r="BD721" s="1"/>
      <c r="BE721" s="1"/>
      <c r="BF721" s="1"/>
      <c r="BG721" s="1"/>
      <c r="BH721" s="1"/>
      <c r="BI721" s="1"/>
      <c r="BJ721" s="1" t="s">
        <v>13325</v>
      </c>
      <c r="BK721" s="1"/>
      <c r="BL721" s="1"/>
      <c r="BM721" s="1" t="s">
        <v>13326</v>
      </c>
      <c r="BN721" s="1">
        <v>21</v>
      </c>
      <c r="BO721" s="1" t="s">
        <v>13327</v>
      </c>
      <c r="BP721" s="1" t="str">
        <f>HYPERLINK("https://nconnect.nicmar.ac.in/storage/profile/ProfilePhoto_P25700685_324561.jpg","Download")</f>
        <v>0</v>
      </c>
      <c r="BQ721" s="3"/>
      <c r="BR721" s="3"/>
    </row>
    <row r="722" spans="1:70">
      <c r="A722" s="1" t="s">
        <v>70</v>
      </c>
      <c r="B722" s="1" t="s">
        <v>1269</v>
      </c>
      <c r="C722" s="1" t="s">
        <v>13328</v>
      </c>
      <c r="D722" s="1" t="s">
        <v>13329</v>
      </c>
      <c r="E722" s="1" t="s">
        <v>5109</v>
      </c>
      <c r="F722" s="1" t="s">
        <v>13330</v>
      </c>
      <c r="G722" s="1" t="s">
        <v>13331</v>
      </c>
      <c r="H722" s="1" t="s">
        <v>13332</v>
      </c>
      <c r="I722" s="1" t="s">
        <v>13333</v>
      </c>
      <c r="J722" s="1">
        <v>8237958132</v>
      </c>
      <c r="K722" s="1" t="s">
        <v>79</v>
      </c>
      <c r="L722" s="1" t="s">
        <v>13334</v>
      </c>
      <c r="M722" s="1" t="s">
        <v>81</v>
      </c>
      <c r="N722" s="1" t="s">
        <v>3236</v>
      </c>
      <c r="O722" s="1"/>
      <c r="P722" s="1" t="s">
        <v>1298</v>
      </c>
      <c r="Q722" s="1" t="s">
        <v>13335</v>
      </c>
      <c r="R722" s="1" t="s">
        <v>13336</v>
      </c>
      <c r="S722" s="1">
        <v>9320612182</v>
      </c>
      <c r="T722" s="1" t="s">
        <v>216</v>
      </c>
      <c r="U722" s="1" t="s">
        <v>13337</v>
      </c>
      <c r="V722" s="1">
        <v>8237445401</v>
      </c>
      <c r="W722" s="1" t="s">
        <v>216</v>
      </c>
      <c r="X722" s="1" t="s">
        <v>13338</v>
      </c>
      <c r="Y722" s="1" t="s">
        <v>766</v>
      </c>
      <c r="Z722" s="1" t="s">
        <v>92</v>
      </c>
      <c r="AA722" s="1" t="s">
        <v>13338</v>
      </c>
      <c r="AB722" s="1" t="s">
        <v>766</v>
      </c>
      <c r="AC722" s="1" t="s">
        <v>92</v>
      </c>
      <c r="AD722" s="1">
        <v>8.59</v>
      </c>
      <c r="AE722" s="1" t="s">
        <v>93</v>
      </c>
      <c r="AF722" s="1" t="s">
        <v>13339</v>
      </c>
      <c r="AG722" s="1" t="s">
        <v>160</v>
      </c>
      <c r="AH722" s="1" t="s">
        <v>96</v>
      </c>
      <c r="AI722" s="1" t="s">
        <v>131</v>
      </c>
      <c r="AJ722" s="1">
        <v>84.2</v>
      </c>
      <c r="AK722" s="1">
        <v>0</v>
      </c>
      <c r="AL722" s="1" t="s">
        <v>13340</v>
      </c>
      <c r="AM722" s="1" t="s">
        <v>160</v>
      </c>
      <c r="AN722" s="1" t="s">
        <v>279</v>
      </c>
      <c r="AO722" s="1" t="s">
        <v>165</v>
      </c>
      <c r="AP722" s="1">
        <v>62.15</v>
      </c>
      <c r="AQ722" s="1">
        <v>0</v>
      </c>
      <c r="AR722" s="1"/>
      <c r="AS722" s="1"/>
      <c r="AT722" s="1"/>
      <c r="AU722" s="1"/>
      <c r="AV722" s="1"/>
      <c r="AW722" s="1"/>
      <c r="AX722" s="1" t="s">
        <v>253</v>
      </c>
      <c r="AY722" s="1" t="s">
        <v>13341</v>
      </c>
      <c r="AZ722" s="1" t="s">
        <v>383</v>
      </c>
      <c r="BA722" s="1" t="s">
        <v>105</v>
      </c>
      <c r="BB722" s="1">
        <v>64.2</v>
      </c>
      <c r="BC722" s="1">
        <v>7.09</v>
      </c>
      <c r="BD722" s="1"/>
      <c r="BE722" s="1"/>
      <c r="BF722" s="1"/>
      <c r="BG722" s="1"/>
      <c r="BH722" s="1"/>
      <c r="BI722" s="1"/>
      <c r="BJ722" s="1" t="s">
        <v>255</v>
      </c>
      <c r="BK722" s="1" t="s">
        <v>13342</v>
      </c>
      <c r="BL722" s="1" t="s">
        <v>2384</v>
      </c>
      <c r="BM722" s="1" t="s">
        <v>13343</v>
      </c>
      <c r="BN722" s="1">
        <v>8</v>
      </c>
      <c r="BO722" s="1"/>
      <c r="BP722" s="1" t="str">
        <f>HYPERLINK("https://nconnect.nicmar.ac.in/storage/profile/ProfilePhoto_P25700686_647582.jpg","Download")</f>
        <v>0</v>
      </c>
      <c r="BQ722" s="3"/>
      <c r="BR722" s="3"/>
    </row>
    <row r="723" spans="1:70">
      <c r="A723" s="1" t="s">
        <v>70</v>
      </c>
      <c r="B723" s="1" t="s">
        <v>1269</v>
      </c>
      <c r="C723" s="1" t="s">
        <v>13344</v>
      </c>
      <c r="D723" s="1" t="s">
        <v>234</v>
      </c>
      <c r="E723" s="1" t="s">
        <v>13345</v>
      </c>
      <c r="F723" s="1" t="s">
        <v>13346</v>
      </c>
      <c r="G723" s="1" t="s">
        <v>13347</v>
      </c>
      <c r="H723" s="1" t="s">
        <v>13348</v>
      </c>
      <c r="I723" s="1" t="s">
        <v>13349</v>
      </c>
      <c r="J723" s="1">
        <v>7218418264</v>
      </c>
      <c r="K723" s="1" t="s">
        <v>79</v>
      </c>
      <c r="L723" s="1" t="s">
        <v>13350</v>
      </c>
      <c r="M723" s="1" t="s">
        <v>81</v>
      </c>
      <c r="N723" s="1" t="s">
        <v>1765</v>
      </c>
      <c r="O723" s="1"/>
      <c r="P723" s="1" t="s">
        <v>1298</v>
      </c>
      <c r="Q723" s="1" t="s">
        <v>13351</v>
      </c>
      <c r="R723" s="1" t="s">
        <v>13352</v>
      </c>
      <c r="S723" s="1">
        <v>9503011061</v>
      </c>
      <c r="T723" s="1" t="s">
        <v>13353</v>
      </c>
      <c r="U723" s="1" t="s">
        <v>13354</v>
      </c>
      <c r="V723" s="1">
        <v>8390005616</v>
      </c>
      <c r="W723" s="1" t="s">
        <v>156</v>
      </c>
      <c r="X723" s="1" t="s">
        <v>13355</v>
      </c>
      <c r="Y723" s="1" t="s">
        <v>246</v>
      </c>
      <c r="Z723" s="1" t="s">
        <v>92</v>
      </c>
      <c r="AA723" s="1" t="s">
        <v>13355</v>
      </c>
      <c r="AB723" s="1" t="s">
        <v>246</v>
      </c>
      <c r="AC723" s="1" t="s">
        <v>92</v>
      </c>
      <c r="AD723" s="1" t="s">
        <v>93</v>
      </c>
      <c r="AE723" s="1" t="s">
        <v>93</v>
      </c>
      <c r="AF723" s="1" t="s">
        <v>13356</v>
      </c>
      <c r="AG723" s="1" t="s">
        <v>13357</v>
      </c>
      <c r="AH723" s="1" t="s">
        <v>998</v>
      </c>
      <c r="AI723" s="1" t="s">
        <v>999</v>
      </c>
      <c r="AJ723" s="1">
        <v>67.8</v>
      </c>
      <c r="AK723" s="1"/>
      <c r="AL723" s="1" t="s">
        <v>13358</v>
      </c>
      <c r="AM723" s="1" t="s">
        <v>13357</v>
      </c>
      <c r="AN723" s="1" t="s">
        <v>161</v>
      </c>
      <c r="AO723" s="1" t="s">
        <v>1001</v>
      </c>
      <c r="AP723" s="1">
        <v>60</v>
      </c>
      <c r="AQ723" s="1">
        <v>0</v>
      </c>
      <c r="AR723" s="1"/>
      <c r="AS723" s="1"/>
      <c r="AT723" s="1"/>
      <c r="AU723" s="1"/>
      <c r="AV723" s="1"/>
      <c r="AW723" s="1"/>
      <c r="AX723" s="1" t="s">
        <v>361</v>
      </c>
      <c r="AY723" s="1" t="s">
        <v>13359</v>
      </c>
      <c r="AZ723" s="1" t="s">
        <v>134</v>
      </c>
      <c r="BA723" s="1" t="s">
        <v>506</v>
      </c>
      <c r="BB723" s="1">
        <v>61.94</v>
      </c>
      <c r="BC723" s="1">
        <v>6.96</v>
      </c>
      <c r="BD723" s="1"/>
      <c r="BE723" s="1"/>
      <c r="BF723" s="1"/>
      <c r="BG723" s="1"/>
      <c r="BH723" s="1"/>
      <c r="BI723" s="1"/>
      <c r="BJ723" s="1" t="s">
        <v>8037</v>
      </c>
      <c r="BK723" s="1"/>
      <c r="BL723" s="1"/>
      <c r="BM723" s="1" t="s">
        <v>13360</v>
      </c>
      <c r="BN723" s="1">
        <v>121</v>
      </c>
      <c r="BO723" s="1"/>
      <c r="BP723" s="1" t="str">
        <f>HYPERLINK("https://nconnect.nicmar.ac.in/storage/profile/ProfilePhoto_P25700687_475918.jpg","Download")</f>
        <v>0</v>
      </c>
      <c r="BQ723" s="3"/>
      <c r="BR723" s="3"/>
    </row>
    <row r="724" spans="1:70">
      <c r="A724" s="1" t="s">
        <v>70</v>
      </c>
      <c r="B724" s="1" t="s">
        <v>1269</v>
      </c>
      <c r="C724" s="1" t="s">
        <v>13361</v>
      </c>
      <c r="D724" s="1" t="s">
        <v>2896</v>
      </c>
      <c r="E724" s="1" t="s">
        <v>4134</v>
      </c>
      <c r="F724" s="1" t="s">
        <v>13346</v>
      </c>
      <c r="G724" s="1" t="s">
        <v>13362</v>
      </c>
      <c r="H724" s="1" t="s">
        <v>13363</v>
      </c>
      <c r="I724" s="1" t="s">
        <v>13364</v>
      </c>
      <c r="J724" s="1">
        <v>9923888100</v>
      </c>
      <c r="K724" s="1" t="s">
        <v>79</v>
      </c>
      <c r="L724" s="1" t="s">
        <v>10443</v>
      </c>
      <c r="M724" s="1" t="s">
        <v>81</v>
      </c>
      <c r="N724" s="1" t="s">
        <v>2008</v>
      </c>
      <c r="O724" s="1"/>
      <c r="P724" s="1" t="s">
        <v>1766</v>
      </c>
      <c r="Q724" s="1" t="s">
        <v>13365</v>
      </c>
      <c r="R724" s="1" t="s">
        <v>4134</v>
      </c>
      <c r="S724" s="1">
        <v>9923365555</v>
      </c>
      <c r="T724" s="1" t="s">
        <v>763</v>
      </c>
      <c r="U724" s="1" t="s">
        <v>693</v>
      </c>
      <c r="V724" s="1">
        <v>8208881510</v>
      </c>
      <c r="W724" s="1" t="s">
        <v>716</v>
      </c>
      <c r="X724" s="1" t="s">
        <v>13366</v>
      </c>
      <c r="Y724" s="1" t="s">
        <v>91</v>
      </c>
      <c r="Z724" s="1" t="s">
        <v>92</v>
      </c>
      <c r="AA724" s="1" t="s">
        <v>13366</v>
      </c>
      <c r="AB724" s="1" t="s">
        <v>91</v>
      </c>
      <c r="AC724" s="1" t="s">
        <v>92</v>
      </c>
      <c r="AD724" s="1">
        <v>7.62</v>
      </c>
      <c r="AE724" s="1" t="s">
        <v>93</v>
      </c>
      <c r="AF724" s="1" t="s">
        <v>13367</v>
      </c>
      <c r="AG724" s="1" t="s">
        <v>160</v>
      </c>
      <c r="AH724" s="1" t="s">
        <v>96</v>
      </c>
      <c r="AI724" s="1" t="s">
        <v>97</v>
      </c>
      <c r="AJ724" s="1">
        <v>80.2</v>
      </c>
      <c r="AK724" s="1"/>
      <c r="AL724" s="1" t="s">
        <v>13368</v>
      </c>
      <c r="AM724" s="1" t="s">
        <v>160</v>
      </c>
      <c r="AN724" s="1" t="s">
        <v>162</v>
      </c>
      <c r="AO724" s="1" t="s">
        <v>1332</v>
      </c>
      <c r="AP724" s="1">
        <v>61.54</v>
      </c>
      <c r="AQ724" s="1"/>
      <c r="AR724" s="1"/>
      <c r="AS724" s="1"/>
      <c r="AT724" s="1"/>
      <c r="AU724" s="1"/>
      <c r="AV724" s="1"/>
      <c r="AW724" s="1"/>
      <c r="AX724" s="1" t="s">
        <v>361</v>
      </c>
      <c r="AY724" s="1" t="s">
        <v>5486</v>
      </c>
      <c r="AZ724" s="1" t="s">
        <v>2910</v>
      </c>
      <c r="BA724" s="1" t="s">
        <v>575</v>
      </c>
      <c r="BB724" s="1">
        <v>72.18</v>
      </c>
      <c r="BC724" s="1">
        <v>8.11</v>
      </c>
      <c r="BD724" s="1"/>
      <c r="BE724" s="1"/>
      <c r="BF724" s="1"/>
      <c r="BG724" s="1"/>
      <c r="BH724" s="1"/>
      <c r="BI724" s="1"/>
      <c r="BJ724" s="1" t="s">
        <v>8608</v>
      </c>
      <c r="BK724" s="1"/>
      <c r="BL724" s="1"/>
      <c r="BM724" s="1" t="s">
        <v>13369</v>
      </c>
      <c r="BN724" s="1">
        <v>38</v>
      </c>
      <c r="BO724" s="1"/>
      <c r="BP724" s="1" t="str">
        <f>HYPERLINK("https://nconnect.nicmar.ac.in/storage/profile/ProfilePhoto_P25700688_241639.jpg","Download")</f>
        <v>0</v>
      </c>
      <c r="BQ724" s="3"/>
      <c r="BR724" s="3"/>
    </row>
    <row r="725" spans="1:70">
      <c r="A725" s="1" t="s">
        <v>70</v>
      </c>
      <c r="B725" s="1" t="s">
        <v>1269</v>
      </c>
      <c r="C725" s="1" t="s">
        <v>13370</v>
      </c>
      <c r="D725" s="1" t="s">
        <v>13371</v>
      </c>
      <c r="E725" s="1" t="s">
        <v>756</v>
      </c>
      <c r="F725" s="1" t="s">
        <v>13372</v>
      </c>
      <c r="G725" s="1" t="s">
        <v>13373</v>
      </c>
      <c r="H725" s="1" t="s">
        <v>13374</v>
      </c>
      <c r="I725" s="1" t="s">
        <v>13375</v>
      </c>
      <c r="J725" s="1">
        <v>9356160041</v>
      </c>
      <c r="K725" s="1" t="s">
        <v>79</v>
      </c>
      <c r="L725" s="1" t="s">
        <v>11804</v>
      </c>
      <c r="M725" s="1" t="s">
        <v>81</v>
      </c>
      <c r="N725" s="1" t="s">
        <v>860</v>
      </c>
      <c r="O725" s="1"/>
      <c r="P725" s="1" t="s">
        <v>1766</v>
      </c>
      <c r="Q725" s="1" t="s">
        <v>13376</v>
      </c>
      <c r="R725" s="1" t="s">
        <v>13377</v>
      </c>
      <c r="S725" s="1">
        <v>8459435855</v>
      </c>
      <c r="T725" s="1" t="s">
        <v>154</v>
      </c>
      <c r="U725" s="1" t="s">
        <v>693</v>
      </c>
      <c r="V725" s="1">
        <v>7620148479</v>
      </c>
      <c r="W725" s="1" t="s">
        <v>156</v>
      </c>
      <c r="X725" s="1" t="s">
        <v>13378</v>
      </c>
      <c r="Y725" s="1" t="s">
        <v>2790</v>
      </c>
      <c r="Z725" s="1" t="s">
        <v>92</v>
      </c>
      <c r="AA725" s="1" t="s">
        <v>13378</v>
      </c>
      <c r="AB725" s="1" t="s">
        <v>2790</v>
      </c>
      <c r="AC725" s="1" t="s">
        <v>92</v>
      </c>
      <c r="AD725" s="1">
        <v>7.36</v>
      </c>
      <c r="AE725" s="1" t="s">
        <v>93</v>
      </c>
      <c r="AF725" s="1" t="s">
        <v>13379</v>
      </c>
      <c r="AG725" s="1" t="s">
        <v>160</v>
      </c>
      <c r="AH725" s="1" t="s">
        <v>165</v>
      </c>
      <c r="AI725" s="1" t="s">
        <v>281</v>
      </c>
      <c r="AJ725" s="1">
        <v>81</v>
      </c>
      <c r="AK725" s="1"/>
      <c r="AL725" s="1"/>
      <c r="AM725" s="1"/>
      <c r="AN725" s="1"/>
      <c r="AO725" s="1"/>
      <c r="AP725" s="1"/>
      <c r="AQ725" s="1"/>
      <c r="AR725" s="1" t="s">
        <v>434</v>
      </c>
      <c r="AS725" s="1" t="s">
        <v>13380</v>
      </c>
      <c r="AT725" s="1" t="s">
        <v>636</v>
      </c>
      <c r="AU725" s="1" t="s">
        <v>481</v>
      </c>
      <c r="AV725" s="1">
        <v>78.32</v>
      </c>
      <c r="AW725" s="1"/>
      <c r="AX725" s="1" t="s">
        <v>2691</v>
      </c>
      <c r="AY725" s="1" t="s">
        <v>13381</v>
      </c>
      <c r="AZ725" s="1" t="s">
        <v>2693</v>
      </c>
      <c r="BA725" s="1" t="s">
        <v>1714</v>
      </c>
      <c r="BB725" s="1">
        <v>62.8</v>
      </c>
      <c r="BC725" s="1"/>
      <c r="BD725" s="1"/>
      <c r="BE725" s="1"/>
      <c r="BF725" s="1"/>
      <c r="BG725" s="1"/>
      <c r="BH725" s="1"/>
      <c r="BI725" s="1"/>
      <c r="BJ725" s="1" t="s">
        <v>13382</v>
      </c>
      <c r="BK725" s="1"/>
      <c r="BL725" s="1"/>
      <c r="BM725" s="1" t="s">
        <v>13383</v>
      </c>
      <c r="BN725" s="1">
        <v>21</v>
      </c>
      <c r="BO725" s="1" t="s">
        <v>13384</v>
      </c>
      <c r="BP725" s="1" t="str">
        <f>HYPERLINK("https://nconnect.nicmar.ac.in/storage/profile/ProfilePhoto_P25700689_513962.jpg","Download")</f>
        <v>0</v>
      </c>
      <c r="BQ725" s="3"/>
      <c r="BR725" s="3"/>
    </row>
    <row r="726" spans="1:70">
      <c r="A726" s="1" t="s">
        <v>70</v>
      </c>
      <c r="B726" s="1" t="s">
        <v>1269</v>
      </c>
      <c r="C726" s="1" t="s">
        <v>13385</v>
      </c>
      <c r="D726" s="1" t="s">
        <v>13386</v>
      </c>
      <c r="E726" s="1" t="s">
        <v>13387</v>
      </c>
      <c r="F726" s="1" t="s">
        <v>13388</v>
      </c>
      <c r="G726" s="1" t="s">
        <v>13389</v>
      </c>
      <c r="H726" s="1" t="s">
        <v>13390</v>
      </c>
      <c r="I726" s="1" t="s">
        <v>13391</v>
      </c>
      <c r="J726" s="1">
        <v>8999040700</v>
      </c>
      <c r="K726" s="1" t="s">
        <v>79</v>
      </c>
      <c r="L726" s="1" t="s">
        <v>13392</v>
      </c>
      <c r="M726" s="1" t="s">
        <v>81</v>
      </c>
      <c r="N726" s="1" t="s">
        <v>3236</v>
      </c>
      <c r="O726" s="1"/>
      <c r="P726" s="1" t="s">
        <v>1323</v>
      </c>
      <c r="Q726" s="1" t="s">
        <v>13393</v>
      </c>
      <c r="R726" s="1" t="s">
        <v>13387</v>
      </c>
      <c r="S726" s="1">
        <v>9767192552</v>
      </c>
      <c r="T726" s="1" t="s">
        <v>13394</v>
      </c>
      <c r="U726" s="1" t="s">
        <v>13395</v>
      </c>
      <c r="V726" s="1">
        <v>7498328887</v>
      </c>
      <c r="W726" s="1" t="s">
        <v>156</v>
      </c>
      <c r="X726" s="1" t="s">
        <v>13396</v>
      </c>
      <c r="Y726" s="1" t="s">
        <v>191</v>
      </c>
      <c r="Z726" s="1" t="s">
        <v>92</v>
      </c>
      <c r="AA726" s="1" t="s">
        <v>13397</v>
      </c>
      <c r="AB726" s="1" t="s">
        <v>5937</v>
      </c>
      <c r="AC726" s="1" t="s">
        <v>92</v>
      </c>
      <c r="AD726" s="1">
        <v>8.31</v>
      </c>
      <c r="AE726" s="1" t="s">
        <v>93</v>
      </c>
      <c r="AF726" s="1" t="s">
        <v>13398</v>
      </c>
      <c r="AG726" s="1" t="s">
        <v>13399</v>
      </c>
      <c r="AH726" s="1" t="s">
        <v>165</v>
      </c>
      <c r="AI726" s="1" t="s">
        <v>281</v>
      </c>
      <c r="AJ726" s="1">
        <v>80.6</v>
      </c>
      <c r="AK726" s="1"/>
      <c r="AL726" s="1" t="s">
        <v>13398</v>
      </c>
      <c r="AM726" s="1" t="s">
        <v>13399</v>
      </c>
      <c r="AN726" s="1" t="s">
        <v>433</v>
      </c>
      <c r="AO726" s="1" t="s">
        <v>360</v>
      </c>
      <c r="AP726" s="1">
        <v>62.46</v>
      </c>
      <c r="AQ726" s="1"/>
      <c r="AR726" s="1"/>
      <c r="AS726" s="1"/>
      <c r="AT726" s="1"/>
      <c r="AU726" s="1"/>
      <c r="AV726" s="1"/>
      <c r="AW726" s="1"/>
      <c r="AX726" s="1" t="s">
        <v>253</v>
      </c>
      <c r="AY726" s="1" t="s">
        <v>13400</v>
      </c>
      <c r="AZ726" s="1" t="s">
        <v>699</v>
      </c>
      <c r="BA726" s="1" t="s">
        <v>1361</v>
      </c>
      <c r="BB726" s="1">
        <v>64.24</v>
      </c>
      <c r="BC726" s="1">
        <v>7.06</v>
      </c>
      <c r="BD726" s="1"/>
      <c r="BE726" s="1"/>
      <c r="BF726" s="1"/>
      <c r="BG726" s="1"/>
      <c r="BH726" s="1"/>
      <c r="BI726" s="1"/>
      <c r="BJ726" s="1" t="s">
        <v>13401</v>
      </c>
      <c r="BK726" s="1"/>
      <c r="BL726" s="1"/>
      <c r="BM726" s="1" t="s">
        <v>13402</v>
      </c>
      <c r="BN726" s="1">
        <v>27</v>
      </c>
      <c r="BO726" s="1" t="s">
        <v>13403</v>
      </c>
      <c r="BP726" s="1" t="str">
        <f>HYPERLINK("https://nconnect.nicmar.ac.in/storage/profile/ProfilePhoto_P25700690_598276.jpg","Download")</f>
        <v>0</v>
      </c>
      <c r="BQ726" s="3"/>
      <c r="BR726" s="3"/>
    </row>
    <row r="727" spans="1:70">
      <c r="A727" s="1" t="s">
        <v>70</v>
      </c>
      <c r="B727" s="1" t="s">
        <v>1269</v>
      </c>
      <c r="C727" s="1" t="s">
        <v>13404</v>
      </c>
      <c r="D727" s="1" t="s">
        <v>4153</v>
      </c>
      <c r="E727" s="1" t="s">
        <v>13405</v>
      </c>
      <c r="F727" s="1" t="s">
        <v>13406</v>
      </c>
      <c r="G727" s="1" t="s">
        <v>13407</v>
      </c>
      <c r="H727" s="1" t="s">
        <v>13408</v>
      </c>
      <c r="I727" s="1" t="s">
        <v>13409</v>
      </c>
      <c r="J727" s="1">
        <v>8104032269</v>
      </c>
      <c r="K727" s="1" t="s">
        <v>79</v>
      </c>
      <c r="L727" s="1" t="s">
        <v>13410</v>
      </c>
      <c r="M727" s="1" t="s">
        <v>81</v>
      </c>
      <c r="N727" s="1" t="s">
        <v>13037</v>
      </c>
      <c r="O727" s="1"/>
      <c r="P727" s="1" t="s">
        <v>1278</v>
      </c>
      <c r="Q727" s="1" t="s">
        <v>13411</v>
      </c>
      <c r="R727" s="1" t="s">
        <v>13405</v>
      </c>
      <c r="S727" s="1">
        <v>9820397681</v>
      </c>
      <c r="T727" s="1" t="s">
        <v>13412</v>
      </c>
      <c r="U727" s="1" t="s">
        <v>10822</v>
      </c>
      <c r="V727" s="1">
        <v>9920367838</v>
      </c>
      <c r="W727" s="1" t="s">
        <v>156</v>
      </c>
      <c r="X727" s="1" t="s">
        <v>13413</v>
      </c>
      <c r="Y727" s="1" t="s">
        <v>1623</v>
      </c>
      <c r="Z727" s="1" t="s">
        <v>92</v>
      </c>
      <c r="AA727" s="1" t="s">
        <v>13413</v>
      </c>
      <c r="AB727" s="1" t="s">
        <v>1623</v>
      </c>
      <c r="AC727" s="1" t="s">
        <v>92</v>
      </c>
      <c r="AD727" s="1">
        <v>8.49</v>
      </c>
      <c r="AE727" s="1" t="s">
        <v>93</v>
      </c>
      <c r="AF727" s="1" t="s">
        <v>13414</v>
      </c>
      <c r="AG727" s="1" t="s">
        <v>13415</v>
      </c>
      <c r="AH727" s="1" t="s">
        <v>165</v>
      </c>
      <c r="AI727" s="1" t="s">
        <v>1307</v>
      </c>
      <c r="AJ727" s="1">
        <v>83.2</v>
      </c>
      <c r="AK727" s="1"/>
      <c r="AL727" s="1" t="s">
        <v>13416</v>
      </c>
      <c r="AM727" s="1" t="s">
        <v>13415</v>
      </c>
      <c r="AN727" s="1" t="s">
        <v>433</v>
      </c>
      <c r="AO727" s="1" t="s">
        <v>360</v>
      </c>
      <c r="AP727" s="1">
        <v>62.62</v>
      </c>
      <c r="AQ727" s="1"/>
      <c r="AR727" s="1"/>
      <c r="AS727" s="1"/>
      <c r="AT727" s="1"/>
      <c r="AU727" s="1"/>
      <c r="AV727" s="1"/>
      <c r="AW727" s="1"/>
      <c r="AX727" s="1" t="s">
        <v>253</v>
      </c>
      <c r="AY727" s="1" t="s">
        <v>13417</v>
      </c>
      <c r="AZ727" s="1" t="s">
        <v>363</v>
      </c>
      <c r="BA727" s="1" t="s">
        <v>1361</v>
      </c>
      <c r="BB727" s="1">
        <v>75.34</v>
      </c>
      <c r="BC727" s="1">
        <v>8.56</v>
      </c>
      <c r="BD727" s="1"/>
      <c r="BE727" s="1"/>
      <c r="BF727" s="1"/>
      <c r="BG727" s="1"/>
      <c r="BH727" s="1"/>
      <c r="BI727" s="1"/>
      <c r="BJ727" s="1" t="s">
        <v>13418</v>
      </c>
      <c r="BK727" s="1"/>
      <c r="BL727" s="1"/>
      <c r="BM727" s="1" t="s">
        <v>13419</v>
      </c>
      <c r="BN727" s="1">
        <v>34</v>
      </c>
      <c r="BO727" s="1"/>
      <c r="BP727" s="1" t="str">
        <f>HYPERLINK("https://nconnect.nicmar.ac.in/storage/profile/ProfilePhoto_P25700691_937165.jpg","Download")</f>
        <v>0</v>
      </c>
      <c r="BQ727" s="3"/>
      <c r="BR727" s="3"/>
    </row>
    <row r="728" spans="1:70">
      <c r="A728" s="1" t="s">
        <v>70</v>
      </c>
      <c r="B728" s="1" t="s">
        <v>1269</v>
      </c>
      <c r="C728" s="1" t="s">
        <v>13420</v>
      </c>
      <c r="D728" s="1" t="s">
        <v>13421</v>
      </c>
      <c r="E728" s="1"/>
      <c r="F728" s="1" t="s">
        <v>13422</v>
      </c>
      <c r="G728" s="1" t="s">
        <v>13423</v>
      </c>
      <c r="H728" s="1" t="s">
        <v>13424</v>
      </c>
      <c r="I728" s="1" t="s">
        <v>13425</v>
      </c>
      <c r="J728" s="1">
        <v>9705938096</v>
      </c>
      <c r="K728" s="1" t="s">
        <v>148</v>
      </c>
      <c r="L728" s="1" t="s">
        <v>672</v>
      </c>
      <c r="M728" s="1" t="s">
        <v>81</v>
      </c>
      <c r="N728" s="1" t="s">
        <v>4259</v>
      </c>
      <c r="O728" s="1"/>
      <c r="P728" s="1" t="s">
        <v>1323</v>
      </c>
      <c r="Q728" s="1" t="s">
        <v>13426</v>
      </c>
      <c r="R728" s="1" t="s">
        <v>13427</v>
      </c>
      <c r="S728" s="1">
        <v>8121045396</v>
      </c>
      <c r="T728" s="1" t="s">
        <v>496</v>
      </c>
      <c r="U728" s="1" t="s">
        <v>13428</v>
      </c>
      <c r="V728" s="1">
        <v>9492879124</v>
      </c>
      <c r="W728" s="1" t="s">
        <v>496</v>
      </c>
      <c r="X728" s="1" t="s">
        <v>13429</v>
      </c>
      <c r="Y728" s="1" t="s">
        <v>191</v>
      </c>
      <c r="Z728" s="1" t="s">
        <v>92</v>
      </c>
      <c r="AA728" s="1" t="s">
        <v>13430</v>
      </c>
      <c r="AB728" s="1" t="s">
        <v>1578</v>
      </c>
      <c r="AC728" s="1" t="s">
        <v>276</v>
      </c>
      <c r="AD728" s="1">
        <v>7.39</v>
      </c>
      <c r="AE728" s="1" t="s">
        <v>93</v>
      </c>
      <c r="AF728" s="1" t="s">
        <v>13431</v>
      </c>
      <c r="AG728" s="1" t="s">
        <v>9218</v>
      </c>
      <c r="AH728" s="1" t="s">
        <v>479</v>
      </c>
      <c r="AI728" s="1" t="s">
        <v>166</v>
      </c>
      <c r="AJ728" s="1">
        <v>72.5</v>
      </c>
      <c r="AK728" s="1"/>
      <c r="AL728" s="1" t="s">
        <v>13432</v>
      </c>
      <c r="AM728" s="1" t="s">
        <v>1154</v>
      </c>
      <c r="AN728" s="1" t="s">
        <v>101</v>
      </c>
      <c r="AO728" s="1" t="s">
        <v>699</v>
      </c>
      <c r="AP728" s="1">
        <v>74.2</v>
      </c>
      <c r="AQ728" s="1">
        <v>7.42</v>
      </c>
      <c r="AR728" s="1"/>
      <c r="AS728" s="1"/>
      <c r="AT728" s="1"/>
      <c r="AU728" s="1"/>
      <c r="AV728" s="1"/>
      <c r="AW728" s="1"/>
      <c r="AX728" s="1" t="s">
        <v>13433</v>
      </c>
      <c r="AY728" s="1" t="s">
        <v>13434</v>
      </c>
      <c r="AZ728" s="1" t="s">
        <v>920</v>
      </c>
      <c r="BA728" s="1" t="s">
        <v>202</v>
      </c>
      <c r="BB728" s="1">
        <v>67.07</v>
      </c>
      <c r="BC728" s="1">
        <v>8.14</v>
      </c>
      <c r="BD728" s="1"/>
      <c r="BE728" s="1"/>
      <c r="BF728" s="1"/>
      <c r="BG728" s="1"/>
      <c r="BH728" s="1"/>
      <c r="BI728" s="1"/>
      <c r="BJ728" s="1" t="s">
        <v>13435</v>
      </c>
      <c r="BK728" s="1"/>
      <c r="BL728" s="1"/>
      <c r="BM728" s="1" t="s">
        <v>13436</v>
      </c>
      <c r="BN728" s="1">
        <v>47</v>
      </c>
      <c r="BO728" s="1"/>
      <c r="BP728" s="1" t="str">
        <f>HYPERLINK("https://nconnect.nicmar.ac.in/storage/profile/ProfilePhoto_P25700692_921468.jpg","Download")</f>
        <v>0</v>
      </c>
      <c r="BQ728" s="3"/>
      <c r="BR728" s="3"/>
    </row>
    <row r="729" spans="1:70">
      <c r="A729" s="1" t="s">
        <v>70</v>
      </c>
      <c r="B729" s="1" t="s">
        <v>1269</v>
      </c>
      <c r="C729" s="1" t="s">
        <v>13437</v>
      </c>
      <c r="D729" s="1" t="s">
        <v>4153</v>
      </c>
      <c r="E729" s="1" t="s">
        <v>9900</v>
      </c>
      <c r="F729" s="1" t="s">
        <v>9868</v>
      </c>
      <c r="G729" s="1" t="s">
        <v>13438</v>
      </c>
      <c r="H729" s="1" t="s">
        <v>13439</v>
      </c>
      <c r="I729" s="1" t="s">
        <v>13440</v>
      </c>
      <c r="J729" s="1">
        <v>7499176590</v>
      </c>
      <c r="K729" s="1" t="s">
        <v>79</v>
      </c>
      <c r="L729" s="1" t="s">
        <v>13441</v>
      </c>
      <c r="M729" s="1" t="s">
        <v>81</v>
      </c>
      <c r="N729" s="1" t="s">
        <v>151</v>
      </c>
      <c r="O729" s="1"/>
      <c r="P729" s="1" t="s">
        <v>1323</v>
      </c>
      <c r="Q729" s="1" t="s">
        <v>13442</v>
      </c>
      <c r="R729" s="1" t="s">
        <v>9900</v>
      </c>
      <c r="S729" s="1">
        <v>8888837485</v>
      </c>
      <c r="T729" s="1" t="s">
        <v>9922</v>
      </c>
      <c r="U729" s="1" t="s">
        <v>9215</v>
      </c>
      <c r="V729" s="1">
        <v>8888852231</v>
      </c>
      <c r="W729" s="1" t="s">
        <v>89</v>
      </c>
      <c r="X729" s="1" t="s">
        <v>13443</v>
      </c>
      <c r="Y729" s="1" t="s">
        <v>523</v>
      </c>
      <c r="Z729" s="1" t="s">
        <v>92</v>
      </c>
      <c r="AA729" s="1" t="s">
        <v>13443</v>
      </c>
      <c r="AB729" s="1" t="s">
        <v>523</v>
      </c>
      <c r="AC729" s="1" t="s">
        <v>92</v>
      </c>
      <c r="AD729" s="1">
        <v>7.62</v>
      </c>
      <c r="AE729" s="1" t="s">
        <v>93</v>
      </c>
      <c r="AF729" s="1" t="s">
        <v>13444</v>
      </c>
      <c r="AG729" s="1" t="s">
        <v>8066</v>
      </c>
      <c r="AH729" s="1" t="s">
        <v>162</v>
      </c>
      <c r="AI729" s="1" t="s">
        <v>479</v>
      </c>
      <c r="AJ729" s="1">
        <v>82.8</v>
      </c>
      <c r="AK729" s="1"/>
      <c r="AL729" s="1"/>
      <c r="AM729" s="1"/>
      <c r="AN729" s="1"/>
      <c r="AO729" s="1"/>
      <c r="AP729" s="1"/>
      <c r="AQ729" s="1"/>
      <c r="AR729" s="1" t="s">
        <v>434</v>
      </c>
      <c r="AS729" s="1" t="s">
        <v>13445</v>
      </c>
      <c r="AT729" s="1" t="s">
        <v>225</v>
      </c>
      <c r="AU729" s="1" t="s">
        <v>170</v>
      </c>
      <c r="AV729" s="1">
        <v>89</v>
      </c>
      <c r="AW729" s="1"/>
      <c r="AX729" s="1" t="s">
        <v>361</v>
      </c>
      <c r="AY729" s="1" t="s">
        <v>8607</v>
      </c>
      <c r="AZ729" s="1" t="s">
        <v>363</v>
      </c>
      <c r="BA729" s="1" t="s">
        <v>386</v>
      </c>
      <c r="BB729" s="1">
        <v>85.42</v>
      </c>
      <c r="BC729" s="1">
        <v>9.05</v>
      </c>
      <c r="BD729" s="1"/>
      <c r="BE729" s="1"/>
      <c r="BF729" s="1"/>
      <c r="BG729" s="1"/>
      <c r="BH729" s="1"/>
      <c r="BI729" s="1"/>
      <c r="BJ729" s="1" t="s">
        <v>13446</v>
      </c>
      <c r="BK729" s="1"/>
      <c r="BL729" s="1"/>
      <c r="BM729" s="1" t="s">
        <v>13447</v>
      </c>
      <c r="BN729" s="1">
        <v>126</v>
      </c>
      <c r="BO729" s="1"/>
      <c r="BP729" s="1" t="str">
        <f>HYPERLINK("https://nconnect.nicmar.ac.in/storage/profile/ProfilePhoto_P25700693_573496.jpg","Download")</f>
        <v>0</v>
      </c>
      <c r="BQ729" s="3"/>
      <c r="BR729" s="3"/>
    </row>
    <row r="730" spans="1:70">
      <c r="A730" s="1" t="s">
        <v>70</v>
      </c>
      <c r="B730" s="1" t="s">
        <v>1269</v>
      </c>
      <c r="C730" s="1" t="s">
        <v>13448</v>
      </c>
      <c r="D730" s="1" t="s">
        <v>13345</v>
      </c>
      <c r="E730" s="1"/>
      <c r="F730" s="1" t="s">
        <v>13449</v>
      </c>
      <c r="G730" s="1" t="s">
        <v>13450</v>
      </c>
      <c r="H730" s="1" t="s">
        <v>13451</v>
      </c>
      <c r="I730" s="1" t="s">
        <v>13452</v>
      </c>
      <c r="J730" s="1">
        <v>8279486177</v>
      </c>
      <c r="K730" s="1" t="s">
        <v>79</v>
      </c>
      <c r="L730" s="1" t="s">
        <v>13453</v>
      </c>
      <c r="M730" s="1" t="s">
        <v>81</v>
      </c>
      <c r="N730" s="1" t="s">
        <v>9356</v>
      </c>
      <c r="O730" s="1"/>
      <c r="P730" s="1" t="s">
        <v>2507</v>
      </c>
      <c r="Q730" s="1" t="s">
        <v>13454</v>
      </c>
      <c r="R730" s="1" t="s">
        <v>13455</v>
      </c>
      <c r="S730" s="1">
        <v>9415027549</v>
      </c>
      <c r="T730" s="1" t="s">
        <v>863</v>
      </c>
      <c r="U730" s="1" t="s">
        <v>6026</v>
      </c>
      <c r="V730" s="1">
        <v>9415027249</v>
      </c>
      <c r="W730" s="1" t="s">
        <v>2094</v>
      </c>
      <c r="X730" s="1" t="s">
        <v>13456</v>
      </c>
      <c r="Y730" s="1" t="s">
        <v>1912</v>
      </c>
      <c r="Z730" s="1" t="s">
        <v>1355</v>
      </c>
      <c r="AA730" s="1" t="s">
        <v>13456</v>
      </c>
      <c r="AB730" s="1" t="s">
        <v>1912</v>
      </c>
      <c r="AC730" s="1" t="s">
        <v>1355</v>
      </c>
      <c r="AD730" s="1">
        <v>8.51</v>
      </c>
      <c r="AE730" s="1" t="s">
        <v>93</v>
      </c>
      <c r="AF730" s="1" t="s">
        <v>13457</v>
      </c>
      <c r="AG730" s="1" t="s">
        <v>13458</v>
      </c>
      <c r="AH730" s="1" t="s">
        <v>13459</v>
      </c>
      <c r="AI730" s="1" t="s">
        <v>334</v>
      </c>
      <c r="AJ730" s="1">
        <v>77</v>
      </c>
      <c r="AK730" s="1"/>
      <c r="AL730" s="1" t="s">
        <v>13457</v>
      </c>
      <c r="AM730" s="1" t="s">
        <v>13458</v>
      </c>
      <c r="AN730" s="1" t="s">
        <v>249</v>
      </c>
      <c r="AO730" s="1" t="s">
        <v>998</v>
      </c>
      <c r="AP730" s="1">
        <v>76.4</v>
      </c>
      <c r="AQ730" s="1"/>
      <c r="AR730" s="1"/>
      <c r="AS730" s="1"/>
      <c r="AT730" s="1"/>
      <c r="AU730" s="1"/>
      <c r="AV730" s="1"/>
      <c r="AW730" s="1"/>
      <c r="AX730" s="1" t="s">
        <v>13460</v>
      </c>
      <c r="AY730" s="1" t="s">
        <v>13461</v>
      </c>
      <c r="AZ730" s="1" t="s">
        <v>252</v>
      </c>
      <c r="BA730" s="1" t="s">
        <v>169</v>
      </c>
      <c r="BB730" s="1">
        <v>69.26</v>
      </c>
      <c r="BC730" s="1"/>
      <c r="BD730" s="1" t="s">
        <v>13460</v>
      </c>
      <c r="BE730" s="1" t="s">
        <v>2405</v>
      </c>
      <c r="BF730" s="1" t="s">
        <v>874</v>
      </c>
      <c r="BG730" s="1" t="s">
        <v>944</v>
      </c>
      <c r="BH730" s="1">
        <v>79.3</v>
      </c>
      <c r="BI730" s="1">
        <v>7.93</v>
      </c>
      <c r="BJ730" s="1" t="s">
        <v>1383</v>
      </c>
      <c r="BK730" s="1" t="s">
        <v>13462</v>
      </c>
      <c r="BL730" s="1" t="s">
        <v>13463</v>
      </c>
      <c r="BM730" s="1" t="s">
        <v>13464</v>
      </c>
      <c r="BN730" s="1">
        <v>8</v>
      </c>
      <c r="BO730" s="1" t="s">
        <v>13465</v>
      </c>
      <c r="BP730" s="1" t="str">
        <f>HYPERLINK("https://nconnect.nicmar.ac.in/storage/profile/ProfilePhoto_P25700695_518436.jpg","Download")</f>
        <v>0</v>
      </c>
      <c r="BQ730" s="3"/>
      <c r="BR730" s="3"/>
    </row>
    <row r="731" spans="1:70">
      <c r="A731" s="1" t="s">
        <v>70</v>
      </c>
      <c r="B731" s="1" t="s">
        <v>1269</v>
      </c>
      <c r="C731" s="1" t="s">
        <v>13466</v>
      </c>
      <c r="D731" s="1" t="s">
        <v>13467</v>
      </c>
      <c r="E731" s="1" t="s">
        <v>2310</v>
      </c>
      <c r="F731" s="1" t="s">
        <v>13468</v>
      </c>
      <c r="G731" s="1" t="s">
        <v>13469</v>
      </c>
      <c r="H731" s="1" t="s">
        <v>13470</v>
      </c>
      <c r="I731" s="1" t="s">
        <v>13471</v>
      </c>
      <c r="J731" s="1">
        <v>7892383736</v>
      </c>
      <c r="K731" s="1" t="s">
        <v>79</v>
      </c>
      <c r="L731" s="1" t="s">
        <v>4828</v>
      </c>
      <c r="M731" s="1" t="s">
        <v>81</v>
      </c>
      <c r="N731" s="1" t="s">
        <v>11662</v>
      </c>
      <c r="O731" s="1"/>
      <c r="P731" s="1" t="s">
        <v>1278</v>
      </c>
      <c r="Q731" s="1" t="s">
        <v>13472</v>
      </c>
      <c r="R731" s="1" t="s">
        <v>13455</v>
      </c>
      <c r="S731" s="1">
        <v>7892472711</v>
      </c>
      <c r="T731" s="1" t="s">
        <v>496</v>
      </c>
      <c r="U731" s="1" t="s">
        <v>977</v>
      </c>
      <c r="V731" s="1">
        <v>8217514975</v>
      </c>
      <c r="W731" s="1" t="s">
        <v>156</v>
      </c>
      <c r="X731" s="1" t="s">
        <v>13473</v>
      </c>
      <c r="Y731" s="1" t="s">
        <v>4771</v>
      </c>
      <c r="Z731" s="1" t="s">
        <v>1084</v>
      </c>
      <c r="AA731" s="1" t="s">
        <v>13473</v>
      </c>
      <c r="AB731" s="1" t="s">
        <v>4771</v>
      </c>
      <c r="AC731" s="1" t="s">
        <v>1084</v>
      </c>
      <c r="AD731" s="1">
        <v>7.91</v>
      </c>
      <c r="AE731" s="1" t="s">
        <v>93</v>
      </c>
      <c r="AF731" s="1" t="s">
        <v>11882</v>
      </c>
      <c r="AG731" s="1" t="s">
        <v>13474</v>
      </c>
      <c r="AH731" s="1" t="s">
        <v>101</v>
      </c>
      <c r="AI731" s="1" t="s">
        <v>1065</v>
      </c>
      <c r="AJ731" s="1">
        <v>81.92</v>
      </c>
      <c r="AK731" s="1"/>
      <c r="AL731" s="1" t="s">
        <v>13475</v>
      </c>
      <c r="AM731" s="1" t="s">
        <v>13476</v>
      </c>
      <c r="AN731" s="1" t="s">
        <v>433</v>
      </c>
      <c r="AO731" s="1" t="s">
        <v>506</v>
      </c>
      <c r="AP731" s="1">
        <v>71.16</v>
      </c>
      <c r="AQ731" s="1"/>
      <c r="AR731" s="1"/>
      <c r="AS731" s="1"/>
      <c r="AT731" s="1"/>
      <c r="AU731" s="1"/>
      <c r="AV731" s="1"/>
      <c r="AW731" s="1"/>
      <c r="AX731" s="1" t="s">
        <v>1088</v>
      </c>
      <c r="AY731" s="1" t="s">
        <v>13477</v>
      </c>
      <c r="AZ731" s="1" t="s">
        <v>897</v>
      </c>
      <c r="BA731" s="1" t="s">
        <v>1714</v>
      </c>
      <c r="BB731" s="1">
        <v>64.3</v>
      </c>
      <c r="BC731" s="1">
        <v>6.43</v>
      </c>
      <c r="BD731" s="1"/>
      <c r="BE731" s="1"/>
      <c r="BF731" s="1"/>
      <c r="BG731" s="1"/>
      <c r="BH731" s="1"/>
      <c r="BI731" s="1"/>
      <c r="BJ731" s="1" t="s">
        <v>364</v>
      </c>
      <c r="BK731" s="1"/>
      <c r="BL731" s="1"/>
      <c r="BM731" s="1" t="s">
        <v>13478</v>
      </c>
      <c r="BN731" s="1">
        <v>21</v>
      </c>
      <c r="BO731" s="1" t="s">
        <v>13479</v>
      </c>
      <c r="BP731" s="1" t="str">
        <f>HYPERLINK("https://nconnect.nicmar.ac.in/storage/profile/ProfilePhoto_P25700696_167394.jpg","Download")</f>
        <v>0</v>
      </c>
      <c r="BQ731" s="3"/>
      <c r="BR731" s="3"/>
    </row>
    <row r="732" spans="1:70">
      <c r="A732" s="1" t="s">
        <v>70</v>
      </c>
      <c r="B732" s="1" t="s">
        <v>1269</v>
      </c>
      <c r="C732" s="1" t="s">
        <v>13480</v>
      </c>
      <c r="D732" s="1" t="s">
        <v>3910</v>
      </c>
      <c r="E732" s="1" t="s">
        <v>1925</v>
      </c>
      <c r="F732" s="1" t="s">
        <v>13481</v>
      </c>
      <c r="G732" s="1" t="s">
        <v>13482</v>
      </c>
      <c r="H732" s="1" t="s">
        <v>13483</v>
      </c>
      <c r="I732" s="1" t="s">
        <v>13484</v>
      </c>
      <c r="J732" s="1">
        <v>9881258305</v>
      </c>
      <c r="K732" s="1" t="s">
        <v>79</v>
      </c>
      <c r="L732" s="1" t="s">
        <v>13485</v>
      </c>
      <c r="M732" s="1" t="s">
        <v>81</v>
      </c>
      <c r="N732" s="1" t="s">
        <v>13486</v>
      </c>
      <c r="O732" s="1"/>
      <c r="P732" s="1"/>
      <c r="Q732" s="1" t="s">
        <v>13487</v>
      </c>
      <c r="R732" s="1" t="s">
        <v>13488</v>
      </c>
      <c r="S732" s="1">
        <v>9881258495</v>
      </c>
      <c r="T732" s="1" t="s">
        <v>2926</v>
      </c>
      <c r="U732" s="1" t="s">
        <v>13489</v>
      </c>
      <c r="V732" s="1">
        <v>9881258306</v>
      </c>
      <c r="W732" s="1" t="s">
        <v>273</v>
      </c>
      <c r="X732" s="1" t="s">
        <v>13490</v>
      </c>
      <c r="Y732" s="1" t="s">
        <v>158</v>
      </c>
      <c r="Z732" s="1" t="s">
        <v>92</v>
      </c>
      <c r="AA732" s="1" t="s">
        <v>13490</v>
      </c>
      <c r="AB732" s="1" t="s">
        <v>158</v>
      </c>
      <c r="AC732" s="1" t="s">
        <v>92</v>
      </c>
      <c r="AD732" s="1">
        <v>8.01</v>
      </c>
      <c r="AE732" s="1" t="s">
        <v>93</v>
      </c>
      <c r="AF732" s="1" t="s">
        <v>13491</v>
      </c>
      <c r="AG732" s="1" t="s">
        <v>13492</v>
      </c>
      <c r="AH732" s="1" t="s">
        <v>636</v>
      </c>
      <c r="AI732" s="1" t="s">
        <v>409</v>
      </c>
      <c r="AJ732" s="1">
        <v>64.4</v>
      </c>
      <c r="AK732" s="1">
        <v>0</v>
      </c>
      <c r="AL732" s="1"/>
      <c r="AM732" s="1"/>
      <c r="AN732" s="1"/>
      <c r="AO732" s="1"/>
      <c r="AP732" s="1"/>
      <c r="AQ732" s="1"/>
      <c r="AR732" s="1" t="s">
        <v>13493</v>
      </c>
      <c r="AS732" s="1" t="s">
        <v>13494</v>
      </c>
      <c r="AT732" s="1" t="s">
        <v>201</v>
      </c>
      <c r="AU732" s="1" t="s">
        <v>481</v>
      </c>
      <c r="AV732" s="1">
        <v>81.68</v>
      </c>
      <c r="AW732" s="1">
        <v>0</v>
      </c>
      <c r="AX732" s="1" t="s">
        <v>2424</v>
      </c>
      <c r="AY732" s="1" t="s">
        <v>13495</v>
      </c>
      <c r="AZ732" s="1" t="s">
        <v>481</v>
      </c>
      <c r="BA732" s="1" t="s">
        <v>1361</v>
      </c>
      <c r="BB732" s="1">
        <v>77.71</v>
      </c>
      <c r="BC732" s="1">
        <v>8.55</v>
      </c>
      <c r="BD732" s="1"/>
      <c r="BE732" s="1"/>
      <c r="BF732" s="1"/>
      <c r="BG732" s="1"/>
      <c r="BH732" s="1"/>
      <c r="BI732" s="1"/>
      <c r="BJ732" s="1" t="s">
        <v>364</v>
      </c>
      <c r="BK732" s="1"/>
      <c r="BL732" s="1"/>
      <c r="BM732" s="1" t="s">
        <v>13496</v>
      </c>
      <c r="BN732" s="1">
        <v>37</v>
      </c>
      <c r="BO732" s="1"/>
      <c r="BP732" s="1" t="str">
        <f>HYPERLINK("https://nconnect.nicmar.ac.in/storage/profile/ProfilePhoto_P25700697_765314.jpg","Download")</f>
        <v>0</v>
      </c>
      <c r="BQ732" s="3"/>
      <c r="BR732" s="3"/>
    </row>
    <row r="733" spans="1:70">
      <c r="A733" s="1" t="s">
        <v>70</v>
      </c>
      <c r="B733" s="1" t="s">
        <v>1269</v>
      </c>
      <c r="C733" s="1" t="s">
        <v>13497</v>
      </c>
      <c r="D733" s="1" t="s">
        <v>13498</v>
      </c>
      <c r="E733" s="1" t="s">
        <v>746</v>
      </c>
      <c r="F733" s="1" t="s">
        <v>13499</v>
      </c>
      <c r="G733" s="1" t="s">
        <v>13500</v>
      </c>
      <c r="H733" s="1" t="s">
        <v>13501</v>
      </c>
      <c r="I733" s="1" t="s">
        <v>13502</v>
      </c>
      <c r="J733" s="1">
        <v>8928317822</v>
      </c>
      <c r="K733" s="1" t="s">
        <v>79</v>
      </c>
      <c r="L733" s="1" t="s">
        <v>13503</v>
      </c>
      <c r="M733" s="1" t="s">
        <v>81</v>
      </c>
      <c r="N733" s="1" t="s">
        <v>1418</v>
      </c>
      <c r="O733" s="1"/>
      <c r="P733" s="1" t="s">
        <v>1323</v>
      </c>
      <c r="Q733" s="1" t="s">
        <v>13504</v>
      </c>
      <c r="R733" s="1" t="s">
        <v>746</v>
      </c>
      <c r="S733" s="1">
        <v>7798511980</v>
      </c>
      <c r="T733" s="1" t="s">
        <v>763</v>
      </c>
      <c r="U733" s="1" t="s">
        <v>13505</v>
      </c>
      <c r="V733" s="1">
        <v>9765375083</v>
      </c>
      <c r="W733" s="1" t="s">
        <v>156</v>
      </c>
      <c r="X733" s="1" t="s">
        <v>13506</v>
      </c>
      <c r="Y733" s="1" t="s">
        <v>4337</v>
      </c>
      <c r="Z733" s="1" t="s">
        <v>92</v>
      </c>
      <c r="AA733" s="1" t="s">
        <v>13506</v>
      </c>
      <c r="AB733" s="1" t="s">
        <v>4337</v>
      </c>
      <c r="AC733" s="1" t="s">
        <v>92</v>
      </c>
      <c r="AD733" s="1">
        <v>7.64</v>
      </c>
      <c r="AE733" s="1" t="s">
        <v>93</v>
      </c>
      <c r="AF733" s="1" t="s">
        <v>13507</v>
      </c>
      <c r="AG733" s="1" t="s">
        <v>13508</v>
      </c>
      <c r="AH733" s="1" t="s">
        <v>161</v>
      </c>
      <c r="AI733" s="1" t="s">
        <v>456</v>
      </c>
      <c r="AJ733" s="1">
        <v>79.4</v>
      </c>
      <c r="AK733" s="1"/>
      <c r="AL733" s="1" t="s">
        <v>13509</v>
      </c>
      <c r="AM733" s="1" t="s">
        <v>13508</v>
      </c>
      <c r="AN733" s="1" t="s">
        <v>165</v>
      </c>
      <c r="AO733" s="1" t="s">
        <v>457</v>
      </c>
      <c r="AP733" s="1">
        <v>68.15</v>
      </c>
      <c r="AQ733" s="1"/>
      <c r="AR733" s="1"/>
      <c r="AS733" s="1"/>
      <c r="AT733" s="1"/>
      <c r="AU733" s="1"/>
      <c r="AV733" s="1"/>
      <c r="AW733" s="1"/>
      <c r="AX733" s="1" t="s">
        <v>1024</v>
      </c>
      <c r="AY733" s="1" t="s">
        <v>13510</v>
      </c>
      <c r="AZ733" s="1" t="s">
        <v>636</v>
      </c>
      <c r="BA733" s="1" t="s">
        <v>1003</v>
      </c>
      <c r="BB733" s="1">
        <v>65.21</v>
      </c>
      <c r="BC733" s="1">
        <v>7.19</v>
      </c>
      <c r="BD733" s="1"/>
      <c r="BE733" s="1"/>
      <c r="BF733" s="1"/>
      <c r="BG733" s="1"/>
      <c r="BH733" s="1"/>
      <c r="BI733" s="1"/>
      <c r="BJ733" s="1" t="s">
        <v>9233</v>
      </c>
      <c r="BK733" s="1" t="s">
        <v>13511</v>
      </c>
      <c r="BL733" s="1" t="s">
        <v>1385</v>
      </c>
      <c r="BM733" s="1" t="s">
        <v>13512</v>
      </c>
      <c r="BN733" s="1">
        <v>25</v>
      </c>
      <c r="BO733" s="1"/>
      <c r="BP733" s="1" t="str">
        <f>HYPERLINK("https://nconnect.nicmar.ac.in/storage/profile/ProfilePhoto_P25700698_564379.jpg","Download")</f>
        <v>0</v>
      </c>
      <c r="BQ733" s="3"/>
      <c r="BR733" s="3"/>
    </row>
    <row r="734" spans="1:70">
      <c r="A734" s="1" t="s">
        <v>70</v>
      </c>
      <c r="B734" s="1" t="s">
        <v>1269</v>
      </c>
      <c r="C734" s="1" t="s">
        <v>13513</v>
      </c>
      <c r="D734" s="1" t="s">
        <v>13514</v>
      </c>
      <c r="E734" s="1" t="s">
        <v>13515</v>
      </c>
      <c r="F734" s="1" t="s">
        <v>13516</v>
      </c>
      <c r="G734" s="1" t="s">
        <v>13517</v>
      </c>
      <c r="H734" s="1" t="s">
        <v>13518</v>
      </c>
      <c r="I734" s="1" t="s">
        <v>13519</v>
      </c>
      <c r="J734" s="1">
        <v>8591113784</v>
      </c>
      <c r="K734" s="1" t="s">
        <v>79</v>
      </c>
      <c r="L734" s="1" t="s">
        <v>13520</v>
      </c>
      <c r="M734" s="1" t="s">
        <v>81</v>
      </c>
      <c r="N734" s="1" t="s">
        <v>13521</v>
      </c>
      <c r="O734" s="1"/>
      <c r="P734" s="1" t="s">
        <v>1278</v>
      </c>
      <c r="Q734" s="1" t="s">
        <v>13522</v>
      </c>
      <c r="R734" s="1" t="s">
        <v>13523</v>
      </c>
      <c r="S734" s="1">
        <v>9619191590</v>
      </c>
      <c r="T734" s="1" t="s">
        <v>87</v>
      </c>
      <c r="U734" s="1" t="s">
        <v>13524</v>
      </c>
      <c r="V734" s="1">
        <v>9619191330</v>
      </c>
      <c r="W734" s="1" t="s">
        <v>13525</v>
      </c>
      <c r="X734" s="1" t="s">
        <v>13526</v>
      </c>
      <c r="Y734" s="1" t="s">
        <v>995</v>
      </c>
      <c r="Z734" s="1" t="s">
        <v>92</v>
      </c>
      <c r="AA734" s="1" t="s">
        <v>13526</v>
      </c>
      <c r="AB734" s="1" t="s">
        <v>995</v>
      </c>
      <c r="AC734" s="1" t="s">
        <v>92</v>
      </c>
      <c r="AD734" s="1" t="s">
        <v>93</v>
      </c>
      <c r="AE734" s="1" t="s">
        <v>93</v>
      </c>
      <c r="AF734" s="1" t="s">
        <v>13527</v>
      </c>
      <c r="AG734" s="1" t="s">
        <v>13528</v>
      </c>
      <c r="AH734" s="1" t="s">
        <v>166</v>
      </c>
      <c r="AI734" s="1" t="s">
        <v>308</v>
      </c>
      <c r="AJ734" s="1">
        <v>83</v>
      </c>
      <c r="AK734" s="1">
        <v>8.7</v>
      </c>
      <c r="AL734" s="1" t="s">
        <v>13529</v>
      </c>
      <c r="AM734" s="1" t="s">
        <v>13530</v>
      </c>
      <c r="AN734" s="1" t="s">
        <v>310</v>
      </c>
      <c r="AO734" s="1" t="s">
        <v>436</v>
      </c>
      <c r="AP734" s="1">
        <v>79.8</v>
      </c>
      <c r="AQ734" s="1">
        <v>8.4</v>
      </c>
      <c r="AR734" s="1"/>
      <c r="AS734" s="1"/>
      <c r="AT734" s="1"/>
      <c r="AU734" s="1"/>
      <c r="AV734" s="1"/>
      <c r="AW734" s="1"/>
      <c r="AX734" s="1" t="s">
        <v>253</v>
      </c>
      <c r="AY734" s="1" t="s">
        <v>13531</v>
      </c>
      <c r="AZ734" s="1" t="s">
        <v>506</v>
      </c>
      <c r="BA734" s="1" t="s">
        <v>1584</v>
      </c>
      <c r="BB734" s="1">
        <v>60.86</v>
      </c>
      <c r="BC734" s="1">
        <v>6.63</v>
      </c>
      <c r="BD734" s="1"/>
      <c r="BE734" s="1"/>
      <c r="BF734" s="1"/>
      <c r="BG734" s="1"/>
      <c r="BH734" s="1"/>
      <c r="BI734" s="1"/>
      <c r="BJ734" s="1" t="s">
        <v>1383</v>
      </c>
      <c r="BK734" s="1"/>
      <c r="BL734" s="1"/>
      <c r="BM734" s="1" t="s">
        <v>13532</v>
      </c>
      <c r="BN734" s="1">
        <v>8</v>
      </c>
      <c r="BO734" s="1"/>
      <c r="BP734" s="1" t="str">
        <f>HYPERLINK("https://nconnect.nicmar.ac.in/storage/profile/ProfilePhoto_P25700699_273694.jpg","Download")</f>
        <v>0</v>
      </c>
      <c r="BQ734" s="3"/>
      <c r="BR734" s="3"/>
    </row>
    <row r="735" spans="1:70">
      <c r="A735" s="1" t="s">
        <v>70</v>
      </c>
      <c r="B735" s="1" t="s">
        <v>1269</v>
      </c>
      <c r="C735" s="1" t="s">
        <v>13533</v>
      </c>
      <c r="D735" s="1" t="s">
        <v>7315</v>
      </c>
      <c r="E735" s="1" t="s">
        <v>13534</v>
      </c>
      <c r="F735" s="1" t="s">
        <v>13535</v>
      </c>
      <c r="G735" s="1" t="s">
        <v>13536</v>
      </c>
      <c r="H735" s="1" t="s">
        <v>13537</v>
      </c>
      <c r="I735" s="1" t="s">
        <v>13538</v>
      </c>
      <c r="J735" s="1">
        <v>7499330075</v>
      </c>
      <c r="K735" s="1" t="s">
        <v>79</v>
      </c>
      <c r="L735" s="1" t="s">
        <v>13539</v>
      </c>
      <c r="M735" s="1" t="s">
        <v>81</v>
      </c>
      <c r="N735" s="1" t="s">
        <v>1418</v>
      </c>
      <c r="O735" s="1"/>
      <c r="P735" s="1" t="s">
        <v>1298</v>
      </c>
      <c r="Q735" s="1" t="s">
        <v>13540</v>
      </c>
      <c r="R735" s="1" t="s">
        <v>13541</v>
      </c>
      <c r="S735" s="1">
        <v>9152010059</v>
      </c>
      <c r="T735" s="1" t="s">
        <v>87</v>
      </c>
      <c r="U735" s="1" t="s">
        <v>7899</v>
      </c>
      <c r="V735" s="1">
        <v>7756891346</v>
      </c>
      <c r="W735" s="1" t="s">
        <v>122</v>
      </c>
      <c r="X735" s="1" t="s">
        <v>13542</v>
      </c>
      <c r="Y735" s="1" t="s">
        <v>191</v>
      </c>
      <c r="Z735" s="1" t="s">
        <v>92</v>
      </c>
      <c r="AA735" s="1" t="s">
        <v>13543</v>
      </c>
      <c r="AB735" s="1" t="s">
        <v>2790</v>
      </c>
      <c r="AC735" s="1" t="s">
        <v>92</v>
      </c>
      <c r="AD735" s="1">
        <v>8.49</v>
      </c>
      <c r="AE735" s="1" t="s">
        <v>93</v>
      </c>
      <c r="AF735" s="1" t="s">
        <v>13544</v>
      </c>
      <c r="AG735" s="1" t="s">
        <v>13545</v>
      </c>
      <c r="AH735" s="1" t="s">
        <v>527</v>
      </c>
      <c r="AI735" s="1" t="s">
        <v>195</v>
      </c>
      <c r="AJ735" s="1">
        <v>87.4</v>
      </c>
      <c r="AK735" s="1"/>
      <c r="AL735" s="1"/>
      <c r="AM735" s="1"/>
      <c r="AN735" s="1"/>
      <c r="AO735" s="1"/>
      <c r="AP735" s="1"/>
      <c r="AQ735" s="1"/>
      <c r="AR735" s="1" t="s">
        <v>434</v>
      </c>
      <c r="AS735" s="1" t="s">
        <v>13546</v>
      </c>
      <c r="AT735" s="1" t="s">
        <v>383</v>
      </c>
      <c r="AU735" s="1" t="s">
        <v>941</v>
      </c>
      <c r="AV735" s="1">
        <v>77.5</v>
      </c>
      <c r="AW735" s="1"/>
      <c r="AX735" s="1" t="s">
        <v>13547</v>
      </c>
      <c r="AY735" s="1" t="s">
        <v>13548</v>
      </c>
      <c r="AZ735" s="1" t="s">
        <v>681</v>
      </c>
      <c r="BA735" s="1" t="s">
        <v>1090</v>
      </c>
      <c r="BB735" s="1">
        <v>74.83</v>
      </c>
      <c r="BC735" s="1"/>
      <c r="BD735" s="1"/>
      <c r="BE735" s="1"/>
      <c r="BF735" s="1"/>
      <c r="BG735" s="1"/>
      <c r="BH735" s="1"/>
      <c r="BI735" s="1"/>
      <c r="BJ735" s="1" t="s">
        <v>1383</v>
      </c>
      <c r="BK735" s="1" t="s">
        <v>13549</v>
      </c>
      <c r="BL735" s="1" t="s">
        <v>619</v>
      </c>
      <c r="BM735" s="1" t="s">
        <v>13550</v>
      </c>
      <c r="BN735" s="1">
        <v>17</v>
      </c>
      <c r="BO735" s="1"/>
      <c r="BP735" s="1" t="str">
        <f>HYPERLINK("https://nconnect.nicmar.ac.in/storage/profile/ProfilePhoto_P25700700_612583.jpg","Download")</f>
        <v>0</v>
      </c>
      <c r="BQ735" s="3"/>
      <c r="BR735" s="3"/>
    </row>
    <row r="736" spans="1:70">
      <c r="A736" s="1" t="s">
        <v>70</v>
      </c>
      <c r="B736" s="1" t="s">
        <v>1269</v>
      </c>
      <c r="C736" s="1" t="s">
        <v>13551</v>
      </c>
      <c r="D736" s="1" t="s">
        <v>13552</v>
      </c>
      <c r="E736" s="1" t="s">
        <v>13553</v>
      </c>
      <c r="F736" s="1" t="s">
        <v>13554</v>
      </c>
      <c r="G736" s="1" t="s">
        <v>13555</v>
      </c>
      <c r="H736" s="1" t="s">
        <v>13556</v>
      </c>
      <c r="I736" s="1" t="s">
        <v>13557</v>
      </c>
      <c r="J736" s="1">
        <v>9987646219</v>
      </c>
      <c r="K736" s="1" t="s">
        <v>148</v>
      </c>
      <c r="L736" s="1" t="s">
        <v>13558</v>
      </c>
      <c r="M736" s="1" t="s">
        <v>81</v>
      </c>
      <c r="N736" s="1" t="s">
        <v>13559</v>
      </c>
      <c r="O736" s="1"/>
      <c r="P736" s="1" t="s">
        <v>1323</v>
      </c>
      <c r="Q736" s="1" t="s">
        <v>13560</v>
      </c>
      <c r="R736" s="1" t="s">
        <v>13561</v>
      </c>
      <c r="S736" s="1">
        <v>9890186920</v>
      </c>
      <c r="T736" s="1" t="s">
        <v>13562</v>
      </c>
      <c r="U736" s="1" t="s">
        <v>13563</v>
      </c>
      <c r="V736" s="1">
        <v>9890504648</v>
      </c>
      <c r="W736" s="1" t="s">
        <v>13564</v>
      </c>
      <c r="X736" s="1" t="s">
        <v>13565</v>
      </c>
      <c r="Y736" s="1" t="s">
        <v>191</v>
      </c>
      <c r="Z736" s="1" t="s">
        <v>92</v>
      </c>
      <c r="AA736" s="1" t="s">
        <v>13565</v>
      </c>
      <c r="AB736" s="1" t="s">
        <v>191</v>
      </c>
      <c r="AC736" s="1" t="s">
        <v>92</v>
      </c>
      <c r="AD736" s="1">
        <v>7.69</v>
      </c>
      <c r="AE736" s="1" t="s">
        <v>93</v>
      </c>
      <c r="AF736" s="1" t="s">
        <v>13566</v>
      </c>
      <c r="AG736" s="1" t="s">
        <v>3862</v>
      </c>
      <c r="AH736" s="1" t="s">
        <v>165</v>
      </c>
      <c r="AI736" s="1" t="s">
        <v>101</v>
      </c>
      <c r="AJ736" s="1">
        <v>76.4</v>
      </c>
      <c r="AK736" s="1"/>
      <c r="AL736" s="1"/>
      <c r="AM736" s="1"/>
      <c r="AN736" s="1"/>
      <c r="AO736" s="1"/>
      <c r="AP736" s="1"/>
      <c r="AQ736" s="1"/>
      <c r="AR736" s="1" t="s">
        <v>98</v>
      </c>
      <c r="AS736" s="1" t="s">
        <v>13567</v>
      </c>
      <c r="AT736" s="1" t="s">
        <v>636</v>
      </c>
      <c r="AU736" s="1" t="s">
        <v>284</v>
      </c>
      <c r="AV736" s="1">
        <v>79.58</v>
      </c>
      <c r="AW736" s="1"/>
      <c r="AX736" s="1" t="s">
        <v>361</v>
      </c>
      <c r="AY736" s="1" t="s">
        <v>13568</v>
      </c>
      <c r="AZ736" s="1" t="s">
        <v>874</v>
      </c>
      <c r="BA736" s="1" t="s">
        <v>1584</v>
      </c>
      <c r="BB736" s="1">
        <v>65.6</v>
      </c>
      <c r="BC736" s="1">
        <v>7.31</v>
      </c>
      <c r="BD736" s="1"/>
      <c r="BE736" s="1"/>
      <c r="BF736" s="1"/>
      <c r="BG736" s="1"/>
      <c r="BH736" s="1"/>
      <c r="BI736" s="1"/>
      <c r="BJ736" s="1" t="s">
        <v>13569</v>
      </c>
      <c r="BK736" s="1"/>
      <c r="BL736" s="1"/>
      <c r="BM736" s="1" t="s">
        <v>13570</v>
      </c>
      <c r="BN736" s="1">
        <v>44</v>
      </c>
      <c r="BO736" s="1"/>
      <c r="BP736" s="1" t="str">
        <f>HYPERLINK("https://nconnect.nicmar.ac.in/storage/profile/6a64a0cad9a96.png","Download")</f>
        <v>0</v>
      </c>
      <c r="BQ736" s="3"/>
      <c r="BR736" s="3"/>
    </row>
    <row r="737" spans="1:70">
      <c r="A737" s="1" t="s">
        <v>70</v>
      </c>
      <c r="B737" s="1" t="s">
        <v>1269</v>
      </c>
      <c r="C737" s="1" t="s">
        <v>13571</v>
      </c>
      <c r="D737" s="1" t="s">
        <v>2167</v>
      </c>
      <c r="E737" s="1"/>
      <c r="F737" s="1" t="s">
        <v>835</v>
      </c>
      <c r="G737" s="1" t="s">
        <v>13572</v>
      </c>
      <c r="H737" s="1" t="s">
        <v>13573</v>
      </c>
      <c r="I737" s="1" t="s">
        <v>13574</v>
      </c>
      <c r="J737" s="1">
        <v>8530789414</v>
      </c>
      <c r="K737" s="1" t="s">
        <v>79</v>
      </c>
      <c r="L737" s="1" t="s">
        <v>11208</v>
      </c>
      <c r="M737" s="1" t="s">
        <v>81</v>
      </c>
      <c r="N737" s="1" t="s">
        <v>860</v>
      </c>
      <c r="O737" s="1"/>
      <c r="P737" s="1" t="s">
        <v>1323</v>
      </c>
      <c r="Q737" s="1" t="s">
        <v>13575</v>
      </c>
      <c r="R737" s="1" t="s">
        <v>13576</v>
      </c>
      <c r="S737" s="1">
        <v>9860278729</v>
      </c>
      <c r="T737" s="1" t="s">
        <v>13577</v>
      </c>
      <c r="U737" s="1" t="s">
        <v>13578</v>
      </c>
      <c r="V737" s="1">
        <v>9834480766</v>
      </c>
      <c r="W737" s="1" t="s">
        <v>13579</v>
      </c>
      <c r="X737" s="1" t="s">
        <v>13580</v>
      </c>
      <c r="Y737" s="1" t="s">
        <v>191</v>
      </c>
      <c r="Z737" s="1" t="s">
        <v>92</v>
      </c>
      <c r="AA737" s="1" t="s">
        <v>13580</v>
      </c>
      <c r="AB737" s="1" t="s">
        <v>191</v>
      </c>
      <c r="AC737" s="1" t="s">
        <v>92</v>
      </c>
      <c r="AD737" s="1">
        <v>7.37</v>
      </c>
      <c r="AE737" s="1" t="s">
        <v>93</v>
      </c>
      <c r="AF737" s="1" t="s">
        <v>12514</v>
      </c>
      <c r="AG737" s="1" t="s">
        <v>13581</v>
      </c>
      <c r="AH737" s="1" t="s">
        <v>503</v>
      </c>
      <c r="AI737" s="1" t="s">
        <v>456</v>
      </c>
      <c r="AJ737" s="1">
        <v>64.6</v>
      </c>
      <c r="AK737" s="1">
        <v>6.8</v>
      </c>
      <c r="AL737" s="1" t="s">
        <v>13582</v>
      </c>
      <c r="AM737" s="1" t="s">
        <v>13583</v>
      </c>
      <c r="AN737" s="1" t="s">
        <v>162</v>
      </c>
      <c r="AO737" s="1" t="s">
        <v>166</v>
      </c>
      <c r="AP737" s="1">
        <v>64.15</v>
      </c>
      <c r="AQ737" s="1"/>
      <c r="AR737" s="1"/>
      <c r="AS737" s="1"/>
      <c r="AT737" s="1"/>
      <c r="AU737" s="1"/>
      <c r="AV737" s="1"/>
      <c r="AW737" s="1"/>
      <c r="AX737" s="1" t="s">
        <v>361</v>
      </c>
      <c r="AY737" s="1" t="s">
        <v>13584</v>
      </c>
      <c r="AZ737" s="1" t="s">
        <v>169</v>
      </c>
      <c r="BA737" s="1" t="s">
        <v>575</v>
      </c>
      <c r="BB737" s="1">
        <v>61</v>
      </c>
      <c r="BC737" s="1">
        <v>8.14</v>
      </c>
      <c r="BD737" s="1"/>
      <c r="BE737" s="1"/>
      <c r="BF737" s="1"/>
      <c r="BG737" s="1"/>
      <c r="BH737" s="1"/>
      <c r="BI737" s="1"/>
      <c r="BJ737" s="1" t="s">
        <v>734</v>
      </c>
      <c r="BK737" s="1"/>
      <c r="BL737" s="1"/>
      <c r="BM737" s="1"/>
      <c r="BN737" s="1"/>
      <c r="BO737" s="1"/>
      <c r="BP737" s="1" t="str">
        <f>HYPERLINK("https://nconnect.nicmar.ac.in/storage/profile/ProfilePhoto_P25700702_167429.jpg","Download")</f>
        <v>0</v>
      </c>
      <c r="BQ737" s="3"/>
      <c r="BR737" s="3"/>
    </row>
    <row r="738" spans="1:70">
      <c r="A738" s="1" t="s">
        <v>70</v>
      </c>
      <c r="B738" s="1" t="s">
        <v>1269</v>
      </c>
      <c r="C738" s="1" t="s">
        <v>13585</v>
      </c>
      <c r="D738" s="1" t="s">
        <v>13586</v>
      </c>
      <c r="E738" s="1"/>
      <c r="F738" s="1" t="s">
        <v>13587</v>
      </c>
      <c r="G738" s="1" t="s">
        <v>13588</v>
      </c>
      <c r="H738" s="1" t="s">
        <v>13589</v>
      </c>
      <c r="I738" s="1" t="s">
        <v>13590</v>
      </c>
      <c r="J738" s="1">
        <v>8849604655</v>
      </c>
      <c r="K738" s="1" t="s">
        <v>148</v>
      </c>
      <c r="L738" s="1" t="s">
        <v>13591</v>
      </c>
      <c r="M738" s="1" t="s">
        <v>150</v>
      </c>
      <c r="N738" s="1" t="s">
        <v>13592</v>
      </c>
      <c r="O738" s="1"/>
      <c r="P738" s="1" t="s">
        <v>1278</v>
      </c>
      <c r="Q738" s="1" t="s">
        <v>13593</v>
      </c>
      <c r="R738" s="1" t="s">
        <v>13594</v>
      </c>
      <c r="S738" s="1">
        <v>9409087405</v>
      </c>
      <c r="T738" s="1" t="s">
        <v>120</v>
      </c>
      <c r="U738" s="1" t="s">
        <v>13595</v>
      </c>
      <c r="V738" s="1">
        <v>8849612019</v>
      </c>
      <c r="W738" s="1" t="s">
        <v>651</v>
      </c>
      <c r="X738" s="1" t="s">
        <v>13596</v>
      </c>
      <c r="Y738" s="1" t="s">
        <v>191</v>
      </c>
      <c r="Z738" s="1" t="s">
        <v>92</v>
      </c>
      <c r="AA738" s="1" t="s">
        <v>13597</v>
      </c>
      <c r="AB738" s="1" t="s">
        <v>6088</v>
      </c>
      <c r="AC738" s="1" t="s">
        <v>1237</v>
      </c>
      <c r="AD738" s="1">
        <v>8.56</v>
      </c>
      <c r="AE738" s="1" t="s">
        <v>93</v>
      </c>
      <c r="AF738" s="1" t="s">
        <v>13598</v>
      </c>
      <c r="AG738" s="1" t="s">
        <v>13599</v>
      </c>
      <c r="AH738" s="1" t="s">
        <v>8032</v>
      </c>
      <c r="AI738" s="1" t="s">
        <v>1668</v>
      </c>
      <c r="AJ738" s="1">
        <v>81.38</v>
      </c>
      <c r="AK738" s="1"/>
      <c r="AL738" s="1" t="s">
        <v>13600</v>
      </c>
      <c r="AM738" s="1" t="s">
        <v>13601</v>
      </c>
      <c r="AN738" s="1" t="s">
        <v>1240</v>
      </c>
      <c r="AO738" s="1" t="s">
        <v>727</v>
      </c>
      <c r="AP738" s="1">
        <v>81.53</v>
      </c>
      <c r="AQ738" s="1"/>
      <c r="AR738" s="1"/>
      <c r="AS738" s="1"/>
      <c r="AT738" s="1"/>
      <c r="AU738" s="1"/>
      <c r="AV738" s="1"/>
      <c r="AW738" s="1"/>
      <c r="AX738" s="1" t="s">
        <v>13602</v>
      </c>
      <c r="AY738" s="1" t="s">
        <v>13603</v>
      </c>
      <c r="AZ738" s="1" t="s">
        <v>128</v>
      </c>
      <c r="BA738" s="1" t="s">
        <v>383</v>
      </c>
      <c r="BB738" s="1">
        <v>65.37</v>
      </c>
      <c r="BC738" s="1"/>
      <c r="BD738" s="1"/>
      <c r="BE738" s="1"/>
      <c r="BF738" s="1"/>
      <c r="BG738" s="1"/>
      <c r="BH738" s="1"/>
      <c r="BI738" s="1"/>
      <c r="BJ738" s="1" t="s">
        <v>13604</v>
      </c>
      <c r="BK738" s="1" t="s">
        <v>13605</v>
      </c>
      <c r="BL738" s="1" t="s">
        <v>1202</v>
      </c>
      <c r="BM738" s="1" t="s">
        <v>13606</v>
      </c>
      <c r="BN738" s="1">
        <v>74</v>
      </c>
      <c r="BO738" s="1" t="s">
        <v>13607</v>
      </c>
      <c r="BP738" s="1" t="str">
        <f>HYPERLINK("https://nconnect.nicmar.ac.in/storage/profile/ProfilePhoto_P25700703_628351.jpg","Download")</f>
        <v>0</v>
      </c>
      <c r="BQ738" s="3"/>
      <c r="BR738" s="3"/>
    </row>
    <row r="739" spans="1:70">
      <c r="A739" s="1" t="s">
        <v>70</v>
      </c>
      <c r="B739" s="1" t="s">
        <v>1269</v>
      </c>
      <c r="C739" s="1" t="s">
        <v>13608</v>
      </c>
      <c r="D739" s="1" t="s">
        <v>793</v>
      </c>
      <c r="E739" s="1" t="s">
        <v>3304</v>
      </c>
      <c r="F739" s="1" t="s">
        <v>13609</v>
      </c>
      <c r="G739" s="1" t="s">
        <v>13610</v>
      </c>
      <c r="H739" s="1" t="s">
        <v>13611</v>
      </c>
      <c r="I739" s="1" t="s">
        <v>13612</v>
      </c>
      <c r="J739" s="1">
        <v>8766604754</v>
      </c>
      <c r="K739" s="1" t="s">
        <v>79</v>
      </c>
      <c r="L739" s="1" t="s">
        <v>13613</v>
      </c>
      <c r="M739" s="1" t="s">
        <v>81</v>
      </c>
      <c r="N739" s="1" t="s">
        <v>860</v>
      </c>
      <c r="O739" s="1"/>
      <c r="P739" s="1" t="s">
        <v>1278</v>
      </c>
      <c r="Q739" s="1" t="s">
        <v>13614</v>
      </c>
      <c r="R739" s="1" t="s">
        <v>3304</v>
      </c>
      <c r="S739" s="1">
        <v>7588043653</v>
      </c>
      <c r="T739" s="1" t="s">
        <v>472</v>
      </c>
      <c r="U739" s="1" t="s">
        <v>13615</v>
      </c>
      <c r="V739" s="1">
        <v>9325638120</v>
      </c>
      <c r="W739" s="1" t="s">
        <v>156</v>
      </c>
      <c r="X739" s="1" t="s">
        <v>13616</v>
      </c>
      <c r="Y739" s="1" t="s">
        <v>191</v>
      </c>
      <c r="Z739" s="1" t="s">
        <v>92</v>
      </c>
      <c r="AA739" s="1" t="s">
        <v>13617</v>
      </c>
      <c r="AB739" s="1" t="s">
        <v>91</v>
      </c>
      <c r="AC739" s="1" t="s">
        <v>92</v>
      </c>
      <c r="AD739" s="1">
        <v>7.77</v>
      </c>
      <c r="AE739" s="1" t="s">
        <v>93</v>
      </c>
      <c r="AF739" s="1" t="s">
        <v>13618</v>
      </c>
      <c r="AG739" s="1" t="s">
        <v>476</v>
      </c>
      <c r="AH739" s="1" t="s">
        <v>101</v>
      </c>
      <c r="AI739" s="1" t="s">
        <v>409</v>
      </c>
      <c r="AJ739" s="1">
        <v>72.4</v>
      </c>
      <c r="AK739" s="1"/>
      <c r="AL739" s="1" t="s">
        <v>13619</v>
      </c>
      <c r="AM739" s="1" t="s">
        <v>476</v>
      </c>
      <c r="AN739" s="1" t="s">
        <v>5504</v>
      </c>
      <c r="AO739" s="1" t="s">
        <v>1712</v>
      </c>
      <c r="AP739" s="1">
        <v>69.17</v>
      </c>
      <c r="AQ739" s="1"/>
      <c r="AR739" s="1"/>
      <c r="AS739" s="1"/>
      <c r="AT739" s="1"/>
      <c r="AU739" s="1"/>
      <c r="AV739" s="1"/>
      <c r="AW739" s="1"/>
      <c r="AX739" s="1" t="s">
        <v>361</v>
      </c>
      <c r="AY739" s="1" t="s">
        <v>13620</v>
      </c>
      <c r="AZ739" s="1" t="s">
        <v>897</v>
      </c>
      <c r="BA739" s="1" t="s">
        <v>1361</v>
      </c>
      <c r="BB739" s="1">
        <v>59.98</v>
      </c>
      <c r="BC739" s="1">
        <v>6.74</v>
      </c>
      <c r="BD739" s="1"/>
      <c r="BE739" s="1"/>
      <c r="BF739" s="1"/>
      <c r="BG739" s="1"/>
      <c r="BH739" s="1"/>
      <c r="BI739" s="1"/>
      <c r="BJ739" s="1" t="s">
        <v>13621</v>
      </c>
      <c r="BK739" s="1"/>
      <c r="BL739" s="1"/>
      <c r="BM739" s="1" t="s">
        <v>13622</v>
      </c>
      <c r="BN739" s="1">
        <v>13</v>
      </c>
      <c r="BO739" s="1" t="s">
        <v>13623</v>
      </c>
      <c r="BP739" s="1" t="str">
        <f>HYPERLINK("https://nconnect.nicmar.ac.in/storage/profile/ProfilePhoto_P25700704_865749.jpg","Download")</f>
        <v>0</v>
      </c>
      <c r="BQ739" s="3"/>
      <c r="BR739" s="3"/>
    </row>
    <row r="740" spans="1:70">
      <c r="A740" s="1" t="s">
        <v>70</v>
      </c>
      <c r="B740" s="1" t="s">
        <v>1269</v>
      </c>
      <c r="C740" s="1" t="s">
        <v>13624</v>
      </c>
      <c r="D740" s="1" t="s">
        <v>13625</v>
      </c>
      <c r="E740" s="1"/>
      <c r="F740" s="1" t="s">
        <v>13626</v>
      </c>
      <c r="G740" s="1" t="s">
        <v>13627</v>
      </c>
      <c r="H740" s="1" t="s">
        <v>13628</v>
      </c>
      <c r="I740" s="1" t="s">
        <v>13629</v>
      </c>
      <c r="J740" s="1">
        <v>7729951562</v>
      </c>
      <c r="K740" s="1" t="s">
        <v>79</v>
      </c>
      <c r="L740" s="1" t="s">
        <v>13630</v>
      </c>
      <c r="M740" s="1" t="s">
        <v>81</v>
      </c>
      <c r="N740" s="1" t="s">
        <v>13631</v>
      </c>
      <c r="O740" s="1"/>
      <c r="P740" s="1" t="s">
        <v>1278</v>
      </c>
      <c r="Q740" s="1" t="s">
        <v>13632</v>
      </c>
      <c r="R740" s="1" t="s">
        <v>13633</v>
      </c>
      <c r="S740" s="1">
        <v>8464861562</v>
      </c>
      <c r="T740" s="1" t="s">
        <v>496</v>
      </c>
      <c r="U740" s="1" t="s">
        <v>13634</v>
      </c>
      <c r="V740" s="1">
        <v>9182034044</v>
      </c>
      <c r="W740" s="1" t="s">
        <v>89</v>
      </c>
      <c r="X740" s="1" t="s">
        <v>13635</v>
      </c>
      <c r="Y740" s="1" t="s">
        <v>2263</v>
      </c>
      <c r="Z740" s="1" t="s">
        <v>276</v>
      </c>
      <c r="AA740" s="1" t="s">
        <v>13635</v>
      </c>
      <c r="AB740" s="1" t="s">
        <v>2263</v>
      </c>
      <c r="AC740" s="1" t="s">
        <v>276</v>
      </c>
      <c r="AD740" s="1">
        <v>8.2</v>
      </c>
      <c r="AE740" s="1" t="s">
        <v>93</v>
      </c>
      <c r="AF740" s="1" t="s">
        <v>13636</v>
      </c>
      <c r="AG740" s="1" t="s">
        <v>13637</v>
      </c>
      <c r="AH740" s="1" t="s">
        <v>165</v>
      </c>
      <c r="AI740" s="1" t="s">
        <v>281</v>
      </c>
      <c r="AJ740" s="1">
        <v>95</v>
      </c>
      <c r="AK740" s="1">
        <v>9.5</v>
      </c>
      <c r="AL740" s="1" t="s">
        <v>4323</v>
      </c>
      <c r="AM740" s="1" t="s">
        <v>1154</v>
      </c>
      <c r="AN740" s="1" t="s">
        <v>433</v>
      </c>
      <c r="AO740" s="1" t="s">
        <v>941</v>
      </c>
      <c r="AP740" s="1">
        <v>94</v>
      </c>
      <c r="AQ740" s="1">
        <v>9.4</v>
      </c>
      <c r="AR740" s="1"/>
      <c r="AS740" s="1"/>
      <c r="AT740" s="1"/>
      <c r="AU740" s="1"/>
      <c r="AV740" s="1"/>
      <c r="AW740" s="1"/>
      <c r="AX740" s="1" t="s">
        <v>13638</v>
      </c>
      <c r="AY740" s="1" t="s">
        <v>13638</v>
      </c>
      <c r="AZ740" s="1" t="s">
        <v>170</v>
      </c>
      <c r="BA740" s="1" t="s">
        <v>202</v>
      </c>
      <c r="BB740" s="1">
        <v>76.3</v>
      </c>
      <c r="BC740" s="1">
        <v>8.13</v>
      </c>
      <c r="BD740" s="1"/>
      <c r="BE740" s="1"/>
      <c r="BF740" s="1"/>
      <c r="BG740" s="1"/>
      <c r="BH740" s="1"/>
      <c r="BI740" s="1"/>
      <c r="BJ740" s="1" t="s">
        <v>13639</v>
      </c>
      <c r="BK740" s="1"/>
      <c r="BL740" s="1"/>
      <c r="BM740" s="1" t="s">
        <v>13640</v>
      </c>
      <c r="BN740" s="1">
        <v>16</v>
      </c>
      <c r="BO740" s="1" t="s">
        <v>13641</v>
      </c>
      <c r="BP740" s="1" t="str">
        <f>HYPERLINK("https://nconnect.nicmar.ac.in/storage/profile/ProfilePhoto_P25700705_645739.jpg","Download")</f>
        <v>0</v>
      </c>
      <c r="BQ740" s="3"/>
      <c r="BR740" s="3"/>
    </row>
    <row r="741" spans="1:70">
      <c r="A741" s="1" t="s">
        <v>70</v>
      </c>
      <c r="B741" s="1" t="s">
        <v>1269</v>
      </c>
      <c r="C741" s="1" t="s">
        <v>13642</v>
      </c>
      <c r="D741" s="1" t="s">
        <v>13643</v>
      </c>
      <c r="E741" s="1" t="s">
        <v>144</v>
      </c>
      <c r="F741" s="1" t="s">
        <v>13644</v>
      </c>
      <c r="G741" s="1" t="s">
        <v>13645</v>
      </c>
      <c r="H741" s="1" t="s">
        <v>13646</v>
      </c>
      <c r="I741" s="1" t="s">
        <v>13647</v>
      </c>
      <c r="J741" s="1">
        <v>9765720252</v>
      </c>
      <c r="K741" s="1" t="s">
        <v>79</v>
      </c>
      <c r="L741" s="1" t="s">
        <v>349</v>
      </c>
      <c r="M741" s="1" t="s">
        <v>81</v>
      </c>
      <c r="N741" s="1" t="s">
        <v>2008</v>
      </c>
      <c r="O741" s="1"/>
      <c r="P741" s="1" t="s">
        <v>1298</v>
      </c>
      <c r="Q741" s="1" t="s">
        <v>13648</v>
      </c>
      <c r="R741" s="1" t="s">
        <v>144</v>
      </c>
      <c r="S741" s="1">
        <v>9921944604</v>
      </c>
      <c r="T741" s="1" t="s">
        <v>496</v>
      </c>
      <c r="U741" s="1" t="s">
        <v>12016</v>
      </c>
      <c r="V741" s="1">
        <v>8007541104</v>
      </c>
      <c r="W741" s="1" t="s">
        <v>273</v>
      </c>
      <c r="X741" s="1" t="s">
        <v>13649</v>
      </c>
      <c r="Y741" s="1" t="s">
        <v>379</v>
      </c>
      <c r="Z741" s="1" t="s">
        <v>92</v>
      </c>
      <c r="AA741" s="1" t="s">
        <v>13649</v>
      </c>
      <c r="AB741" s="1" t="s">
        <v>379</v>
      </c>
      <c r="AC741" s="1" t="s">
        <v>92</v>
      </c>
      <c r="AD741" s="1">
        <v>7.61</v>
      </c>
      <c r="AE741" s="1" t="s">
        <v>93</v>
      </c>
      <c r="AF741" s="1" t="s">
        <v>13650</v>
      </c>
      <c r="AG741" s="1" t="s">
        <v>160</v>
      </c>
      <c r="AH741" s="1" t="s">
        <v>101</v>
      </c>
      <c r="AI741" s="1" t="s">
        <v>409</v>
      </c>
      <c r="AJ741" s="1">
        <v>71.8</v>
      </c>
      <c r="AK741" s="1"/>
      <c r="AL741" s="1"/>
      <c r="AM741" s="1"/>
      <c r="AN741" s="1"/>
      <c r="AO741" s="1"/>
      <c r="AP741" s="1"/>
      <c r="AQ741" s="1"/>
      <c r="AR741" s="1" t="s">
        <v>250</v>
      </c>
      <c r="AS741" s="1" t="s">
        <v>13651</v>
      </c>
      <c r="AT741" s="1" t="s">
        <v>13652</v>
      </c>
      <c r="AU741" s="1" t="s">
        <v>481</v>
      </c>
      <c r="AV741" s="1">
        <v>79.05</v>
      </c>
      <c r="AW741" s="1"/>
      <c r="AX741" s="1" t="s">
        <v>361</v>
      </c>
      <c r="AY741" s="1" t="s">
        <v>13653</v>
      </c>
      <c r="AZ741" s="1" t="s">
        <v>2693</v>
      </c>
      <c r="BA741" s="1" t="s">
        <v>1714</v>
      </c>
      <c r="BB741" s="1">
        <v>61.14</v>
      </c>
      <c r="BC741" s="1">
        <v>6.87</v>
      </c>
      <c r="BD741" s="1"/>
      <c r="BE741" s="1"/>
      <c r="BF741" s="1"/>
      <c r="BG741" s="1"/>
      <c r="BH741" s="1"/>
      <c r="BI741" s="1"/>
      <c r="BJ741" s="1" t="s">
        <v>13654</v>
      </c>
      <c r="BK741" s="1"/>
      <c r="BL741" s="1"/>
      <c r="BM741" s="1" t="s">
        <v>13655</v>
      </c>
      <c r="BN741" s="1">
        <v>13</v>
      </c>
      <c r="BO741" s="1" t="s">
        <v>13656</v>
      </c>
      <c r="BP741" s="1" t="str">
        <f>HYPERLINK("https://nconnect.nicmar.ac.in/storage/profile/ProfilePhoto_P25700706_624518.jpg","Download")</f>
        <v>0</v>
      </c>
      <c r="BQ741" s="3"/>
      <c r="BR741" s="3"/>
    </row>
    <row r="742" spans="1:70">
      <c r="A742" s="1" t="s">
        <v>70</v>
      </c>
      <c r="B742" s="1" t="s">
        <v>1269</v>
      </c>
      <c r="C742" s="1" t="s">
        <v>13657</v>
      </c>
      <c r="D742" s="1" t="s">
        <v>7882</v>
      </c>
      <c r="E742" s="1" t="s">
        <v>13658</v>
      </c>
      <c r="F742" s="1" t="s">
        <v>13659</v>
      </c>
      <c r="G742" s="1" t="s">
        <v>13660</v>
      </c>
      <c r="H742" s="1" t="s">
        <v>13661</v>
      </c>
      <c r="I742" s="1" t="s">
        <v>13662</v>
      </c>
      <c r="J742" s="1">
        <v>9370294385</v>
      </c>
      <c r="K742" s="1" t="s">
        <v>79</v>
      </c>
      <c r="L742" s="1" t="s">
        <v>13663</v>
      </c>
      <c r="M742" s="1" t="s">
        <v>81</v>
      </c>
      <c r="N742" s="1" t="s">
        <v>13664</v>
      </c>
      <c r="O742" s="1"/>
      <c r="P742" s="1" t="s">
        <v>1323</v>
      </c>
      <c r="Q742" s="1" t="s">
        <v>13665</v>
      </c>
      <c r="R742" s="1" t="s">
        <v>13666</v>
      </c>
      <c r="S742" s="1">
        <v>9881560984</v>
      </c>
      <c r="T742" s="1" t="s">
        <v>154</v>
      </c>
      <c r="U742" s="1" t="s">
        <v>13667</v>
      </c>
      <c r="V742" s="1">
        <v>9923888898</v>
      </c>
      <c r="W742" s="1" t="s">
        <v>13668</v>
      </c>
      <c r="X742" s="1" t="s">
        <v>13669</v>
      </c>
      <c r="Y742" s="1" t="s">
        <v>5788</v>
      </c>
      <c r="Z742" s="1" t="s">
        <v>92</v>
      </c>
      <c r="AA742" s="1" t="s">
        <v>13669</v>
      </c>
      <c r="AB742" s="1" t="s">
        <v>5788</v>
      </c>
      <c r="AC742" s="1" t="s">
        <v>92</v>
      </c>
      <c r="AD742" s="1">
        <v>8.44</v>
      </c>
      <c r="AE742" s="1" t="s">
        <v>93</v>
      </c>
      <c r="AF742" s="1" t="s">
        <v>13670</v>
      </c>
      <c r="AG742" s="1" t="s">
        <v>476</v>
      </c>
      <c r="AH742" s="1" t="s">
        <v>165</v>
      </c>
      <c r="AI742" s="1" t="s">
        <v>1307</v>
      </c>
      <c r="AJ742" s="1">
        <v>89.6</v>
      </c>
      <c r="AK742" s="1">
        <v>0</v>
      </c>
      <c r="AL742" s="1" t="s">
        <v>13670</v>
      </c>
      <c r="AM742" s="1" t="s">
        <v>476</v>
      </c>
      <c r="AN742" s="1" t="s">
        <v>433</v>
      </c>
      <c r="AO742" s="1" t="s">
        <v>1834</v>
      </c>
      <c r="AP742" s="1">
        <v>66</v>
      </c>
      <c r="AQ742" s="1">
        <v>0</v>
      </c>
      <c r="AR742" s="1"/>
      <c r="AS742" s="1"/>
      <c r="AT742" s="1"/>
      <c r="AU742" s="1"/>
      <c r="AV742" s="1"/>
      <c r="AW742" s="1"/>
      <c r="AX742" s="1" t="s">
        <v>361</v>
      </c>
      <c r="AY742" s="1" t="s">
        <v>13671</v>
      </c>
      <c r="AZ742" s="1" t="s">
        <v>173</v>
      </c>
      <c r="BA742" s="1" t="s">
        <v>202</v>
      </c>
      <c r="BB742" s="1">
        <v>66.4</v>
      </c>
      <c r="BC742" s="1">
        <v>7.39</v>
      </c>
      <c r="BD742" s="1"/>
      <c r="BE742" s="1"/>
      <c r="BF742" s="1"/>
      <c r="BG742" s="1"/>
      <c r="BH742" s="1"/>
      <c r="BI742" s="1"/>
      <c r="BJ742" s="1" t="s">
        <v>13672</v>
      </c>
      <c r="BK742" s="1"/>
      <c r="BL742" s="1"/>
      <c r="BM742" s="1" t="s">
        <v>13673</v>
      </c>
      <c r="BN742" s="1">
        <v>34</v>
      </c>
      <c r="BO742" s="1" t="s">
        <v>13674</v>
      </c>
      <c r="BP742" s="1" t="str">
        <f>HYPERLINK("https://nconnect.nicmar.ac.in/storage/profile/ProfilePhoto_P25700707_593176.jpg","Download")</f>
        <v>0</v>
      </c>
      <c r="BQ742" s="3"/>
      <c r="BR742" s="3"/>
    </row>
    <row r="743" spans="1:70">
      <c r="A743" s="1" t="s">
        <v>70</v>
      </c>
      <c r="B743" s="1" t="s">
        <v>1269</v>
      </c>
      <c r="C743" s="1" t="s">
        <v>13675</v>
      </c>
      <c r="D743" s="1" t="s">
        <v>533</v>
      </c>
      <c r="E743" s="1" t="s">
        <v>13676</v>
      </c>
      <c r="F743" s="1" t="s">
        <v>13677</v>
      </c>
      <c r="G743" s="1" t="s">
        <v>13678</v>
      </c>
      <c r="H743" s="1" t="s">
        <v>13679</v>
      </c>
      <c r="I743" s="1" t="s">
        <v>13680</v>
      </c>
      <c r="J743" s="1">
        <v>9579792417</v>
      </c>
      <c r="K743" s="1" t="s">
        <v>79</v>
      </c>
      <c r="L743" s="1" t="s">
        <v>10700</v>
      </c>
      <c r="M743" s="1" t="s">
        <v>81</v>
      </c>
      <c r="N743" s="1" t="s">
        <v>13681</v>
      </c>
      <c r="O743" s="1"/>
      <c r="P743" s="1" t="s">
        <v>1323</v>
      </c>
      <c r="Q743" s="1" t="s">
        <v>13682</v>
      </c>
      <c r="R743" s="1" t="s">
        <v>13683</v>
      </c>
      <c r="S743" s="1">
        <v>9850111787</v>
      </c>
      <c r="T743" s="1" t="s">
        <v>496</v>
      </c>
      <c r="U743" s="1" t="s">
        <v>13684</v>
      </c>
      <c r="V743" s="1">
        <v>7755954069</v>
      </c>
      <c r="W743" s="1" t="s">
        <v>156</v>
      </c>
      <c r="X743" s="1" t="s">
        <v>13685</v>
      </c>
      <c r="Y743" s="1" t="s">
        <v>328</v>
      </c>
      <c r="Z743" s="1" t="s">
        <v>92</v>
      </c>
      <c r="AA743" s="1" t="s">
        <v>13685</v>
      </c>
      <c r="AB743" s="1" t="s">
        <v>328</v>
      </c>
      <c r="AC743" s="1" t="s">
        <v>92</v>
      </c>
      <c r="AD743" s="1">
        <v>8.85</v>
      </c>
      <c r="AE743" s="1" t="s">
        <v>93</v>
      </c>
      <c r="AF743" s="1" t="s">
        <v>13686</v>
      </c>
      <c r="AG743" s="1" t="s">
        <v>13687</v>
      </c>
      <c r="AH743" s="1" t="s">
        <v>281</v>
      </c>
      <c r="AI743" s="1" t="s">
        <v>409</v>
      </c>
      <c r="AJ743" s="1">
        <v>87.6</v>
      </c>
      <c r="AK743" s="1">
        <v>0</v>
      </c>
      <c r="AL743" s="1"/>
      <c r="AM743" s="1"/>
      <c r="AN743" s="1"/>
      <c r="AO743" s="1"/>
      <c r="AP743" s="1"/>
      <c r="AQ743" s="1"/>
      <c r="AR743" s="1" t="s">
        <v>434</v>
      </c>
      <c r="AS743" s="1" t="s">
        <v>13688</v>
      </c>
      <c r="AT743" s="1" t="s">
        <v>201</v>
      </c>
      <c r="AU743" s="1" t="s">
        <v>874</v>
      </c>
      <c r="AV743" s="1">
        <v>81</v>
      </c>
      <c r="AW743" s="1">
        <v>0</v>
      </c>
      <c r="AX743" s="1" t="s">
        <v>13689</v>
      </c>
      <c r="AY743" s="1" t="s">
        <v>4307</v>
      </c>
      <c r="AZ743" s="1" t="s">
        <v>2693</v>
      </c>
      <c r="BA743" s="1" t="s">
        <v>1584</v>
      </c>
      <c r="BB743" s="1">
        <v>64.81</v>
      </c>
      <c r="BC743" s="1">
        <v>7.43</v>
      </c>
      <c r="BD743" s="1"/>
      <c r="BE743" s="1"/>
      <c r="BF743" s="1"/>
      <c r="BG743" s="1"/>
      <c r="BH743" s="1"/>
      <c r="BI743" s="1"/>
      <c r="BJ743" s="1" t="s">
        <v>1383</v>
      </c>
      <c r="BK743" s="1"/>
      <c r="BL743" s="1"/>
      <c r="BM743" s="1" t="s">
        <v>13690</v>
      </c>
      <c r="BN743" s="1">
        <v>11</v>
      </c>
      <c r="BO743" s="1"/>
      <c r="BP743" s="1" t="str">
        <f>HYPERLINK("https://nconnect.nicmar.ac.in/storage/profile/ProfilePhoto_P25700708_764359.jpg","Download")</f>
        <v>0</v>
      </c>
      <c r="BQ743" s="3"/>
      <c r="BR743" s="3"/>
    </row>
    <row r="744" spans="1:70">
      <c r="A744" s="1" t="s">
        <v>70</v>
      </c>
      <c r="B744" s="1" t="s">
        <v>1269</v>
      </c>
      <c r="C744" s="1" t="s">
        <v>13691</v>
      </c>
      <c r="D744" s="1" t="s">
        <v>13692</v>
      </c>
      <c r="E744" s="1"/>
      <c r="F744" s="1" t="s">
        <v>13693</v>
      </c>
      <c r="G744" s="1" t="s">
        <v>13694</v>
      </c>
      <c r="H744" s="1" t="s">
        <v>13695</v>
      </c>
      <c r="I744" s="1" t="s">
        <v>13696</v>
      </c>
      <c r="J744" s="1">
        <v>9766780953</v>
      </c>
      <c r="K744" s="1" t="s">
        <v>148</v>
      </c>
      <c r="L744" s="1" t="s">
        <v>10613</v>
      </c>
      <c r="M744" s="1" t="s">
        <v>81</v>
      </c>
      <c r="N744" s="1" t="s">
        <v>2008</v>
      </c>
      <c r="O744" s="1"/>
      <c r="P744" s="1" t="s">
        <v>1323</v>
      </c>
      <c r="Q744" s="1" t="s">
        <v>13697</v>
      </c>
      <c r="R744" s="1" t="s">
        <v>13698</v>
      </c>
      <c r="S744" s="1">
        <v>7887711477</v>
      </c>
      <c r="T744" s="1" t="s">
        <v>13699</v>
      </c>
      <c r="U744" s="1" t="s">
        <v>13700</v>
      </c>
      <c r="V744" s="1">
        <v>8530340222</v>
      </c>
      <c r="W744" s="1" t="s">
        <v>13701</v>
      </c>
      <c r="X744" s="1" t="s">
        <v>13702</v>
      </c>
      <c r="Y744" s="1" t="s">
        <v>766</v>
      </c>
      <c r="Z744" s="1" t="s">
        <v>92</v>
      </c>
      <c r="AA744" s="1" t="s">
        <v>13702</v>
      </c>
      <c r="AB744" s="1" t="s">
        <v>766</v>
      </c>
      <c r="AC744" s="1" t="s">
        <v>92</v>
      </c>
      <c r="AD744" s="1">
        <v>7.12</v>
      </c>
      <c r="AE744" s="1" t="s">
        <v>93</v>
      </c>
      <c r="AF744" s="1" t="s">
        <v>13703</v>
      </c>
      <c r="AG744" s="1" t="s">
        <v>13704</v>
      </c>
      <c r="AH744" s="1" t="s">
        <v>337</v>
      </c>
      <c r="AI744" s="1" t="s">
        <v>162</v>
      </c>
      <c r="AJ744" s="1">
        <v>75.4</v>
      </c>
      <c r="AK744" s="1"/>
      <c r="AL744" s="1" t="s">
        <v>13705</v>
      </c>
      <c r="AM744" s="1" t="s">
        <v>13706</v>
      </c>
      <c r="AN744" s="1" t="s">
        <v>383</v>
      </c>
      <c r="AO744" s="1" t="s">
        <v>166</v>
      </c>
      <c r="AP744" s="1">
        <v>73.2</v>
      </c>
      <c r="AQ744" s="1"/>
      <c r="AR744" s="1" t="s">
        <v>434</v>
      </c>
      <c r="AS744" s="1" t="s">
        <v>13707</v>
      </c>
      <c r="AT744" s="1" t="s">
        <v>636</v>
      </c>
      <c r="AU744" s="1" t="s">
        <v>412</v>
      </c>
      <c r="AV744" s="1">
        <v>78.26</v>
      </c>
      <c r="AW744" s="1"/>
      <c r="AX744" s="1" t="s">
        <v>1024</v>
      </c>
      <c r="AY744" s="1" t="s">
        <v>13708</v>
      </c>
      <c r="AZ744" s="1" t="s">
        <v>920</v>
      </c>
      <c r="BA744" s="1" t="s">
        <v>413</v>
      </c>
      <c r="BB744" s="1">
        <v>65.95</v>
      </c>
      <c r="BC744" s="1">
        <v>6.47</v>
      </c>
      <c r="BD744" s="1"/>
      <c r="BE744" s="1"/>
      <c r="BF744" s="1"/>
      <c r="BG744" s="1"/>
      <c r="BH744" s="1"/>
      <c r="BI744" s="1"/>
      <c r="BJ744" s="1" t="s">
        <v>255</v>
      </c>
      <c r="BK744" s="1"/>
      <c r="BL744" s="1"/>
      <c r="BM744" s="1" t="s">
        <v>13709</v>
      </c>
      <c r="BN744" s="1">
        <v>8</v>
      </c>
      <c r="BO744" s="1"/>
      <c r="BP744" s="1" t="str">
        <f>HYPERLINK("https://nconnect.nicmar.ac.in/storage/profile/ProfilePhoto_P25700709_218653.jpg","Download")</f>
        <v>0</v>
      </c>
      <c r="BQ744" s="3"/>
      <c r="BR744" s="3"/>
    </row>
    <row r="745" spans="1:70">
      <c r="A745" s="1" t="s">
        <v>70</v>
      </c>
      <c r="B745" s="1" t="s">
        <v>1269</v>
      </c>
      <c r="C745" s="1" t="s">
        <v>13710</v>
      </c>
      <c r="D745" s="1" t="s">
        <v>8129</v>
      </c>
      <c r="E745" s="1" t="s">
        <v>13711</v>
      </c>
      <c r="F745" s="1" t="s">
        <v>4823</v>
      </c>
      <c r="G745" s="1" t="s">
        <v>13712</v>
      </c>
      <c r="H745" s="1" t="s">
        <v>13713</v>
      </c>
      <c r="I745" s="1" t="s">
        <v>13714</v>
      </c>
      <c r="J745" s="1">
        <v>8106398069</v>
      </c>
      <c r="K745" s="1" t="s">
        <v>79</v>
      </c>
      <c r="L745" s="1" t="s">
        <v>5239</v>
      </c>
      <c r="M745" s="1" t="s">
        <v>81</v>
      </c>
      <c r="N745" s="1" t="s">
        <v>2276</v>
      </c>
      <c r="O745" s="1"/>
      <c r="P745" s="1" t="s">
        <v>1298</v>
      </c>
      <c r="Q745" s="1" t="s">
        <v>13715</v>
      </c>
      <c r="R745" s="1" t="s">
        <v>13716</v>
      </c>
      <c r="S745" s="1">
        <v>9440100936</v>
      </c>
      <c r="T745" s="1" t="s">
        <v>496</v>
      </c>
      <c r="U745" s="1" t="s">
        <v>13717</v>
      </c>
      <c r="V745" s="1">
        <v>8309908261</v>
      </c>
      <c r="W745" s="1" t="s">
        <v>273</v>
      </c>
      <c r="X745" s="1" t="s">
        <v>13718</v>
      </c>
      <c r="Y745" s="1" t="s">
        <v>13719</v>
      </c>
      <c r="Z745" s="1" t="s">
        <v>276</v>
      </c>
      <c r="AA745" s="1" t="s">
        <v>13718</v>
      </c>
      <c r="AB745" s="1" t="s">
        <v>13719</v>
      </c>
      <c r="AC745" s="1" t="s">
        <v>276</v>
      </c>
      <c r="AD745" s="1">
        <v>8.44</v>
      </c>
      <c r="AE745" s="1" t="s">
        <v>93</v>
      </c>
      <c r="AF745" s="1" t="s">
        <v>9033</v>
      </c>
      <c r="AG745" s="1" t="s">
        <v>13720</v>
      </c>
      <c r="AH745" s="1" t="s">
        <v>165</v>
      </c>
      <c r="AI745" s="1" t="s">
        <v>1307</v>
      </c>
      <c r="AJ745" s="1">
        <v>95</v>
      </c>
      <c r="AK745" s="1">
        <v>9.5</v>
      </c>
      <c r="AL745" s="1" t="s">
        <v>612</v>
      </c>
      <c r="AM745" s="1" t="s">
        <v>13721</v>
      </c>
      <c r="AN745" s="1" t="s">
        <v>166</v>
      </c>
      <c r="AO745" s="1" t="s">
        <v>699</v>
      </c>
      <c r="AP745" s="1">
        <v>93.4</v>
      </c>
      <c r="AQ745" s="1">
        <v>9.82</v>
      </c>
      <c r="AR745" s="1"/>
      <c r="AS745" s="1"/>
      <c r="AT745" s="1"/>
      <c r="AU745" s="1"/>
      <c r="AV745" s="1"/>
      <c r="AW745" s="1"/>
      <c r="AX745" s="1" t="s">
        <v>7648</v>
      </c>
      <c r="AY745" s="1" t="s">
        <v>12056</v>
      </c>
      <c r="AZ745" s="1" t="s">
        <v>699</v>
      </c>
      <c r="BA745" s="1" t="s">
        <v>1939</v>
      </c>
      <c r="BB745" s="1">
        <v>79.2</v>
      </c>
      <c r="BC745" s="1">
        <v>7.92</v>
      </c>
      <c r="BD745" s="1"/>
      <c r="BE745" s="1"/>
      <c r="BF745" s="1"/>
      <c r="BG745" s="1"/>
      <c r="BH745" s="1"/>
      <c r="BI745" s="1"/>
      <c r="BJ745" s="1" t="s">
        <v>364</v>
      </c>
      <c r="BK745" s="1"/>
      <c r="BL745" s="1"/>
      <c r="BM745" s="1" t="s">
        <v>13722</v>
      </c>
      <c r="BN745" s="1">
        <v>1</v>
      </c>
      <c r="BO745" s="1"/>
      <c r="BP745" s="1" t="str">
        <f>HYPERLINK("https://nconnect.nicmar.ac.in/storage/profile/ProfilePhoto_P25700710_586142.jpg","Download")</f>
        <v>0</v>
      </c>
      <c r="BQ745" s="3"/>
      <c r="BR745" s="3"/>
    </row>
    <row r="746" spans="1:70">
      <c r="A746" s="1" t="s">
        <v>70</v>
      </c>
      <c r="B746" s="1" t="s">
        <v>1269</v>
      </c>
      <c r="C746" s="1" t="s">
        <v>13723</v>
      </c>
      <c r="D746" s="1" t="s">
        <v>13724</v>
      </c>
      <c r="E746" s="1" t="s">
        <v>13725</v>
      </c>
      <c r="F746" s="1" t="s">
        <v>13726</v>
      </c>
      <c r="G746" s="1" t="s">
        <v>13727</v>
      </c>
      <c r="H746" s="1" t="s">
        <v>13728</v>
      </c>
      <c r="I746" s="1" t="s">
        <v>13729</v>
      </c>
      <c r="J746" s="1">
        <v>9370752657</v>
      </c>
      <c r="K746" s="1" t="s">
        <v>79</v>
      </c>
      <c r="L746" s="1" t="s">
        <v>2721</v>
      </c>
      <c r="M746" s="1" t="s">
        <v>81</v>
      </c>
      <c r="N746" s="1" t="s">
        <v>13730</v>
      </c>
      <c r="O746" s="1"/>
      <c r="P746" s="1" t="s">
        <v>1278</v>
      </c>
      <c r="Q746" s="1" t="s">
        <v>13731</v>
      </c>
      <c r="R746" s="1" t="s">
        <v>13725</v>
      </c>
      <c r="S746" s="1">
        <v>7038098693</v>
      </c>
      <c r="T746" s="1" t="s">
        <v>13732</v>
      </c>
      <c r="U746" s="1" t="s">
        <v>9200</v>
      </c>
      <c r="V746" s="1">
        <v>8999943904</v>
      </c>
      <c r="W746" s="1" t="s">
        <v>156</v>
      </c>
      <c r="X746" s="1" t="s">
        <v>13733</v>
      </c>
      <c r="Y746" s="1" t="s">
        <v>2790</v>
      </c>
      <c r="Z746" s="1" t="s">
        <v>92</v>
      </c>
      <c r="AA746" s="1" t="s">
        <v>13733</v>
      </c>
      <c r="AB746" s="1" t="s">
        <v>2790</v>
      </c>
      <c r="AC746" s="1" t="s">
        <v>92</v>
      </c>
      <c r="AD746" s="1">
        <v>7.97</v>
      </c>
      <c r="AE746" s="1" t="s">
        <v>93</v>
      </c>
      <c r="AF746" s="1" t="s">
        <v>13734</v>
      </c>
      <c r="AG746" s="1" t="s">
        <v>160</v>
      </c>
      <c r="AH746" s="1" t="s">
        <v>165</v>
      </c>
      <c r="AI746" s="1" t="s">
        <v>281</v>
      </c>
      <c r="AJ746" s="1">
        <v>95.8</v>
      </c>
      <c r="AK746" s="1"/>
      <c r="AL746" s="1" t="s">
        <v>13735</v>
      </c>
      <c r="AM746" s="1" t="s">
        <v>160</v>
      </c>
      <c r="AN746" s="1" t="s">
        <v>310</v>
      </c>
      <c r="AO746" s="1" t="s">
        <v>13736</v>
      </c>
      <c r="AP746" s="1">
        <v>63.68</v>
      </c>
      <c r="AQ746" s="1"/>
      <c r="AR746" s="1"/>
      <c r="AS746" s="1"/>
      <c r="AT746" s="1"/>
      <c r="AU746" s="1"/>
      <c r="AV746" s="1"/>
      <c r="AW746" s="1"/>
      <c r="AX746" s="1" t="s">
        <v>1892</v>
      </c>
      <c r="AY746" s="1" t="s">
        <v>13737</v>
      </c>
      <c r="AZ746" s="1" t="s">
        <v>1051</v>
      </c>
      <c r="BA746" s="1" t="s">
        <v>1361</v>
      </c>
      <c r="BB746" s="1">
        <v>65.17</v>
      </c>
      <c r="BC746" s="1">
        <v>6.86</v>
      </c>
      <c r="BD746" s="1"/>
      <c r="BE746" s="1"/>
      <c r="BF746" s="1"/>
      <c r="BG746" s="1"/>
      <c r="BH746" s="1"/>
      <c r="BI746" s="1"/>
      <c r="BJ746" s="1" t="s">
        <v>255</v>
      </c>
      <c r="BK746" s="1"/>
      <c r="BL746" s="1"/>
      <c r="BM746" s="1" t="s">
        <v>13738</v>
      </c>
      <c r="BN746" s="1">
        <v>12</v>
      </c>
      <c r="BO746" s="1" t="s">
        <v>13739</v>
      </c>
      <c r="BP746" s="1" t="str">
        <f>HYPERLINK("https://nconnect.nicmar.ac.in/storage/profile/ProfilePhoto_P25700711_478962.jpg","Download")</f>
        <v>0</v>
      </c>
      <c r="BQ746" s="3"/>
      <c r="BR746" s="3"/>
    </row>
    <row r="747" spans="1:70">
      <c r="A747" s="1" t="s">
        <v>70</v>
      </c>
      <c r="B747" s="1" t="s">
        <v>1269</v>
      </c>
      <c r="C747" s="1" t="s">
        <v>13740</v>
      </c>
      <c r="D747" s="1" t="s">
        <v>3056</v>
      </c>
      <c r="E747" s="1" t="s">
        <v>6490</v>
      </c>
      <c r="F747" s="1" t="s">
        <v>2024</v>
      </c>
      <c r="G747" s="1" t="s">
        <v>13741</v>
      </c>
      <c r="H747" s="1" t="s">
        <v>13742</v>
      </c>
      <c r="I747" s="1" t="s">
        <v>13743</v>
      </c>
      <c r="J747" s="1">
        <v>7768921071</v>
      </c>
      <c r="K747" s="1" t="s">
        <v>79</v>
      </c>
      <c r="L747" s="1" t="s">
        <v>13744</v>
      </c>
      <c r="M747" s="1" t="s">
        <v>81</v>
      </c>
      <c r="N747" s="1" t="s">
        <v>4300</v>
      </c>
      <c r="O747" s="1"/>
      <c r="P747" s="1" t="s">
        <v>1323</v>
      </c>
      <c r="Q747" s="1" t="s">
        <v>13745</v>
      </c>
      <c r="R747" s="1" t="s">
        <v>13746</v>
      </c>
      <c r="S747" s="1">
        <v>9527401071</v>
      </c>
      <c r="T747" s="1" t="s">
        <v>154</v>
      </c>
      <c r="U747" s="1" t="s">
        <v>13747</v>
      </c>
      <c r="V747" s="1">
        <v>7414971071</v>
      </c>
      <c r="W747" s="1" t="s">
        <v>156</v>
      </c>
      <c r="X747" s="1" t="s">
        <v>13748</v>
      </c>
      <c r="Y747" s="1" t="s">
        <v>158</v>
      </c>
      <c r="Z747" s="1" t="s">
        <v>92</v>
      </c>
      <c r="AA747" s="1" t="s">
        <v>13748</v>
      </c>
      <c r="AB747" s="1" t="s">
        <v>158</v>
      </c>
      <c r="AC747" s="1" t="s">
        <v>92</v>
      </c>
      <c r="AD747" s="1">
        <v>9.29</v>
      </c>
      <c r="AE747" s="1" t="s">
        <v>93</v>
      </c>
      <c r="AF747" s="1" t="s">
        <v>13749</v>
      </c>
      <c r="AG747" s="1" t="s">
        <v>160</v>
      </c>
      <c r="AH747" s="1" t="s">
        <v>96</v>
      </c>
      <c r="AI747" s="1" t="s">
        <v>97</v>
      </c>
      <c r="AJ747" s="1">
        <v>89.6</v>
      </c>
      <c r="AK747" s="1"/>
      <c r="AL747" s="1" t="s">
        <v>13750</v>
      </c>
      <c r="AM747" s="1" t="s">
        <v>160</v>
      </c>
      <c r="AN747" s="1" t="s">
        <v>162</v>
      </c>
      <c r="AO747" s="1" t="s">
        <v>1332</v>
      </c>
      <c r="AP747" s="1">
        <v>71.85</v>
      </c>
      <c r="AQ747" s="1"/>
      <c r="AR747" s="1"/>
      <c r="AS747" s="1"/>
      <c r="AT747" s="1"/>
      <c r="AU747" s="1"/>
      <c r="AV747" s="1"/>
      <c r="AW747" s="1"/>
      <c r="AX747" s="1" t="s">
        <v>1892</v>
      </c>
      <c r="AY747" s="1" t="s">
        <v>13751</v>
      </c>
      <c r="AZ747" s="1" t="s">
        <v>383</v>
      </c>
      <c r="BA747" s="1" t="s">
        <v>1131</v>
      </c>
      <c r="BB747" s="1">
        <v>79.2</v>
      </c>
      <c r="BC747" s="1">
        <v>8.67</v>
      </c>
      <c r="BD747" s="1"/>
      <c r="BE747" s="1"/>
      <c r="BF747" s="1"/>
      <c r="BG747" s="1"/>
      <c r="BH747" s="1"/>
      <c r="BI747" s="1"/>
      <c r="BJ747" s="1" t="s">
        <v>1383</v>
      </c>
      <c r="BK747" s="1" t="s">
        <v>13752</v>
      </c>
      <c r="BL747" s="1" t="s">
        <v>5326</v>
      </c>
      <c r="BM747" s="1" t="s">
        <v>13753</v>
      </c>
      <c r="BN747" s="1">
        <v>8</v>
      </c>
      <c r="BO747" s="1"/>
      <c r="BP747" s="1" t="str">
        <f>HYPERLINK("https://nconnect.nicmar.ac.in/storage/profile/ProfilePhoto_P25700712_684593.jpg","Download")</f>
        <v>0</v>
      </c>
      <c r="BQ747" s="3"/>
      <c r="BR747" s="3"/>
    </row>
    <row r="748" spans="1:70">
      <c r="A748" s="1" t="s">
        <v>70</v>
      </c>
      <c r="B748" s="1" t="s">
        <v>1269</v>
      </c>
      <c r="C748" s="1" t="s">
        <v>13754</v>
      </c>
      <c r="D748" s="1" t="s">
        <v>13755</v>
      </c>
      <c r="E748" s="1" t="s">
        <v>1640</v>
      </c>
      <c r="F748" s="1" t="s">
        <v>596</v>
      </c>
      <c r="G748" s="1" t="s">
        <v>13756</v>
      </c>
      <c r="H748" s="1" t="s">
        <v>13757</v>
      </c>
      <c r="I748" s="1" t="s">
        <v>13758</v>
      </c>
      <c r="J748" s="1">
        <v>8919898312</v>
      </c>
      <c r="K748" s="1" t="s">
        <v>79</v>
      </c>
      <c r="L748" s="1" t="s">
        <v>13759</v>
      </c>
      <c r="M748" s="1" t="s">
        <v>81</v>
      </c>
      <c r="N748" s="1" t="s">
        <v>9027</v>
      </c>
      <c r="O748" s="1"/>
      <c r="P748" s="1" t="s">
        <v>1323</v>
      </c>
      <c r="Q748" s="1" t="s">
        <v>13760</v>
      </c>
      <c r="R748" s="1" t="s">
        <v>13761</v>
      </c>
      <c r="S748" s="1">
        <v>9866271646</v>
      </c>
      <c r="T748" s="1" t="s">
        <v>13762</v>
      </c>
      <c r="U748" s="1" t="s">
        <v>13763</v>
      </c>
      <c r="V748" s="1">
        <v>7330835457</v>
      </c>
      <c r="W748" s="1" t="s">
        <v>89</v>
      </c>
      <c r="X748" s="1" t="s">
        <v>13764</v>
      </c>
      <c r="Y748" s="1" t="s">
        <v>1150</v>
      </c>
      <c r="Z748" s="1" t="s">
        <v>276</v>
      </c>
      <c r="AA748" s="1" t="s">
        <v>13765</v>
      </c>
      <c r="AB748" s="1" t="s">
        <v>2263</v>
      </c>
      <c r="AC748" s="1" t="s">
        <v>276</v>
      </c>
      <c r="AD748" s="1">
        <v>8.25</v>
      </c>
      <c r="AE748" s="1" t="s">
        <v>93</v>
      </c>
      <c r="AF748" s="1" t="s">
        <v>3467</v>
      </c>
      <c r="AG748" s="1" t="s">
        <v>13766</v>
      </c>
      <c r="AH748" s="1" t="s">
        <v>101</v>
      </c>
      <c r="AI748" s="1" t="s">
        <v>409</v>
      </c>
      <c r="AJ748" s="1">
        <v>97</v>
      </c>
      <c r="AK748" s="1">
        <v>9.7</v>
      </c>
      <c r="AL748" s="1" t="s">
        <v>1153</v>
      </c>
      <c r="AM748" s="1" t="s">
        <v>11002</v>
      </c>
      <c r="AN748" s="1" t="s">
        <v>433</v>
      </c>
      <c r="AO748" s="1" t="s">
        <v>504</v>
      </c>
      <c r="AP748" s="1">
        <v>88.3</v>
      </c>
      <c r="AQ748" s="1"/>
      <c r="AR748" s="1"/>
      <c r="AS748" s="1"/>
      <c r="AT748" s="1"/>
      <c r="AU748" s="1"/>
      <c r="AV748" s="1"/>
      <c r="AW748" s="1"/>
      <c r="AX748" s="1" t="s">
        <v>12427</v>
      </c>
      <c r="AY748" s="1" t="s">
        <v>13767</v>
      </c>
      <c r="AZ748" s="1" t="s">
        <v>135</v>
      </c>
      <c r="BA748" s="1" t="s">
        <v>1408</v>
      </c>
      <c r="BB748" s="1">
        <v>73.8</v>
      </c>
      <c r="BC748" s="1">
        <v>7.38</v>
      </c>
      <c r="BD748" s="1"/>
      <c r="BE748" s="1"/>
      <c r="BF748" s="1"/>
      <c r="BG748" s="1"/>
      <c r="BH748" s="1"/>
      <c r="BI748" s="1"/>
      <c r="BJ748" s="1" t="s">
        <v>13768</v>
      </c>
      <c r="BK748" s="1"/>
      <c r="BL748" s="1"/>
      <c r="BM748" s="1" t="s">
        <v>13769</v>
      </c>
      <c r="BN748" s="1">
        <v>12</v>
      </c>
      <c r="BO748" s="1"/>
      <c r="BP748" s="1" t="str">
        <f>HYPERLINK("https://nconnect.nicmar.ac.in/storage/profile/ProfilePhoto_P25700714_634851.jpg","Download")</f>
        <v>0</v>
      </c>
      <c r="BQ748" s="3"/>
      <c r="BR748" s="3"/>
    </row>
    <row r="749" spans="1:70">
      <c r="A749" s="1" t="s">
        <v>70</v>
      </c>
      <c r="B749" s="1" t="s">
        <v>1269</v>
      </c>
      <c r="C749" s="1" t="s">
        <v>13770</v>
      </c>
      <c r="D749" s="1" t="s">
        <v>2150</v>
      </c>
      <c r="E749" s="1" t="s">
        <v>6490</v>
      </c>
      <c r="F749" s="1" t="s">
        <v>13771</v>
      </c>
      <c r="G749" s="1" t="s">
        <v>13772</v>
      </c>
      <c r="H749" s="1" t="s">
        <v>13773</v>
      </c>
      <c r="I749" s="1" t="s">
        <v>13774</v>
      </c>
      <c r="J749" s="1">
        <v>8669354345</v>
      </c>
      <c r="K749" s="1" t="s">
        <v>79</v>
      </c>
      <c r="L749" s="1" t="s">
        <v>8197</v>
      </c>
      <c r="M749" s="1" t="s">
        <v>81</v>
      </c>
      <c r="N749" s="1" t="s">
        <v>1418</v>
      </c>
      <c r="O749" s="1"/>
      <c r="P749" s="1" t="s">
        <v>1766</v>
      </c>
      <c r="Q749" s="1" t="s">
        <v>13775</v>
      </c>
      <c r="R749" s="1" t="s">
        <v>13776</v>
      </c>
      <c r="S749" s="1">
        <v>9423434094</v>
      </c>
      <c r="T749" s="1" t="s">
        <v>13777</v>
      </c>
      <c r="U749" s="1" t="s">
        <v>13778</v>
      </c>
      <c r="V749" s="1">
        <v>9822392030</v>
      </c>
      <c r="W749" s="1" t="s">
        <v>273</v>
      </c>
      <c r="X749" s="1" t="s">
        <v>13779</v>
      </c>
      <c r="Y749" s="1" t="s">
        <v>191</v>
      </c>
      <c r="Z749" s="1" t="s">
        <v>92</v>
      </c>
      <c r="AA749" s="1" t="s">
        <v>13780</v>
      </c>
      <c r="AB749" s="1" t="s">
        <v>5840</v>
      </c>
      <c r="AC749" s="1" t="s">
        <v>92</v>
      </c>
      <c r="AD749" s="1">
        <v>8.24</v>
      </c>
      <c r="AE749" s="1" t="s">
        <v>93</v>
      </c>
      <c r="AF749" s="1" t="s">
        <v>13781</v>
      </c>
      <c r="AG749" s="1" t="s">
        <v>5102</v>
      </c>
      <c r="AH749" s="1" t="s">
        <v>101</v>
      </c>
      <c r="AI749" s="1" t="s">
        <v>409</v>
      </c>
      <c r="AJ749" s="1">
        <v>82.42</v>
      </c>
      <c r="AK749" s="1">
        <v>0</v>
      </c>
      <c r="AL749" s="1"/>
      <c r="AM749" s="1"/>
      <c r="AN749" s="1"/>
      <c r="AO749" s="1"/>
      <c r="AP749" s="1"/>
      <c r="AQ749" s="1"/>
      <c r="AR749" s="1" t="s">
        <v>98</v>
      </c>
      <c r="AS749" s="1" t="s">
        <v>13782</v>
      </c>
      <c r="AT749" s="1" t="s">
        <v>310</v>
      </c>
      <c r="AU749" s="1" t="s">
        <v>105</v>
      </c>
      <c r="AV749" s="1">
        <v>82.63</v>
      </c>
      <c r="AW749" s="1">
        <v>0</v>
      </c>
      <c r="AX749" s="1" t="s">
        <v>361</v>
      </c>
      <c r="AY749" s="1" t="s">
        <v>13783</v>
      </c>
      <c r="AZ749" s="1" t="s">
        <v>2693</v>
      </c>
      <c r="BA749" s="1" t="s">
        <v>1584</v>
      </c>
      <c r="BB749" s="1">
        <v>60.9</v>
      </c>
      <c r="BC749" s="1">
        <v>6.83</v>
      </c>
      <c r="BD749" s="1"/>
      <c r="BE749" s="1"/>
      <c r="BF749" s="1"/>
      <c r="BG749" s="1"/>
      <c r="BH749" s="1"/>
      <c r="BI749" s="1"/>
      <c r="BJ749" s="1" t="s">
        <v>13784</v>
      </c>
      <c r="BK749" s="1"/>
      <c r="BL749" s="1"/>
      <c r="BM749" s="1" t="s">
        <v>13785</v>
      </c>
      <c r="BN749" s="1">
        <v>16</v>
      </c>
      <c r="BO749" s="1"/>
      <c r="BP749" s="1" t="str">
        <f>HYPERLINK("https://nconnect.nicmar.ac.in/storage/profile/ProfilePhoto_P25700715_431895.jpg","Download")</f>
        <v>0</v>
      </c>
      <c r="BQ749" s="3"/>
      <c r="BR749" s="3"/>
    </row>
    <row r="750" spans="1:70">
      <c r="A750" s="1" t="s">
        <v>70</v>
      </c>
      <c r="B750" s="1" t="s">
        <v>1269</v>
      </c>
      <c r="C750" s="1" t="s">
        <v>13786</v>
      </c>
      <c r="D750" s="1" t="s">
        <v>13787</v>
      </c>
      <c r="E750" s="1"/>
      <c r="F750" s="1" t="s">
        <v>13788</v>
      </c>
      <c r="G750" s="1" t="s">
        <v>13789</v>
      </c>
      <c r="H750" s="1" t="s">
        <v>13790</v>
      </c>
      <c r="I750" s="1" t="s">
        <v>13791</v>
      </c>
      <c r="J750" s="1">
        <v>9805566233</v>
      </c>
      <c r="K750" s="1" t="s">
        <v>79</v>
      </c>
      <c r="L750" s="1" t="s">
        <v>13792</v>
      </c>
      <c r="M750" s="1" t="s">
        <v>81</v>
      </c>
      <c r="N750" s="1" t="s">
        <v>13793</v>
      </c>
      <c r="O750" s="1"/>
      <c r="P750" s="1" t="s">
        <v>1278</v>
      </c>
      <c r="Q750" s="1" t="s">
        <v>13794</v>
      </c>
      <c r="R750" s="1" t="s">
        <v>13795</v>
      </c>
      <c r="S750" s="1">
        <v>9418761430</v>
      </c>
      <c r="T750" s="1" t="s">
        <v>13796</v>
      </c>
      <c r="U750" s="1" t="s">
        <v>13797</v>
      </c>
      <c r="V750" s="1">
        <v>9459521418</v>
      </c>
      <c r="W750" s="1" t="s">
        <v>89</v>
      </c>
      <c r="X750" s="1" t="s">
        <v>13798</v>
      </c>
      <c r="Y750" s="1" t="s">
        <v>13799</v>
      </c>
      <c r="Z750" s="1" t="s">
        <v>3426</v>
      </c>
      <c r="AA750" s="1" t="s">
        <v>13798</v>
      </c>
      <c r="AB750" s="1" t="s">
        <v>13799</v>
      </c>
      <c r="AC750" s="1" t="s">
        <v>3426</v>
      </c>
      <c r="AD750" s="1">
        <v>8.46</v>
      </c>
      <c r="AE750" s="1" t="s">
        <v>93</v>
      </c>
      <c r="AF750" s="1" t="s">
        <v>10513</v>
      </c>
      <c r="AG750" s="1" t="s">
        <v>13800</v>
      </c>
      <c r="AH750" s="1" t="s">
        <v>162</v>
      </c>
      <c r="AI750" s="1" t="s">
        <v>165</v>
      </c>
      <c r="AJ750" s="1">
        <v>77.9</v>
      </c>
      <c r="AK750" s="1">
        <v>8.2</v>
      </c>
      <c r="AL750" s="1" t="s">
        <v>10513</v>
      </c>
      <c r="AM750" s="1" t="s">
        <v>13800</v>
      </c>
      <c r="AN750" s="1" t="s">
        <v>166</v>
      </c>
      <c r="AO750" s="1" t="s">
        <v>308</v>
      </c>
      <c r="AP750" s="1">
        <v>82.8</v>
      </c>
      <c r="AQ750" s="1"/>
      <c r="AR750" s="1"/>
      <c r="AS750" s="1"/>
      <c r="AT750" s="1"/>
      <c r="AU750" s="1"/>
      <c r="AV750" s="1"/>
      <c r="AW750" s="1"/>
      <c r="AX750" s="1" t="s">
        <v>1448</v>
      </c>
      <c r="AY750" s="1" t="s">
        <v>13801</v>
      </c>
      <c r="AZ750" s="1" t="s">
        <v>3672</v>
      </c>
      <c r="BA750" s="1" t="s">
        <v>5346</v>
      </c>
      <c r="BB750" s="1">
        <v>90.2</v>
      </c>
      <c r="BC750" s="1">
        <v>9.02</v>
      </c>
      <c r="BD750" s="1"/>
      <c r="BE750" s="1"/>
      <c r="BF750" s="1"/>
      <c r="BG750" s="1"/>
      <c r="BH750" s="1"/>
      <c r="BI750" s="1"/>
      <c r="BJ750" s="1" t="s">
        <v>1383</v>
      </c>
      <c r="BK750" s="1"/>
      <c r="BL750" s="1"/>
      <c r="BM750" s="1" t="s">
        <v>13802</v>
      </c>
      <c r="BN750" s="1">
        <v>62</v>
      </c>
      <c r="BO750" s="1"/>
      <c r="BP750" s="1" t="str">
        <f>HYPERLINK("https://nconnect.nicmar.ac.in/storage/profile/ProfilePhoto_P25700716_596743.jpg","Download")</f>
        <v>0</v>
      </c>
      <c r="BQ750" s="3"/>
      <c r="BR750" s="3"/>
    </row>
    <row r="751" spans="1:70">
      <c r="A751" s="1" t="s">
        <v>70</v>
      </c>
      <c r="B751" s="1" t="s">
        <v>1269</v>
      </c>
      <c r="C751" s="1" t="s">
        <v>13803</v>
      </c>
      <c r="D751" s="1" t="s">
        <v>3910</v>
      </c>
      <c r="E751" s="1" t="s">
        <v>1566</v>
      </c>
      <c r="F751" s="1" t="s">
        <v>13804</v>
      </c>
      <c r="G751" s="1" t="s">
        <v>13805</v>
      </c>
      <c r="H751" s="1" t="s">
        <v>13806</v>
      </c>
      <c r="I751" s="1" t="s">
        <v>13807</v>
      </c>
      <c r="J751" s="1">
        <v>7218148484</v>
      </c>
      <c r="K751" s="1" t="s">
        <v>79</v>
      </c>
      <c r="L751" s="1" t="s">
        <v>6937</v>
      </c>
      <c r="M751" s="1" t="s">
        <v>81</v>
      </c>
      <c r="N751" s="1" t="s">
        <v>1418</v>
      </c>
      <c r="O751" s="1"/>
      <c r="P751" s="1" t="s">
        <v>1323</v>
      </c>
      <c r="Q751" s="1" t="s">
        <v>13808</v>
      </c>
      <c r="R751" s="1" t="s">
        <v>13809</v>
      </c>
      <c r="S751" s="1">
        <v>9921346858</v>
      </c>
      <c r="T751" s="1" t="s">
        <v>520</v>
      </c>
      <c r="U751" s="1" t="s">
        <v>13810</v>
      </c>
      <c r="V751" s="1">
        <v>9130888918</v>
      </c>
      <c r="W751" s="1" t="s">
        <v>156</v>
      </c>
      <c r="X751" s="1" t="s">
        <v>13811</v>
      </c>
      <c r="Y751" s="1" t="s">
        <v>2790</v>
      </c>
      <c r="Z751" s="1" t="s">
        <v>92</v>
      </c>
      <c r="AA751" s="1" t="s">
        <v>13811</v>
      </c>
      <c r="AB751" s="1" t="s">
        <v>2790</v>
      </c>
      <c r="AC751" s="1" t="s">
        <v>92</v>
      </c>
      <c r="AD751" s="1">
        <v>7.77</v>
      </c>
      <c r="AE751" s="1" t="s">
        <v>93</v>
      </c>
      <c r="AF751" s="1" t="s">
        <v>13812</v>
      </c>
      <c r="AG751" s="1" t="s">
        <v>160</v>
      </c>
      <c r="AH751" s="1" t="s">
        <v>101</v>
      </c>
      <c r="AI751" s="1" t="s">
        <v>409</v>
      </c>
      <c r="AJ751" s="1">
        <v>84</v>
      </c>
      <c r="AK751" s="1"/>
      <c r="AL751" s="1"/>
      <c r="AM751" s="1"/>
      <c r="AN751" s="1"/>
      <c r="AO751" s="1"/>
      <c r="AP751" s="1"/>
      <c r="AQ751" s="1"/>
      <c r="AR751" s="1" t="s">
        <v>434</v>
      </c>
      <c r="AS751" s="1" t="s">
        <v>2015</v>
      </c>
      <c r="AT751" s="1" t="s">
        <v>201</v>
      </c>
      <c r="AU751" s="1" t="s">
        <v>481</v>
      </c>
      <c r="AV751" s="1">
        <v>75.68</v>
      </c>
      <c r="AW751" s="1"/>
      <c r="AX751" s="1" t="s">
        <v>2691</v>
      </c>
      <c r="AY751" s="1" t="s">
        <v>13381</v>
      </c>
      <c r="AZ751" s="1" t="s">
        <v>2693</v>
      </c>
      <c r="BA751" s="1" t="s">
        <v>1714</v>
      </c>
      <c r="BB751" s="1">
        <v>73.34</v>
      </c>
      <c r="BC751" s="1"/>
      <c r="BD751" s="1"/>
      <c r="BE751" s="1"/>
      <c r="BF751" s="1"/>
      <c r="BG751" s="1"/>
      <c r="BH751" s="1"/>
      <c r="BI751" s="1"/>
      <c r="BJ751" s="1" t="s">
        <v>13813</v>
      </c>
      <c r="BK751" s="1"/>
      <c r="BL751" s="1"/>
      <c r="BM751" s="1" t="s">
        <v>13814</v>
      </c>
      <c r="BN751" s="1">
        <v>21</v>
      </c>
      <c r="BO751" s="1" t="s">
        <v>13815</v>
      </c>
      <c r="BP751" s="1" t="str">
        <f>HYPERLINK("https://nconnect.nicmar.ac.in/storage/profile/ProfilePhoto_P25700717_983154.jpg","Download")</f>
        <v>0</v>
      </c>
      <c r="BQ751" s="3"/>
      <c r="BR751" s="3"/>
    </row>
    <row r="752" spans="1:70">
      <c r="A752" s="1" t="s">
        <v>70</v>
      </c>
      <c r="B752" s="1" t="s">
        <v>1269</v>
      </c>
      <c r="C752" s="1" t="s">
        <v>13816</v>
      </c>
      <c r="D752" s="1" t="s">
        <v>443</v>
      </c>
      <c r="E752" s="1" t="s">
        <v>13163</v>
      </c>
      <c r="F752" s="1" t="s">
        <v>13817</v>
      </c>
      <c r="G752" s="1" t="s">
        <v>13818</v>
      </c>
      <c r="H752" s="1" t="s">
        <v>13819</v>
      </c>
      <c r="I752" s="1" t="s">
        <v>13820</v>
      </c>
      <c r="J752" s="1">
        <v>8169556979</v>
      </c>
      <c r="K752" s="1" t="s">
        <v>79</v>
      </c>
      <c r="L752" s="1" t="s">
        <v>13821</v>
      </c>
      <c r="M752" s="1" t="s">
        <v>81</v>
      </c>
      <c r="N752" s="1" t="s">
        <v>2008</v>
      </c>
      <c r="O752" s="1"/>
      <c r="P752" s="1" t="s">
        <v>1323</v>
      </c>
      <c r="Q752" s="1" t="s">
        <v>13822</v>
      </c>
      <c r="R752" s="1" t="s">
        <v>13163</v>
      </c>
      <c r="S752" s="1">
        <v>9820319276</v>
      </c>
      <c r="T752" s="1" t="s">
        <v>674</v>
      </c>
      <c r="U752" s="1" t="s">
        <v>7224</v>
      </c>
      <c r="V752" s="1">
        <v>9321033327</v>
      </c>
      <c r="W752" s="1" t="s">
        <v>674</v>
      </c>
      <c r="X752" s="1" t="s">
        <v>13823</v>
      </c>
      <c r="Y752" s="1" t="s">
        <v>766</v>
      </c>
      <c r="Z752" s="1" t="s">
        <v>92</v>
      </c>
      <c r="AA752" s="1" t="s">
        <v>13823</v>
      </c>
      <c r="AB752" s="1" t="s">
        <v>766</v>
      </c>
      <c r="AC752" s="1" t="s">
        <v>92</v>
      </c>
      <c r="AD752" s="1">
        <v>8.41</v>
      </c>
      <c r="AE752" s="1" t="s">
        <v>93</v>
      </c>
      <c r="AF752" s="1" t="s">
        <v>13824</v>
      </c>
      <c r="AG752" s="1" t="s">
        <v>160</v>
      </c>
      <c r="AH752" s="1" t="s">
        <v>2420</v>
      </c>
      <c r="AI752" s="1" t="s">
        <v>97</v>
      </c>
      <c r="AJ752" s="1">
        <v>61</v>
      </c>
      <c r="AK752" s="1"/>
      <c r="AL752" s="1" t="s">
        <v>13825</v>
      </c>
      <c r="AM752" s="1" t="s">
        <v>160</v>
      </c>
      <c r="AN752" s="1" t="s">
        <v>161</v>
      </c>
      <c r="AO752" s="1" t="s">
        <v>1332</v>
      </c>
      <c r="AP752" s="1">
        <v>47.23</v>
      </c>
      <c r="AQ752" s="1"/>
      <c r="AR752" s="1" t="s">
        <v>98</v>
      </c>
      <c r="AS752" s="1" t="s">
        <v>13826</v>
      </c>
      <c r="AT752" s="1" t="s">
        <v>383</v>
      </c>
      <c r="AU752" s="1" t="s">
        <v>5504</v>
      </c>
      <c r="AV752" s="1">
        <v>73.76</v>
      </c>
      <c r="AW752" s="1"/>
      <c r="AX752" s="1" t="s">
        <v>253</v>
      </c>
      <c r="AY752" s="1" t="s">
        <v>13826</v>
      </c>
      <c r="AZ752" s="1" t="s">
        <v>363</v>
      </c>
      <c r="BA752" s="1" t="s">
        <v>174</v>
      </c>
      <c r="BB752" s="1">
        <v>71.91</v>
      </c>
      <c r="BC752" s="1"/>
      <c r="BD752" s="1"/>
      <c r="BE752" s="1"/>
      <c r="BF752" s="1"/>
      <c r="BG752" s="1"/>
      <c r="BH752" s="1"/>
      <c r="BI752" s="1"/>
      <c r="BJ752" s="1" t="s">
        <v>13827</v>
      </c>
      <c r="BK752" s="1" t="s">
        <v>13828</v>
      </c>
      <c r="BL752" s="1" t="s">
        <v>2384</v>
      </c>
      <c r="BM752" s="1" t="s">
        <v>13829</v>
      </c>
      <c r="BN752" s="1">
        <v>34</v>
      </c>
      <c r="BO752" s="1"/>
      <c r="BP752" s="1" t="str">
        <f>HYPERLINK("https://nconnect.nicmar.ac.in/storage/profile/ProfilePhoto_P25700718_186239.jpg","Download")</f>
        <v>0</v>
      </c>
      <c r="BQ752" s="3"/>
      <c r="BR752" s="3"/>
    </row>
    <row r="753" spans="1:70">
      <c r="A753" s="1" t="s">
        <v>70</v>
      </c>
      <c r="B753" s="1" t="s">
        <v>1269</v>
      </c>
      <c r="C753" s="1" t="s">
        <v>13830</v>
      </c>
      <c r="D753" s="1" t="s">
        <v>13831</v>
      </c>
      <c r="E753" s="1"/>
      <c r="F753" s="1" t="s">
        <v>13832</v>
      </c>
      <c r="G753" s="1" t="s">
        <v>13833</v>
      </c>
      <c r="H753" s="1" t="s">
        <v>13834</v>
      </c>
      <c r="I753" s="1" t="s">
        <v>13835</v>
      </c>
      <c r="J753" s="1">
        <v>9861056081</v>
      </c>
      <c r="K753" s="1" t="s">
        <v>79</v>
      </c>
      <c r="L753" s="1" t="s">
        <v>13836</v>
      </c>
      <c r="M753" s="1" t="s">
        <v>81</v>
      </c>
      <c r="N753" s="1" t="s">
        <v>13837</v>
      </c>
      <c r="O753" s="1"/>
      <c r="P753" s="1" t="s">
        <v>1278</v>
      </c>
      <c r="Q753" s="1" t="s">
        <v>13838</v>
      </c>
      <c r="R753" s="1" t="s">
        <v>13839</v>
      </c>
      <c r="S753" s="1">
        <v>9776551010</v>
      </c>
      <c r="T753" s="1" t="s">
        <v>13840</v>
      </c>
      <c r="U753" s="1" t="s">
        <v>13841</v>
      </c>
      <c r="V753" s="1">
        <v>8908214353</v>
      </c>
      <c r="W753" s="1" t="s">
        <v>2397</v>
      </c>
      <c r="X753" s="1" t="s">
        <v>13842</v>
      </c>
      <c r="Y753" s="1" t="s">
        <v>9105</v>
      </c>
      <c r="Z753" s="1" t="s">
        <v>1731</v>
      </c>
      <c r="AA753" s="1" t="s">
        <v>13842</v>
      </c>
      <c r="AB753" s="1" t="s">
        <v>9105</v>
      </c>
      <c r="AC753" s="1" t="s">
        <v>1731</v>
      </c>
      <c r="AD753" s="1">
        <v>8.65</v>
      </c>
      <c r="AE753" s="1" t="s">
        <v>93</v>
      </c>
      <c r="AF753" s="1" t="s">
        <v>13843</v>
      </c>
      <c r="AG753" s="1" t="s">
        <v>13844</v>
      </c>
      <c r="AH753" s="1" t="s">
        <v>279</v>
      </c>
      <c r="AI753" s="1" t="s">
        <v>165</v>
      </c>
      <c r="AJ753" s="1">
        <v>81.7</v>
      </c>
      <c r="AK753" s="1">
        <v>8.6</v>
      </c>
      <c r="AL753" s="1" t="s">
        <v>13845</v>
      </c>
      <c r="AM753" s="1" t="s">
        <v>13844</v>
      </c>
      <c r="AN753" s="1" t="s">
        <v>383</v>
      </c>
      <c r="AO753" s="1" t="s">
        <v>308</v>
      </c>
      <c r="AP753" s="1">
        <v>64.83</v>
      </c>
      <c r="AQ753" s="1"/>
      <c r="AR753" s="1"/>
      <c r="AS753" s="1"/>
      <c r="AT753" s="1"/>
      <c r="AU753" s="1"/>
      <c r="AV753" s="1"/>
      <c r="AW753" s="1"/>
      <c r="AX753" s="1" t="s">
        <v>13846</v>
      </c>
      <c r="AY753" s="1" t="s">
        <v>13847</v>
      </c>
      <c r="AZ753" s="1" t="s">
        <v>201</v>
      </c>
      <c r="BA753" s="1" t="s">
        <v>229</v>
      </c>
      <c r="BB753" s="1">
        <v>78.2</v>
      </c>
      <c r="BC753" s="1">
        <v>8.32</v>
      </c>
      <c r="BD753" s="1"/>
      <c r="BE753" s="1"/>
      <c r="BF753" s="1"/>
      <c r="BG753" s="1"/>
      <c r="BH753" s="1"/>
      <c r="BI753" s="1"/>
      <c r="BJ753" s="1" t="s">
        <v>1383</v>
      </c>
      <c r="BK753" s="1" t="s">
        <v>13848</v>
      </c>
      <c r="BL753" s="1" t="s">
        <v>4933</v>
      </c>
      <c r="BM753" s="1" t="s">
        <v>13849</v>
      </c>
      <c r="BN753" s="1">
        <v>9</v>
      </c>
      <c r="BO753" s="1" t="s">
        <v>13850</v>
      </c>
      <c r="BP753" s="1" t="str">
        <f>HYPERLINK("https://nconnect.nicmar.ac.in/storage/profile/ProfilePhoto_P25700719_518623.jpg","Download")</f>
        <v>0</v>
      </c>
      <c r="BQ753" s="3"/>
      <c r="BR753" s="3"/>
    </row>
    <row r="754" spans="1:70">
      <c r="A754" s="1" t="s">
        <v>70</v>
      </c>
      <c r="B754" s="1" t="s">
        <v>1269</v>
      </c>
      <c r="C754" s="1" t="s">
        <v>13851</v>
      </c>
      <c r="D754" s="1" t="s">
        <v>13852</v>
      </c>
      <c r="E754" s="1" t="s">
        <v>444</v>
      </c>
      <c r="F754" s="1" t="s">
        <v>13853</v>
      </c>
      <c r="G754" s="1" t="s">
        <v>13854</v>
      </c>
      <c r="H754" s="1" t="s">
        <v>13855</v>
      </c>
      <c r="I754" s="1" t="s">
        <v>13856</v>
      </c>
      <c r="J754" s="1">
        <v>7083031505</v>
      </c>
      <c r="K754" s="1" t="s">
        <v>148</v>
      </c>
      <c r="L754" s="1" t="s">
        <v>11804</v>
      </c>
      <c r="M754" s="1" t="s">
        <v>81</v>
      </c>
      <c r="N754" s="1" t="s">
        <v>185</v>
      </c>
      <c r="O754" s="1"/>
      <c r="P754" s="1" t="s">
        <v>1298</v>
      </c>
      <c r="Q754" s="1" t="s">
        <v>13857</v>
      </c>
      <c r="R754" s="1" t="s">
        <v>13858</v>
      </c>
      <c r="S754" s="1">
        <v>7083031505</v>
      </c>
      <c r="T754" s="1" t="s">
        <v>122</v>
      </c>
      <c r="U754" s="1" t="s">
        <v>13859</v>
      </c>
      <c r="V754" s="1">
        <v>9404325232</v>
      </c>
      <c r="W754" s="1" t="s">
        <v>122</v>
      </c>
      <c r="X754" s="1" t="s">
        <v>13860</v>
      </c>
      <c r="Y754" s="1" t="s">
        <v>523</v>
      </c>
      <c r="Z754" s="1" t="s">
        <v>92</v>
      </c>
      <c r="AA754" s="1" t="s">
        <v>13860</v>
      </c>
      <c r="AB754" s="1" t="s">
        <v>523</v>
      </c>
      <c r="AC754" s="1" t="s">
        <v>92</v>
      </c>
      <c r="AD754" s="1" t="s">
        <v>93</v>
      </c>
      <c r="AE754" s="1" t="s">
        <v>93</v>
      </c>
      <c r="AF754" s="1" t="s">
        <v>13861</v>
      </c>
      <c r="AG754" s="1" t="s">
        <v>13862</v>
      </c>
      <c r="AH754" s="1" t="s">
        <v>162</v>
      </c>
      <c r="AI754" s="1" t="s">
        <v>165</v>
      </c>
      <c r="AJ754" s="1">
        <v>89.3</v>
      </c>
      <c r="AK754" s="1">
        <v>9.4</v>
      </c>
      <c r="AL754" s="1" t="s">
        <v>13863</v>
      </c>
      <c r="AM754" s="1" t="s">
        <v>13864</v>
      </c>
      <c r="AN754" s="1" t="s">
        <v>457</v>
      </c>
      <c r="AO754" s="1" t="s">
        <v>198</v>
      </c>
      <c r="AP754" s="1">
        <v>64.92</v>
      </c>
      <c r="AQ754" s="1"/>
      <c r="AR754" s="1"/>
      <c r="AS754" s="1"/>
      <c r="AT754" s="1"/>
      <c r="AU754" s="1"/>
      <c r="AV754" s="1"/>
      <c r="AW754" s="1"/>
      <c r="AX754" s="1" t="s">
        <v>13865</v>
      </c>
      <c r="AY754" s="1" t="s">
        <v>13866</v>
      </c>
      <c r="AZ754" s="1" t="s">
        <v>201</v>
      </c>
      <c r="BA754" s="1" t="s">
        <v>202</v>
      </c>
      <c r="BB754" s="1">
        <v>64.6</v>
      </c>
      <c r="BC754" s="1">
        <v>6.81</v>
      </c>
      <c r="BD754" s="1"/>
      <c r="BE754" s="1"/>
      <c r="BF754" s="1"/>
      <c r="BG754" s="1"/>
      <c r="BH754" s="1"/>
      <c r="BI754" s="1"/>
      <c r="BJ754" s="1" t="s">
        <v>13867</v>
      </c>
      <c r="BK754" s="1"/>
      <c r="BL754" s="1"/>
      <c r="BM754" s="1"/>
      <c r="BN754" s="1"/>
      <c r="BO754" s="1"/>
      <c r="BP754" s="1" t="str">
        <f>HYPERLINK("https://nconnect.nicmar.ac.in/storage/profile/ProfilePhoto_P25700720_297461.jpg","Download")</f>
        <v>0</v>
      </c>
      <c r="BQ754" s="3"/>
      <c r="BR754" s="3"/>
    </row>
    <row r="755" spans="1:70">
      <c r="A755" s="1" t="s">
        <v>70</v>
      </c>
      <c r="B755" s="1" t="s">
        <v>1269</v>
      </c>
      <c r="C755" s="1" t="s">
        <v>13868</v>
      </c>
      <c r="D755" s="1" t="s">
        <v>13869</v>
      </c>
      <c r="E755" s="1" t="s">
        <v>13870</v>
      </c>
      <c r="F755" s="1" t="s">
        <v>13871</v>
      </c>
      <c r="G755" s="1" t="s">
        <v>13872</v>
      </c>
      <c r="H755" s="1" t="s">
        <v>13873</v>
      </c>
      <c r="I755" s="1" t="s">
        <v>13874</v>
      </c>
      <c r="J755" s="1">
        <v>9130767406</v>
      </c>
      <c r="K755" s="1" t="s">
        <v>148</v>
      </c>
      <c r="L755" s="1" t="s">
        <v>13875</v>
      </c>
      <c r="M755" s="1" t="s">
        <v>81</v>
      </c>
      <c r="N755" s="1" t="s">
        <v>13876</v>
      </c>
      <c r="O755" s="1"/>
      <c r="P755" s="1" t="s">
        <v>1323</v>
      </c>
      <c r="Q755" s="1" t="s">
        <v>13877</v>
      </c>
      <c r="R755" s="1" t="s">
        <v>13870</v>
      </c>
      <c r="S755" s="1">
        <v>9518307871</v>
      </c>
      <c r="T755" s="1" t="s">
        <v>8534</v>
      </c>
      <c r="U755" s="1" t="s">
        <v>13878</v>
      </c>
      <c r="V755" s="1">
        <v>7798772221</v>
      </c>
      <c r="W755" s="1" t="s">
        <v>156</v>
      </c>
      <c r="X755" s="1" t="s">
        <v>13879</v>
      </c>
      <c r="Y755" s="1" t="s">
        <v>5080</v>
      </c>
      <c r="Z755" s="1" t="s">
        <v>92</v>
      </c>
      <c r="AA755" s="1" t="s">
        <v>13879</v>
      </c>
      <c r="AB755" s="1" t="s">
        <v>5080</v>
      </c>
      <c r="AC755" s="1" t="s">
        <v>92</v>
      </c>
      <c r="AD755" s="1">
        <v>8.39</v>
      </c>
      <c r="AE755" s="1" t="s">
        <v>93</v>
      </c>
      <c r="AF755" s="1" t="s">
        <v>13880</v>
      </c>
      <c r="AG755" s="1" t="s">
        <v>160</v>
      </c>
      <c r="AH755" s="1" t="s">
        <v>161</v>
      </c>
      <c r="AI755" s="1" t="s">
        <v>527</v>
      </c>
      <c r="AJ755" s="1">
        <v>74.2</v>
      </c>
      <c r="AK755" s="1"/>
      <c r="AL755" s="1"/>
      <c r="AM755" s="1"/>
      <c r="AN755" s="1"/>
      <c r="AO755" s="1"/>
      <c r="AP755" s="1"/>
      <c r="AQ755" s="1"/>
      <c r="AR755" s="1" t="s">
        <v>13881</v>
      </c>
      <c r="AS755" s="1" t="s">
        <v>8839</v>
      </c>
      <c r="AT755" s="1" t="s">
        <v>134</v>
      </c>
      <c r="AU755" s="1" t="s">
        <v>941</v>
      </c>
      <c r="AV755" s="1">
        <v>80.12</v>
      </c>
      <c r="AW755" s="1"/>
      <c r="AX755" s="1" t="s">
        <v>253</v>
      </c>
      <c r="AY755" s="1" t="s">
        <v>13882</v>
      </c>
      <c r="AZ755" s="1" t="s">
        <v>699</v>
      </c>
      <c r="BA755" s="1" t="s">
        <v>174</v>
      </c>
      <c r="BB755" s="1">
        <v>76.02</v>
      </c>
      <c r="BC755" s="1">
        <v>8.67</v>
      </c>
      <c r="BD755" s="1"/>
      <c r="BE755" s="1"/>
      <c r="BF755" s="1"/>
      <c r="BG755" s="1"/>
      <c r="BH755" s="1"/>
      <c r="BI755" s="1"/>
      <c r="BJ755" s="1" t="s">
        <v>13883</v>
      </c>
      <c r="BK755" s="1" t="s">
        <v>13884</v>
      </c>
      <c r="BL755" s="1" t="s">
        <v>1629</v>
      </c>
      <c r="BM755" s="1" t="s">
        <v>13885</v>
      </c>
      <c r="BN755" s="1">
        <v>156</v>
      </c>
      <c r="BO755" s="1"/>
      <c r="BP755" s="1" t="str">
        <f>HYPERLINK("https://nconnect.nicmar.ac.in/storage/profile/ProfilePhoto_P25700721_783129.jpg","Download")</f>
        <v>0</v>
      </c>
      <c r="BQ755" s="3"/>
      <c r="BR755" s="3"/>
    </row>
    <row r="756" spans="1:70">
      <c r="A756" s="1" t="s">
        <v>70</v>
      </c>
      <c r="B756" s="1" t="s">
        <v>1269</v>
      </c>
      <c r="C756" s="1" t="s">
        <v>13886</v>
      </c>
      <c r="D756" s="1" t="s">
        <v>13887</v>
      </c>
      <c r="E756" s="1" t="s">
        <v>6117</v>
      </c>
      <c r="F756" s="1" t="s">
        <v>3231</v>
      </c>
      <c r="G756" s="1" t="s">
        <v>13888</v>
      </c>
      <c r="H756" s="1" t="s">
        <v>13889</v>
      </c>
      <c r="I756" s="1" t="s">
        <v>13890</v>
      </c>
      <c r="J756" s="1">
        <v>8308814033</v>
      </c>
      <c r="K756" s="1" t="s">
        <v>148</v>
      </c>
      <c r="L756" s="1" t="s">
        <v>7442</v>
      </c>
      <c r="M756" s="1" t="s">
        <v>81</v>
      </c>
      <c r="N756" s="1" t="s">
        <v>1418</v>
      </c>
      <c r="O756" s="1"/>
      <c r="P756" s="1" t="s">
        <v>1766</v>
      </c>
      <c r="Q756" s="1" t="s">
        <v>13891</v>
      </c>
      <c r="R756" s="1" t="s">
        <v>13892</v>
      </c>
      <c r="S756" s="1">
        <v>8805014036</v>
      </c>
      <c r="T756" s="1" t="s">
        <v>763</v>
      </c>
      <c r="U756" s="1" t="s">
        <v>13893</v>
      </c>
      <c r="V756" s="1">
        <v>7350011641</v>
      </c>
      <c r="W756" s="1" t="s">
        <v>156</v>
      </c>
      <c r="X756" s="1" t="s">
        <v>13894</v>
      </c>
      <c r="Y756" s="1" t="s">
        <v>191</v>
      </c>
      <c r="Z756" s="1" t="s">
        <v>92</v>
      </c>
      <c r="AA756" s="1" t="s">
        <v>13894</v>
      </c>
      <c r="AB756" s="1" t="s">
        <v>191</v>
      </c>
      <c r="AC756" s="1" t="s">
        <v>92</v>
      </c>
      <c r="AD756" s="1">
        <v>8.42</v>
      </c>
      <c r="AE756" s="1" t="s">
        <v>93</v>
      </c>
      <c r="AF756" s="1" t="s">
        <v>13895</v>
      </c>
      <c r="AG756" s="1" t="s">
        <v>160</v>
      </c>
      <c r="AH756" s="1" t="s">
        <v>162</v>
      </c>
      <c r="AI756" s="1" t="s">
        <v>195</v>
      </c>
      <c r="AJ756" s="1">
        <v>84.2</v>
      </c>
      <c r="AK756" s="1"/>
      <c r="AL756" s="1" t="s">
        <v>13896</v>
      </c>
      <c r="AM756" s="1" t="s">
        <v>160</v>
      </c>
      <c r="AN756" s="1" t="s">
        <v>101</v>
      </c>
      <c r="AO756" s="1" t="s">
        <v>198</v>
      </c>
      <c r="AP756" s="1">
        <v>65.69</v>
      </c>
      <c r="AQ756" s="1"/>
      <c r="AR756" s="1"/>
      <c r="AS756" s="1"/>
      <c r="AT756" s="1"/>
      <c r="AU756" s="1"/>
      <c r="AV756" s="1"/>
      <c r="AW756" s="1"/>
      <c r="AX756" s="1" t="s">
        <v>361</v>
      </c>
      <c r="AY756" s="1" t="s">
        <v>13897</v>
      </c>
      <c r="AZ756" s="1" t="s">
        <v>229</v>
      </c>
      <c r="BA756" s="1" t="s">
        <v>702</v>
      </c>
      <c r="BB756" s="1">
        <v>62.3</v>
      </c>
      <c r="BC756" s="1">
        <v>6.98</v>
      </c>
      <c r="BD756" s="1"/>
      <c r="BE756" s="1"/>
      <c r="BF756" s="1"/>
      <c r="BG756" s="1"/>
      <c r="BH756" s="1"/>
      <c r="BI756" s="1"/>
      <c r="BJ756" s="1" t="s">
        <v>13898</v>
      </c>
      <c r="BK756" s="1" t="s">
        <v>13899</v>
      </c>
      <c r="BL756" s="1" t="s">
        <v>2914</v>
      </c>
      <c r="BM756" s="1" t="s">
        <v>13900</v>
      </c>
      <c r="BN756" s="1">
        <v>28</v>
      </c>
      <c r="BO756" s="1"/>
      <c r="BP756" s="1" t="str">
        <f>HYPERLINK("https://nconnect.nicmar.ac.in/storage/profile/ProfilePhoto_P25700722_325679.jpg","Download")</f>
        <v>0</v>
      </c>
      <c r="BQ756" s="3"/>
      <c r="BR756" s="3"/>
    </row>
    <row r="757" spans="1:70">
      <c r="A757" s="1" t="s">
        <v>70</v>
      </c>
      <c r="B757" s="1" t="s">
        <v>1269</v>
      </c>
      <c r="C757" s="1" t="s">
        <v>13901</v>
      </c>
      <c r="D757" s="1" t="s">
        <v>13902</v>
      </c>
      <c r="E757" s="1"/>
      <c r="F757" s="1" t="s">
        <v>13903</v>
      </c>
      <c r="G757" s="1" t="s">
        <v>13904</v>
      </c>
      <c r="H757" s="1" t="s">
        <v>13905</v>
      </c>
      <c r="I757" s="1" t="s">
        <v>13906</v>
      </c>
      <c r="J757" s="1">
        <v>9444724700</v>
      </c>
      <c r="K757" s="1" t="s">
        <v>79</v>
      </c>
      <c r="L757" s="1" t="s">
        <v>13907</v>
      </c>
      <c r="M757" s="1" t="s">
        <v>81</v>
      </c>
      <c r="N757" s="1" t="s">
        <v>1571</v>
      </c>
      <c r="O757" s="1"/>
      <c r="P757" s="1" t="s">
        <v>1323</v>
      </c>
      <c r="Q757" s="1" t="s">
        <v>13908</v>
      </c>
      <c r="R757" s="1" t="s">
        <v>13909</v>
      </c>
      <c r="S757" s="1">
        <v>9444253375</v>
      </c>
      <c r="T757" s="1" t="s">
        <v>13910</v>
      </c>
      <c r="U757" s="1" t="s">
        <v>13911</v>
      </c>
      <c r="V757" s="1">
        <v>9445379605</v>
      </c>
      <c r="W757" s="1" t="s">
        <v>651</v>
      </c>
      <c r="X757" s="1" t="s">
        <v>13912</v>
      </c>
      <c r="Y757" s="1" t="s">
        <v>2320</v>
      </c>
      <c r="Z757" s="1" t="s">
        <v>1377</v>
      </c>
      <c r="AA757" s="1" t="s">
        <v>13913</v>
      </c>
      <c r="AB757" s="1" t="s">
        <v>2808</v>
      </c>
      <c r="AC757" s="1" t="s">
        <v>1377</v>
      </c>
      <c r="AD757" s="1">
        <v>8.95</v>
      </c>
      <c r="AE757" s="1" t="s">
        <v>93</v>
      </c>
      <c r="AF757" s="1" t="s">
        <v>13914</v>
      </c>
      <c r="AG757" s="1" t="s">
        <v>7987</v>
      </c>
      <c r="AH757" s="1" t="s">
        <v>1307</v>
      </c>
      <c r="AI757" s="1" t="s">
        <v>308</v>
      </c>
      <c r="AJ757" s="1">
        <v>92.4</v>
      </c>
      <c r="AK757" s="1"/>
      <c r="AL757" s="1" t="s">
        <v>13915</v>
      </c>
      <c r="AM757" s="1" t="s">
        <v>7987</v>
      </c>
      <c r="AN757" s="1" t="s">
        <v>699</v>
      </c>
      <c r="AO757" s="1" t="s">
        <v>506</v>
      </c>
      <c r="AP757" s="1">
        <v>95.6</v>
      </c>
      <c r="AQ757" s="1"/>
      <c r="AR757" s="1"/>
      <c r="AS757" s="1"/>
      <c r="AT757" s="1"/>
      <c r="AU757" s="1"/>
      <c r="AV757" s="1"/>
      <c r="AW757" s="1"/>
      <c r="AX757" s="1" t="s">
        <v>13916</v>
      </c>
      <c r="AY757" s="1" t="s">
        <v>13916</v>
      </c>
      <c r="AZ757" s="1" t="s">
        <v>1407</v>
      </c>
      <c r="BA757" s="1" t="s">
        <v>1714</v>
      </c>
      <c r="BB757" s="1">
        <v>89.35</v>
      </c>
      <c r="BC757" s="1">
        <v>8.93</v>
      </c>
      <c r="BD757" s="1"/>
      <c r="BE757" s="1"/>
      <c r="BF757" s="1"/>
      <c r="BG757" s="1"/>
      <c r="BH757" s="1"/>
      <c r="BI757" s="1"/>
      <c r="BJ757" s="1" t="s">
        <v>13917</v>
      </c>
      <c r="BK757" s="1"/>
      <c r="BL757" s="1"/>
      <c r="BM757" s="1" t="s">
        <v>13918</v>
      </c>
      <c r="BN757" s="1">
        <v>9</v>
      </c>
      <c r="BO757" s="1"/>
      <c r="BP757" s="1" t="str">
        <f>HYPERLINK("https://nconnect.nicmar.ac.in/storage/profile/ProfilePhoto_P25700723_862314.jpg","Download")</f>
        <v>0</v>
      </c>
      <c r="BQ757" s="3"/>
      <c r="BR757" s="3"/>
    </row>
    <row r="758" spans="1:70">
      <c r="A758" s="1" t="s">
        <v>70</v>
      </c>
      <c r="B758" s="1" t="s">
        <v>1269</v>
      </c>
      <c r="C758" s="1" t="s">
        <v>13919</v>
      </c>
      <c r="D758" s="1" t="s">
        <v>816</v>
      </c>
      <c r="E758" s="1" t="s">
        <v>13920</v>
      </c>
      <c r="F758" s="1" t="s">
        <v>13921</v>
      </c>
      <c r="G758" s="1" t="s">
        <v>13922</v>
      </c>
      <c r="H758" s="1" t="s">
        <v>13923</v>
      </c>
      <c r="I758" s="1" t="s">
        <v>13924</v>
      </c>
      <c r="J758" s="1">
        <v>9503958058</v>
      </c>
      <c r="K758" s="1" t="s">
        <v>79</v>
      </c>
      <c r="L758" s="1" t="s">
        <v>13558</v>
      </c>
      <c r="M758" s="1" t="s">
        <v>81</v>
      </c>
      <c r="N758" s="1" t="s">
        <v>13925</v>
      </c>
      <c r="O758" s="1"/>
      <c r="P758" s="1" t="s">
        <v>1766</v>
      </c>
      <c r="Q758" s="1" t="s">
        <v>13926</v>
      </c>
      <c r="R758" s="1" t="s">
        <v>13927</v>
      </c>
      <c r="S758" s="1">
        <v>9819541679</v>
      </c>
      <c r="T758" s="1" t="s">
        <v>763</v>
      </c>
      <c r="U758" s="1" t="s">
        <v>13928</v>
      </c>
      <c r="V758" s="1">
        <v>9503958058</v>
      </c>
      <c r="W758" s="1" t="s">
        <v>13929</v>
      </c>
      <c r="X758" s="1" t="s">
        <v>13930</v>
      </c>
      <c r="Y758" s="1" t="s">
        <v>995</v>
      </c>
      <c r="Z758" s="1" t="s">
        <v>92</v>
      </c>
      <c r="AA758" s="1" t="s">
        <v>13931</v>
      </c>
      <c r="AB758" s="1" t="s">
        <v>5080</v>
      </c>
      <c r="AC758" s="1" t="s">
        <v>92</v>
      </c>
      <c r="AD758" s="1">
        <v>7.98</v>
      </c>
      <c r="AE758" s="1" t="s">
        <v>93</v>
      </c>
      <c r="AF758" s="1" t="s">
        <v>3409</v>
      </c>
      <c r="AG758" s="1" t="s">
        <v>13932</v>
      </c>
      <c r="AH758" s="1" t="s">
        <v>165</v>
      </c>
      <c r="AI758" s="1" t="s">
        <v>101</v>
      </c>
      <c r="AJ758" s="1">
        <v>75</v>
      </c>
      <c r="AK758" s="1">
        <v>0</v>
      </c>
      <c r="AL758" s="1"/>
      <c r="AM758" s="1"/>
      <c r="AN758" s="1"/>
      <c r="AO758" s="1"/>
      <c r="AP758" s="1"/>
      <c r="AQ758" s="1"/>
      <c r="AR758" s="1" t="s">
        <v>434</v>
      </c>
      <c r="AS758" s="1" t="s">
        <v>13933</v>
      </c>
      <c r="AT758" s="1" t="s">
        <v>169</v>
      </c>
      <c r="AU758" s="1" t="s">
        <v>1712</v>
      </c>
      <c r="AV758" s="1">
        <v>88.63</v>
      </c>
      <c r="AW758" s="1">
        <v>0</v>
      </c>
      <c r="AX758" s="1" t="s">
        <v>1024</v>
      </c>
      <c r="AY758" s="1" t="s">
        <v>13934</v>
      </c>
      <c r="AZ758" s="1" t="s">
        <v>506</v>
      </c>
      <c r="BA758" s="1" t="s">
        <v>1939</v>
      </c>
      <c r="BB758" s="1">
        <v>64.09</v>
      </c>
      <c r="BC758" s="1">
        <v>6.95</v>
      </c>
      <c r="BD758" s="1"/>
      <c r="BE758" s="1"/>
      <c r="BF758" s="1"/>
      <c r="BG758" s="1"/>
      <c r="BH758" s="1"/>
      <c r="BI758" s="1"/>
      <c r="BJ758" s="1" t="s">
        <v>1715</v>
      </c>
      <c r="BK758" s="1"/>
      <c r="BL758" s="1"/>
      <c r="BM758" s="1" t="s">
        <v>13935</v>
      </c>
      <c r="BN758" s="1">
        <v>63</v>
      </c>
      <c r="BO758" s="1" t="s">
        <v>13936</v>
      </c>
      <c r="BP758" s="1" t="str">
        <f>HYPERLINK("https://nconnect.nicmar.ac.in/storage/profile/ProfilePhoto_P25700724_394512.jpg","Download")</f>
        <v>0</v>
      </c>
      <c r="BQ758" s="3"/>
      <c r="BR758" s="3"/>
    </row>
    <row r="759" spans="1:70">
      <c r="A759" s="1" t="s">
        <v>70</v>
      </c>
      <c r="B759" s="1" t="s">
        <v>1269</v>
      </c>
      <c r="C759" s="1" t="s">
        <v>13937</v>
      </c>
      <c r="D759" s="1" t="s">
        <v>13938</v>
      </c>
      <c r="E759" s="1" t="s">
        <v>13939</v>
      </c>
      <c r="F759" s="1" t="s">
        <v>13940</v>
      </c>
      <c r="G759" s="1" t="s">
        <v>13941</v>
      </c>
      <c r="H759" s="1" t="s">
        <v>13942</v>
      </c>
      <c r="I759" s="1" t="s">
        <v>13943</v>
      </c>
      <c r="J759" s="1">
        <v>9527484106</v>
      </c>
      <c r="K759" s="1" t="s">
        <v>148</v>
      </c>
      <c r="L759" s="1" t="s">
        <v>13944</v>
      </c>
      <c r="M759" s="1" t="s">
        <v>81</v>
      </c>
      <c r="N759" s="1" t="s">
        <v>3874</v>
      </c>
      <c r="O759" s="1"/>
      <c r="P759" s="1" t="s">
        <v>1766</v>
      </c>
      <c r="Q759" s="1" t="s">
        <v>13945</v>
      </c>
      <c r="R759" s="1" t="s">
        <v>13946</v>
      </c>
      <c r="S759" s="1">
        <v>9860313247</v>
      </c>
      <c r="T759" s="1" t="s">
        <v>154</v>
      </c>
      <c r="U759" s="1" t="s">
        <v>13947</v>
      </c>
      <c r="V759" s="1">
        <v>9021453140</v>
      </c>
      <c r="W759" s="1" t="s">
        <v>156</v>
      </c>
      <c r="X759" s="1" t="s">
        <v>13948</v>
      </c>
      <c r="Y759" s="1" t="s">
        <v>191</v>
      </c>
      <c r="Z759" s="1" t="s">
        <v>92</v>
      </c>
      <c r="AA759" s="1" t="s">
        <v>13949</v>
      </c>
      <c r="AB759" s="1" t="s">
        <v>191</v>
      </c>
      <c r="AC759" s="1" t="s">
        <v>92</v>
      </c>
      <c r="AD759" s="1">
        <v>8.78</v>
      </c>
      <c r="AE759" s="1" t="s">
        <v>93</v>
      </c>
      <c r="AF759" s="1" t="s">
        <v>13950</v>
      </c>
      <c r="AG759" s="1" t="s">
        <v>160</v>
      </c>
      <c r="AH759" s="1" t="s">
        <v>96</v>
      </c>
      <c r="AI759" s="1" t="s">
        <v>97</v>
      </c>
      <c r="AJ759" s="1">
        <v>86.4</v>
      </c>
      <c r="AK759" s="1"/>
      <c r="AL759" s="1"/>
      <c r="AM759" s="1"/>
      <c r="AN759" s="1"/>
      <c r="AO759" s="1"/>
      <c r="AP759" s="1"/>
      <c r="AQ759" s="1"/>
      <c r="AR759" s="1" t="s">
        <v>98</v>
      </c>
      <c r="AS759" s="1" t="s">
        <v>13951</v>
      </c>
      <c r="AT759" s="1" t="s">
        <v>337</v>
      </c>
      <c r="AU759" s="1" t="s">
        <v>101</v>
      </c>
      <c r="AV759" s="1">
        <v>81.82</v>
      </c>
      <c r="AW759" s="1"/>
      <c r="AX759" s="1" t="s">
        <v>361</v>
      </c>
      <c r="AY759" s="1" t="s">
        <v>13952</v>
      </c>
      <c r="AZ759" s="1" t="s">
        <v>636</v>
      </c>
      <c r="BA759" s="1" t="s">
        <v>506</v>
      </c>
      <c r="BB759" s="1">
        <v>71.9</v>
      </c>
      <c r="BC759" s="1">
        <v>7.94</v>
      </c>
      <c r="BD759" s="1"/>
      <c r="BE759" s="1"/>
      <c r="BF759" s="1"/>
      <c r="BG759" s="1"/>
      <c r="BH759" s="1"/>
      <c r="BI759" s="1"/>
      <c r="BJ759" s="1" t="s">
        <v>13953</v>
      </c>
      <c r="BK759" s="1" t="s">
        <v>13954</v>
      </c>
      <c r="BL759" s="1" t="s">
        <v>2654</v>
      </c>
      <c r="BM759" s="1" t="s">
        <v>13955</v>
      </c>
      <c r="BN759" s="1">
        <v>8</v>
      </c>
      <c r="BO759" s="1"/>
      <c r="BP759" s="1" t="str">
        <f>HYPERLINK("https://nconnect.nicmar.ac.in/storage/profile/ProfilePhoto_P25700725_384512.jpg","Download")</f>
        <v>0</v>
      </c>
      <c r="BQ759" s="3"/>
      <c r="BR759" s="3"/>
    </row>
    <row r="760" spans="1:70">
      <c r="A760" s="1" t="s">
        <v>70</v>
      </c>
      <c r="B760" s="1" t="s">
        <v>1269</v>
      </c>
      <c r="C760" s="1" t="s">
        <v>13956</v>
      </c>
      <c r="D760" s="1" t="s">
        <v>13162</v>
      </c>
      <c r="E760" s="1" t="s">
        <v>3231</v>
      </c>
      <c r="F760" s="1" t="s">
        <v>6214</v>
      </c>
      <c r="G760" s="1" t="s">
        <v>13957</v>
      </c>
      <c r="H760" s="1" t="s">
        <v>13958</v>
      </c>
      <c r="I760" s="1" t="s">
        <v>13959</v>
      </c>
      <c r="J760" s="1">
        <v>8432321636</v>
      </c>
      <c r="K760" s="1" t="s">
        <v>79</v>
      </c>
      <c r="L760" s="1" t="s">
        <v>4348</v>
      </c>
      <c r="M760" s="1" t="s">
        <v>81</v>
      </c>
      <c r="N760" s="1" t="s">
        <v>1418</v>
      </c>
      <c r="O760" s="1"/>
      <c r="P760" s="1" t="s">
        <v>1298</v>
      </c>
      <c r="Q760" s="1" t="s">
        <v>13960</v>
      </c>
      <c r="R760" s="1" t="s">
        <v>13961</v>
      </c>
      <c r="S760" s="1">
        <v>9860461636</v>
      </c>
      <c r="T760" s="1" t="s">
        <v>2240</v>
      </c>
      <c r="U760" s="1" t="s">
        <v>13962</v>
      </c>
      <c r="V760" s="1">
        <v>9860203052</v>
      </c>
      <c r="W760" s="1" t="s">
        <v>156</v>
      </c>
      <c r="X760" s="1" t="s">
        <v>13963</v>
      </c>
      <c r="Y760" s="1" t="s">
        <v>1887</v>
      </c>
      <c r="Z760" s="1" t="s">
        <v>92</v>
      </c>
      <c r="AA760" s="1" t="s">
        <v>13963</v>
      </c>
      <c r="AB760" s="1" t="s">
        <v>1887</v>
      </c>
      <c r="AC760" s="1" t="s">
        <v>92</v>
      </c>
      <c r="AD760" s="1">
        <v>7.71</v>
      </c>
      <c r="AE760" s="1" t="s">
        <v>93</v>
      </c>
      <c r="AF760" s="1" t="s">
        <v>13964</v>
      </c>
      <c r="AG760" s="1" t="s">
        <v>476</v>
      </c>
      <c r="AH760" s="1" t="s">
        <v>101</v>
      </c>
      <c r="AI760" s="1" t="s">
        <v>433</v>
      </c>
      <c r="AJ760" s="1">
        <v>69.4</v>
      </c>
      <c r="AK760" s="1"/>
      <c r="AL760" s="1"/>
      <c r="AM760" s="1"/>
      <c r="AN760" s="1"/>
      <c r="AO760" s="1"/>
      <c r="AP760" s="1"/>
      <c r="AQ760" s="1"/>
      <c r="AR760" s="1" t="s">
        <v>434</v>
      </c>
      <c r="AS760" s="1" t="s">
        <v>13965</v>
      </c>
      <c r="AT760" s="1" t="s">
        <v>201</v>
      </c>
      <c r="AU760" s="1" t="s">
        <v>2632</v>
      </c>
      <c r="AV760" s="1">
        <v>72.37</v>
      </c>
      <c r="AW760" s="1"/>
      <c r="AX760" s="1" t="s">
        <v>361</v>
      </c>
      <c r="AY760" s="1" t="s">
        <v>13966</v>
      </c>
      <c r="AZ760" s="1" t="s">
        <v>616</v>
      </c>
      <c r="BA760" s="1" t="s">
        <v>1714</v>
      </c>
      <c r="BB760" s="1">
        <v>60.52</v>
      </c>
      <c r="BC760" s="1">
        <v>6.8</v>
      </c>
      <c r="BD760" s="1"/>
      <c r="BE760" s="1"/>
      <c r="BF760" s="1"/>
      <c r="BG760" s="1"/>
      <c r="BH760" s="1"/>
      <c r="BI760" s="1"/>
      <c r="BJ760" s="1" t="s">
        <v>1383</v>
      </c>
      <c r="BK760" s="1"/>
      <c r="BL760" s="1"/>
      <c r="BM760" s="1" t="s">
        <v>13967</v>
      </c>
      <c r="BN760" s="1">
        <v>13</v>
      </c>
      <c r="BO760" s="1"/>
      <c r="BP760" s="1" t="str">
        <f>HYPERLINK("https://nconnect.nicmar.ac.in/storage/profile/ProfilePhoto_P25700727_591248.jpg","Download")</f>
        <v>0</v>
      </c>
      <c r="BQ760" s="3"/>
      <c r="BR760" s="3"/>
    </row>
    <row r="761" spans="1:70">
      <c r="A761" s="1" t="s">
        <v>70</v>
      </c>
      <c r="B761" s="1" t="s">
        <v>1269</v>
      </c>
      <c r="C761" s="1" t="s">
        <v>13968</v>
      </c>
      <c r="D761" s="1" t="s">
        <v>13969</v>
      </c>
      <c r="E761" s="1" t="s">
        <v>13970</v>
      </c>
      <c r="F761" s="1" t="s">
        <v>13971</v>
      </c>
      <c r="G761" s="1" t="s">
        <v>13972</v>
      </c>
      <c r="H761" s="1" t="s">
        <v>13973</v>
      </c>
      <c r="I761" s="1" t="s">
        <v>13974</v>
      </c>
      <c r="J761" s="1">
        <v>9404523678</v>
      </c>
      <c r="K761" s="1" t="s">
        <v>148</v>
      </c>
      <c r="L761" s="1" t="s">
        <v>8634</v>
      </c>
      <c r="M761" s="1" t="s">
        <v>81</v>
      </c>
      <c r="N761" s="1" t="s">
        <v>5056</v>
      </c>
      <c r="O761" s="1"/>
      <c r="P761" s="1" t="s">
        <v>1278</v>
      </c>
      <c r="Q761" s="1" t="s">
        <v>13975</v>
      </c>
      <c r="R761" s="1" t="s">
        <v>13976</v>
      </c>
      <c r="S761" s="1">
        <v>9823203559</v>
      </c>
      <c r="T761" s="1" t="s">
        <v>842</v>
      </c>
      <c r="U761" s="1" t="s">
        <v>13977</v>
      </c>
      <c r="V761" s="1">
        <v>9823047628</v>
      </c>
      <c r="W761" s="1" t="s">
        <v>156</v>
      </c>
      <c r="X761" s="1" t="s">
        <v>13978</v>
      </c>
      <c r="Y761" s="1" t="s">
        <v>191</v>
      </c>
      <c r="Z761" s="1" t="s">
        <v>92</v>
      </c>
      <c r="AA761" s="1" t="s">
        <v>13979</v>
      </c>
      <c r="AB761" s="1" t="s">
        <v>5840</v>
      </c>
      <c r="AC761" s="1" t="s">
        <v>92</v>
      </c>
      <c r="AD761" s="1">
        <v>8.86</v>
      </c>
      <c r="AE761" s="1" t="s">
        <v>93</v>
      </c>
      <c r="AF761" s="1" t="s">
        <v>13980</v>
      </c>
      <c r="AG761" s="1" t="s">
        <v>13981</v>
      </c>
      <c r="AH761" s="1" t="s">
        <v>479</v>
      </c>
      <c r="AI761" s="1" t="s">
        <v>166</v>
      </c>
      <c r="AJ761" s="1">
        <v>70.4</v>
      </c>
      <c r="AK761" s="1"/>
      <c r="AL761" s="1" t="s">
        <v>13982</v>
      </c>
      <c r="AM761" s="1" t="s">
        <v>13981</v>
      </c>
      <c r="AN761" s="1" t="s">
        <v>433</v>
      </c>
      <c r="AO761" s="1" t="s">
        <v>173</v>
      </c>
      <c r="AP761" s="1">
        <v>72</v>
      </c>
      <c r="AQ761" s="1"/>
      <c r="AR761" s="1"/>
      <c r="AS761" s="1"/>
      <c r="AT761" s="1"/>
      <c r="AU761" s="1"/>
      <c r="AV761" s="1"/>
      <c r="AW761" s="1"/>
      <c r="AX761" s="1" t="s">
        <v>13983</v>
      </c>
      <c r="AY761" s="1" t="s">
        <v>13984</v>
      </c>
      <c r="AZ761" s="1" t="s">
        <v>228</v>
      </c>
      <c r="BA761" s="1" t="s">
        <v>1714</v>
      </c>
      <c r="BB761" s="1">
        <v>61.2</v>
      </c>
      <c r="BC761" s="1">
        <v>6.87</v>
      </c>
      <c r="BD761" s="1"/>
      <c r="BE761" s="1"/>
      <c r="BF761" s="1"/>
      <c r="BG761" s="1"/>
      <c r="BH761" s="1"/>
      <c r="BI761" s="1"/>
      <c r="BJ761" s="1" t="s">
        <v>13985</v>
      </c>
      <c r="BK761" s="1"/>
      <c r="BL761" s="1"/>
      <c r="BM761" s="1" t="s">
        <v>13986</v>
      </c>
      <c r="BN761" s="1">
        <v>25</v>
      </c>
      <c r="BO761" s="1"/>
      <c r="BP761" s="1" t="str">
        <f>HYPERLINK("https://nconnect.nicmar.ac.in/storage/profile/ProfilePhoto_P25700729_957261.jpg","Download")</f>
        <v>0</v>
      </c>
      <c r="BQ761" s="3"/>
      <c r="BR761" s="3"/>
    </row>
    <row r="762" spans="1:70">
      <c r="A762" s="1" t="s">
        <v>70</v>
      </c>
      <c r="B762" s="1" t="s">
        <v>1269</v>
      </c>
      <c r="C762" s="1" t="s">
        <v>13987</v>
      </c>
      <c r="D762" s="1" t="s">
        <v>13988</v>
      </c>
      <c r="E762" s="1" t="s">
        <v>13989</v>
      </c>
      <c r="F762" s="1" t="s">
        <v>13990</v>
      </c>
      <c r="G762" s="1" t="s">
        <v>13991</v>
      </c>
      <c r="H762" s="1" t="s">
        <v>13992</v>
      </c>
      <c r="I762" s="1" t="s">
        <v>13993</v>
      </c>
      <c r="J762" s="1">
        <v>9687889891</v>
      </c>
      <c r="K762" s="1" t="s">
        <v>79</v>
      </c>
      <c r="L762" s="1" t="s">
        <v>10275</v>
      </c>
      <c r="M762" s="1" t="s">
        <v>81</v>
      </c>
      <c r="N762" s="1" t="s">
        <v>7887</v>
      </c>
      <c r="O762" s="1"/>
      <c r="P762" s="1" t="s">
        <v>1298</v>
      </c>
      <c r="Q762" s="1" t="s">
        <v>13994</v>
      </c>
      <c r="R762" s="1" t="s">
        <v>13995</v>
      </c>
      <c r="S762" s="1">
        <v>9825609420</v>
      </c>
      <c r="T762" s="1" t="s">
        <v>496</v>
      </c>
      <c r="U762" s="1" t="s">
        <v>13996</v>
      </c>
      <c r="V762" s="1">
        <v>9825028397</v>
      </c>
      <c r="W762" s="1" t="s">
        <v>156</v>
      </c>
      <c r="X762" s="1" t="s">
        <v>13997</v>
      </c>
      <c r="Y762" s="1" t="s">
        <v>13998</v>
      </c>
      <c r="Z762" s="1" t="s">
        <v>1468</v>
      </c>
      <c r="AA762" s="1" t="s">
        <v>13997</v>
      </c>
      <c r="AB762" s="1" t="s">
        <v>13998</v>
      </c>
      <c r="AC762" s="1" t="s">
        <v>1468</v>
      </c>
      <c r="AD762" s="1">
        <v>7.91</v>
      </c>
      <c r="AE762" s="1" t="s">
        <v>93</v>
      </c>
      <c r="AF762" s="1" t="s">
        <v>13999</v>
      </c>
      <c r="AG762" s="1" t="s">
        <v>14000</v>
      </c>
      <c r="AH762" s="1" t="s">
        <v>479</v>
      </c>
      <c r="AI762" s="1" t="s">
        <v>166</v>
      </c>
      <c r="AJ762" s="1">
        <v>82.6</v>
      </c>
      <c r="AK762" s="1"/>
      <c r="AL762" s="1" t="s">
        <v>14001</v>
      </c>
      <c r="AM762" s="1" t="s">
        <v>14000</v>
      </c>
      <c r="AN762" s="1" t="s">
        <v>308</v>
      </c>
      <c r="AO762" s="1" t="s">
        <v>173</v>
      </c>
      <c r="AP762" s="1">
        <v>69.8</v>
      </c>
      <c r="AQ762" s="1"/>
      <c r="AR762" s="1"/>
      <c r="AS762" s="1"/>
      <c r="AT762" s="1"/>
      <c r="AU762" s="1"/>
      <c r="AV762" s="1"/>
      <c r="AW762" s="1"/>
      <c r="AX762" s="1" t="s">
        <v>14002</v>
      </c>
      <c r="AY762" s="1" t="s">
        <v>14003</v>
      </c>
      <c r="AZ762" s="1" t="s">
        <v>897</v>
      </c>
      <c r="BA762" s="1" t="s">
        <v>1361</v>
      </c>
      <c r="BB762" s="1">
        <v>67.6</v>
      </c>
      <c r="BC762" s="1">
        <v>6.76</v>
      </c>
      <c r="BD762" s="1"/>
      <c r="BE762" s="1"/>
      <c r="BF762" s="1"/>
      <c r="BG762" s="1"/>
      <c r="BH762" s="1"/>
      <c r="BI762" s="1"/>
      <c r="BJ762" s="1" t="s">
        <v>1715</v>
      </c>
      <c r="BK762" s="1"/>
      <c r="BL762" s="1"/>
      <c r="BM762" s="1" t="s">
        <v>14004</v>
      </c>
      <c r="BN762" s="1">
        <v>8</v>
      </c>
      <c r="BO762" s="1" t="s">
        <v>14005</v>
      </c>
      <c r="BP762" s="1" t="str">
        <f>HYPERLINK("https://nconnect.nicmar.ac.in/storage/profile/ProfilePhoto_P25700730_295671.jpg","Download")</f>
        <v>0</v>
      </c>
      <c r="BQ762" s="3"/>
      <c r="BR762" s="3"/>
    </row>
    <row r="763" spans="1:70">
      <c r="A763" s="1" t="s">
        <v>70</v>
      </c>
      <c r="B763" s="1" t="s">
        <v>1269</v>
      </c>
      <c r="C763" s="1" t="s">
        <v>14006</v>
      </c>
      <c r="D763" s="1" t="s">
        <v>14007</v>
      </c>
      <c r="E763" s="1"/>
      <c r="F763" s="1" t="s">
        <v>14008</v>
      </c>
      <c r="G763" s="1" t="s">
        <v>14009</v>
      </c>
      <c r="H763" s="1" t="s">
        <v>14010</v>
      </c>
      <c r="I763" s="1" t="s">
        <v>14011</v>
      </c>
      <c r="J763" s="1">
        <v>9110683371</v>
      </c>
      <c r="K763" s="1" t="s">
        <v>79</v>
      </c>
      <c r="L763" s="1" t="s">
        <v>14012</v>
      </c>
      <c r="M763" s="1" t="s">
        <v>81</v>
      </c>
      <c r="N763" s="1" t="s">
        <v>14013</v>
      </c>
      <c r="O763" s="1"/>
      <c r="P763" s="1" t="s">
        <v>1298</v>
      </c>
      <c r="Q763" s="1" t="s">
        <v>14014</v>
      </c>
      <c r="R763" s="1" t="s">
        <v>14015</v>
      </c>
      <c r="S763" s="1">
        <v>8453273495</v>
      </c>
      <c r="T763" s="1" t="s">
        <v>14016</v>
      </c>
      <c r="U763" s="1" t="s">
        <v>14017</v>
      </c>
      <c r="V763" s="1">
        <v>9148260681</v>
      </c>
      <c r="W763" s="1" t="s">
        <v>273</v>
      </c>
      <c r="X763" s="1" t="s">
        <v>14018</v>
      </c>
      <c r="Y763" s="1" t="s">
        <v>14019</v>
      </c>
      <c r="Z763" s="1" t="s">
        <v>1084</v>
      </c>
      <c r="AA763" s="1" t="s">
        <v>14018</v>
      </c>
      <c r="AB763" s="1" t="s">
        <v>14019</v>
      </c>
      <c r="AC763" s="1" t="s">
        <v>1084</v>
      </c>
      <c r="AD763" s="1">
        <v>8.08</v>
      </c>
      <c r="AE763" s="1" t="s">
        <v>93</v>
      </c>
      <c r="AF763" s="1" t="s">
        <v>14020</v>
      </c>
      <c r="AG763" s="1" t="s">
        <v>14021</v>
      </c>
      <c r="AH763" s="1" t="s">
        <v>96</v>
      </c>
      <c r="AI763" s="1" t="s">
        <v>131</v>
      </c>
      <c r="AJ763" s="1">
        <v>62.33</v>
      </c>
      <c r="AK763" s="1"/>
      <c r="AL763" s="1" t="s">
        <v>14022</v>
      </c>
      <c r="AM763" s="1" t="s">
        <v>4526</v>
      </c>
      <c r="AN763" s="1" t="s">
        <v>161</v>
      </c>
      <c r="AO763" s="1" t="s">
        <v>479</v>
      </c>
      <c r="AP763" s="1">
        <v>71.83</v>
      </c>
      <c r="AQ763" s="1"/>
      <c r="AR763" s="1"/>
      <c r="AS763" s="1"/>
      <c r="AT763" s="1"/>
      <c r="AU763" s="1"/>
      <c r="AV763" s="1"/>
      <c r="AW763" s="1"/>
      <c r="AX763" s="1" t="s">
        <v>8293</v>
      </c>
      <c r="AY763" s="1" t="s">
        <v>14023</v>
      </c>
      <c r="AZ763" s="1" t="s">
        <v>225</v>
      </c>
      <c r="BA763" s="1" t="s">
        <v>506</v>
      </c>
      <c r="BB763" s="1">
        <v>77.8</v>
      </c>
      <c r="BC763" s="1">
        <v>7.78</v>
      </c>
      <c r="BD763" s="1"/>
      <c r="BE763" s="1"/>
      <c r="BF763" s="1"/>
      <c r="BG763" s="1"/>
      <c r="BH763" s="1"/>
      <c r="BI763" s="1"/>
      <c r="BJ763" s="1" t="s">
        <v>14024</v>
      </c>
      <c r="BK763" s="1" t="s">
        <v>14025</v>
      </c>
      <c r="BL763" s="1" t="s">
        <v>5705</v>
      </c>
      <c r="BM763" s="1" t="s">
        <v>14026</v>
      </c>
      <c r="BN763" s="1">
        <v>10</v>
      </c>
      <c r="BO763" s="1" t="s">
        <v>14027</v>
      </c>
      <c r="BP763" s="1" t="str">
        <f>HYPERLINK("https://nconnect.nicmar.ac.in/storage/profile/ProfilePhoto_P25700731_859741.jpg","Download")</f>
        <v>0</v>
      </c>
      <c r="BQ763" s="3"/>
      <c r="BR763" s="3"/>
    </row>
    <row r="764" spans="1:70">
      <c r="A764" s="1" t="s">
        <v>70</v>
      </c>
      <c r="B764" s="1" t="s">
        <v>1269</v>
      </c>
      <c r="C764" s="1" t="s">
        <v>14028</v>
      </c>
      <c r="D764" s="1" t="s">
        <v>14029</v>
      </c>
      <c r="E764" s="1" t="s">
        <v>2150</v>
      </c>
      <c r="F764" s="1" t="s">
        <v>6408</v>
      </c>
      <c r="G764" s="1" t="s">
        <v>14030</v>
      </c>
      <c r="H764" s="1" t="s">
        <v>14031</v>
      </c>
      <c r="I764" s="1" t="s">
        <v>14032</v>
      </c>
      <c r="J764" s="1">
        <v>9082473497</v>
      </c>
      <c r="K764" s="1" t="s">
        <v>79</v>
      </c>
      <c r="L764" s="1" t="s">
        <v>11382</v>
      </c>
      <c r="M764" s="1" t="s">
        <v>81</v>
      </c>
      <c r="N764" s="1" t="s">
        <v>14033</v>
      </c>
      <c r="O764" s="1"/>
      <c r="P764" s="1" t="s">
        <v>1278</v>
      </c>
      <c r="Q764" s="1" t="s">
        <v>14034</v>
      </c>
      <c r="R764" s="1" t="s">
        <v>6408</v>
      </c>
      <c r="S764" s="1">
        <v>9594154201</v>
      </c>
      <c r="T764" s="1" t="s">
        <v>496</v>
      </c>
      <c r="U764" s="1" t="s">
        <v>14035</v>
      </c>
      <c r="V764" s="1">
        <v>9324547252</v>
      </c>
      <c r="W764" s="1" t="s">
        <v>9138</v>
      </c>
      <c r="X764" s="1" t="s">
        <v>14036</v>
      </c>
      <c r="Y764" s="1" t="s">
        <v>766</v>
      </c>
      <c r="Z764" s="1" t="s">
        <v>92</v>
      </c>
      <c r="AA764" s="1" t="s">
        <v>14036</v>
      </c>
      <c r="AB764" s="1" t="s">
        <v>766</v>
      </c>
      <c r="AC764" s="1" t="s">
        <v>92</v>
      </c>
      <c r="AD764" s="1">
        <v>7.28</v>
      </c>
      <c r="AE764" s="1" t="s">
        <v>93</v>
      </c>
      <c r="AF764" s="1" t="s">
        <v>14037</v>
      </c>
      <c r="AG764" s="1" t="s">
        <v>14038</v>
      </c>
      <c r="AH764" s="1" t="s">
        <v>657</v>
      </c>
      <c r="AI764" s="1" t="s">
        <v>195</v>
      </c>
      <c r="AJ764" s="1">
        <v>63.8</v>
      </c>
      <c r="AK764" s="1"/>
      <c r="AL764" s="1"/>
      <c r="AM764" s="1"/>
      <c r="AN764" s="1"/>
      <c r="AO764" s="1"/>
      <c r="AP764" s="1"/>
      <c r="AQ764" s="1"/>
      <c r="AR764" s="1" t="s">
        <v>11390</v>
      </c>
      <c r="AS764" s="1" t="s">
        <v>14039</v>
      </c>
      <c r="AT764" s="1" t="s">
        <v>383</v>
      </c>
      <c r="AU764" s="1" t="s">
        <v>228</v>
      </c>
      <c r="AV764" s="1">
        <v>88.21</v>
      </c>
      <c r="AW764" s="1"/>
      <c r="AX764" s="1" t="s">
        <v>1024</v>
      </c>
      <c r="AY764" s="1" t="s">
        <v>14040</v>
      </c>
      <c r="AZ764" s="1" t="s">
        <v>363</v>
      </c>
      <c r="BA764" s="1" t="s">
        <v>174</v>
      </c>
      <c r="BB764" s="1">
        <v>74.28</v>
      </c>
      <c r="BC764" s="1"/>
      <c r="BD764" s="1"/>
      <c r="BE764" s="1"/>
      <c r="BF764" s="1"/>
      <c r="BG764" s="1"/>
      <c r="BH764" s="1"/>
      <c r="BI764" s="1"/>
      <c r="BJ764" s="1" t="s">
        <v>2080</v>
      </c>
      <c r="BK764" s="1" t="s">
        <v>14041</v>
      </c>
      <c r="BL764" s="1" t="s">
        <v>3246</v>
      </c>
      <c r="BM764" s="1" t="s">
        <v>14042</v>
      </c>
      <c r="BN764" s="1">
        <v>10</v>
      </c>
      <c r="BO764" s="1"/>
      <c r="BP764" s="1" t="str">
        <f>HYPERLINK("https://nconnect.nicmar.ac.in/storage/profile/ProfilePhoto_P25700732_983572.jpg","Download")</f>
        <v>0</v>
      </c>
      <c r="BQ764" s="3"/>
      <c r="BR764" s="3"/>
    </row>
    <row r="765" spans="1:70">
      <c r="A765" s="1" t="s">
        <v>70</v>
      </c>
      <c r="B765" s="1" t="s">
        <v>1269</v>
      </c>
      <c r="C765" s="1" t="s">
        <v>14043</v>
      </c>
      <c r="D765" s="1" t="s">
        <v>14044</v>
      </c>
      <c r="E765" s="1" t="s">
        <v>144</v>
      </c>
      <c r="F765" s="1" t="s">
        <v>14045</v>
      </c>
      <c r="G765" s="1" t="s">
        <v>14046</v>
      </c>
      <c r="H765" s="1" t="s">
        <v>14047</v>
      </c>
      <c r="I765" s="1" t="s">
        <v>14048</v>
      </c>
      <c r="J765" s="1">
        <v>9284971811</v>
      </c>
      <c r="K765" s="1" t="s">
        <v>79</v>
      </c>
      <c r="L765" s="1" t="s">
        <v>3954</v>
      </c>
      <c r="M765" s="1" t="s">
        <v>81</v>
      </c>
      <c r="N765" s="1" t="s">
        <v>6122</v>
      </c>
      <c r="O765" s="1"/>
      <c r="P765" s="1" t="s">
        <v>1278</v>
      </c>
      <c r="Q765" s="1" t="s">
        <v>14049</v>
      </c>
      <c r="R765" s="1" t="s">
        <v>14050</v>
      </c>
      <c r="S765" s="1">
        <v>9823162652</v>
      </c>
      <c r="T765" s="1" t="s">
        <v>14051</v>
      </c>
      <c r="U765" s="1" t="s">
        <v>14052</v>
      </c>
      <c r="V765" s="1">
        <v>8806536869</v>
      </c>
      <c r="W765" s="1" t="s">
        <v>14051</v>
      </c>
      <c r="X765" s="1" t="s">
        <v>14053</v>
      </c>
      <c r="Y765" s="1" t="s">
        <v>8603</v>
      </c>
      <c r="Z765" s="1" t="s">
        <v>92</v>
      </c>
      <c r="AA765" s="1" t="s">
        <v>14053</v>
      </c>
      <c r="AB765" s="1" t="s">
        <v>8603</v>
      </c>
      <c r="AC765" s="1" t="s">
        <v>92</v>
      </c>
      <c r="AD765" s="1">
        <v>7.97</v>
      </c>
      <c r="AE765" s="1" t="s">
        <v>93</v>
      </c>
      <c r="AF765" s="1" t="s">
        <v>14054</v>
      </c>
      <c r="AG765" s="1" t="s">
        <v>160</v>
      </c>
      <c r="AH765" s="1" t="s">
        <v>101</v>
      </c>
      <c r="AI765" s="1" t="s">
        <v>433</v>
      </c>
      <c r="AJ765" s="1">
        <v>86.2</v>
      </c>
      <c r="AK765" s="1"/>
      <c r="AL765" s="1" t="s">
        <v>14055</v>
      </c>
      <c r="AM765" s="1" t="s">
        <v>160</v>
      </c>
      <c r="AN765" s="1" t="s">
        <v>699</v>
      </c>
      <c r="AO765" s="1" t="s">
        <v>1131</v>
      </c>
      <c r="AP765" s="1">
        <v>91.33</v>
      </c>
      <c r="AQ765" s="1"/>
      <c r="AR765" s="1"/>
      <c r="AS765" s="1"/>
      <c r="AT765" s="1"/>
      <c r="AU765" s="1"/>
      <c r="AV765" s="1"/>
      <c r="AW765" s="1"/>
      <c r="AX765" s="1" t="s">
        <v>361</v>
      </c>
      <c r="AY765" s="1" t="s">
        <v>14056</v>
      </c>
      <c r="AZ765" s="1" t="s">
        <v>897</v>
      </c>
      <c r="BA765" s="1" t="s">
        <v>1714</v>
      </c>
      <c r="BB765" s="1">
        <v>63.09</v>
      </c>
      <c r="BC765" s="1">
        <v>7.18</v>
      </c>
      <c r="BD765" s="1"/>
      <c r="BE765" s="1"/>
      <c r="BF765" s="1"/>
      <c r="BG765" s="1"/>
      <c r="BH765" s="1"/>
      <c r="BI765" s="1"/>
      <c r="BJ765" s="1" t="s">
        <v>1383</v>
      </c>
      <c r="BK765" s="1"/>
      <c r="BL765" s="1"/>
      <c r="BM765" s="1" t="s">
        <v>14057</v>
      </c>
      <c r="BN765" s="1">
        <v>10</v>
      </c>
      <c r="BO765" s="1" t="s">
        <v>1715</v>
      </c>
      <c r="BP765" s="1" t="str">
        <f>HYPERLINK("https://nconnect.nicmar.ac.in/storage/profile/ProfilePhoto_P25700733_564197.jpg","Download")</f>
        <v>0</v>
      </c>
      <c r="BQ765" s="3"/>
      <c r="BR765" s="3"/>
    </row>
    <row r="766" spans="1:70">
      <c r="A766" s="1" t="s">
        <v>70</v>
      </c>
      <c r="B766" s="1" t="s">
        <v>1269</v>
      </c>
      <c r="C766" s="1" t="s">
        <v>14058</v>
      </c>
      <c r="D766" s="1" t="s">
        <v>14059</v>
      </c>
      <c r="E766" s="1"/>
      <c r="F766" s="1" t="s">
        <v>596</v>
      </c>
      <c r="G766" s="1" t="s">
        <v>14060</v>
      </c>
      <c r="H766" s="1" t="s">
        <v>14061</v>
      </c>
      <c r="I766" s="1" t="s">
        <v>14062</v>
      </c>
      <c r="J766" s="1">
        <v>7530000295</v>
      </c>
      <c r="K766" s="1" t="s">
        <v>79</v>
      </c>
      <c r="L766" s="1" t="s">
        <v>14063</v>
      </c>
      <c r="M766" s="1" t="s">
        <v>81</v>
      </c>
      <c r="N766" s="1" t="s">
        <v>14064</v>
      </c>
      <c r="O766" s="1" t="s">
        <v>14065</v>
      </c>
      <c r="P766" s="1" t="s">
        <v>214</v>
      </c>
      <c r="Q766" s="1" t="s">
        <v>14066</v>
      </c>
      <c r="R766" s="1" t="s">
        <v>14067</v>
      </c>
      <c r="S766" s="1">
        <v>9801086376</v>
      </c>
      <c r="T766" s="1" t="s">
        <v>14068</v>
      </c>
      <c r="U766" s="1" t="s">
        <v>14069</v>
      </c>
      <c r="V766" s="1">
        <v>8252292956</v>
      </c>
      <c r="W766" s="1" t="s">
        <v>14070</v>
      </c>
      <c r="X766" s="1" t="s">
        <v>14071</v>
      </c>
      <c r="Y766" s="1" t="s">
        <v>2992</v>
      </c>
      <c r="Z766" s="1" t="s">
        <v>846</v>
      </c>
      <c r="AA766" s="1" t="s">
        <v>14071</v>
      </c>
      <c r="AB766" s="1" t="s">
        <v>2992</v>
      </c>
      <c r="AC766" s="1" t="s">
        <v>846</v>
      </c>
      <c r="AD766" s="1">
        <v>9.15</v>
      </c>
      <c r="AE766" s="1" t="s">
        <v>93</v>
      </c>
      <c r="AF766" s="1" t="s">
        <v>14072</v>
      </c>
      <c r="AG766" s="1" t="s">
        <v>14073</v>
      </c>
      <c r="AH766" s="1" t="s">
        <v>128</v>
      </c>
      <c r="AI766" s="1" t="s">
        <v>998</v>
      </c>
      <c r="AJ766" s="1">
        <v>78.6</v>
      </c>
      <c r="AK766" s="1"/>
      <c r="AL766" s="1" t="s">
        <v>14074</v>
      </c>
      <c r="AM766" s="1" t="s">
        <v>14073</v>
      </c>
      <c r="AN766" s="1" t="s">
        <v>998</v>
      </c>
      <c r="AO766" s="1" t="s">
        <v>131</v>
      </c>
      <c r="AP766" s="1">
        <v>71.2</v>
      </c>
      <c r="AQ766" s="1"/>
      <c r="AR766" s="1"/>
      <c r="AS766" s="1"/>
      <c r="AT766" s="1"/>
      <c r="AU766" s="1"/>
      <c r="AV766" s="1"/>
      <c r="AW766" s="1"/>
      <c r="AX766" s="1" t="s">
        <v>14075</v>
      </c>
      <c r="AY766" s="1" t="s">
        <v>14076</v>
      </c>
      <c r="AZ766" s="1" t="s">
        <v>162</v>
      </c>
      <c r="BA766" s="1" t="s">
        <v>699</v>
      </c>
      <c r="BB766" s="1">
        <v>83.7</v>
      </c>
      <c r="BC766" s="1">
        <v>8.37</v>
      </c>
      <c r="BD766" s="1"/>
      <c r="BE766" s="1"/>
      <c r="BF766" s="1"/>
      <c r="BG766" s="1"/>
      <c r="BH766" s="1"/>
      <c r="BI766" s="1"/>
      <c r="BJ766" s="1" t="s">
        <v>14077</v>
      </c>
      <c r="BK766" s="1" t="s">
        <v>14078</v>
      </c>
      <c r="BL766" s="1" t="s">
        <v>14079</v>
      </c>
      <c r="BM766" s="1" t="s">
        <v>14080</v>
      </c>
      <c r="BN766" s="1">
        <v>13</v>
      </c>
      <c r="BO766" s="1" t="s">
        <v>14081</v>
      </c>
      <c r="BP766" s="1" t="str">
        <f>HYPERLINK("https://nconnect.nicmar.ac.in/storage/profile/ProfilePhoto_P25700734_648325.jpg","Download")</f>
        <v>0</v>
      </c>
      <c r="BQ766" s="3"/>
      <c r="BR766" s="3"/>
    </row>
    <row r="767" spans="1:70">
      <c r="A767" s="1" t="s">
        <v>70</v>
      </c>
      <c r="B767" s="1" t="s">
        <v>1269</v>
      </c>
      <c r="C767" s="1" t="s">
        <v>14082</v>
      </c>
      <c r="D767" s="1" t="s">
        <v>353</v>
      </c>
      <c r="E767" s="1"/>
      <c r="F767" s="1" t="s">
        <v>14083</v>
      </c>
      <c r="G767" s="1" t="s">
        <v>14084</v>
      </c>
      <c r="H767" s="1" t="s">
        <v>14085</v>
      </c>
      <c r="I767" s="1" t="s">
        <v>14086</v>
      </c>
      <c r="J767" s="1">
        <v>9009499412</v>
      </c>
      <c r="K767" s="1" t="s">
        <v>148</v>
      </c>
      <c r="L767" s="1" t="s">
        <v>5990</v>
      </c>
      <c r="M767" s="1" t="s">
        <v>81</v>
      </c>
      <c r="N767" s="1" t="s">
        <v>14087</v>
      </c>
      <c r="O767" s="1"/>
      <c r="P767" s="1" t="s">
        <v>1323</v>
      </c>
      <c r="Q767" s="1" t="s">
        <v>14088</v>
      </c>
      <c r="R767" s="1" t="s">
        <v>14089</v>
      </c>
      <c r="S767" s="1">
        <v>9425075619</v>
      </c>
      <c r="T767" s="1" t="s">
        <v>14090</v>
      </c>
      <c r="U767" s="1" t="s">
        <v>14091</v>
      </c>
      <c r="V767" s="1">
        <v>9424073297</v>
      </c>
      <c r="W767" s="1" t="s">
        <v>156</v>
      </c>
      <c r="X767" s="1" t="s">
        <v>14092</v>
      </c>
      <c r="Y767" s="1" t="s">
        <v>6382</v>
      </c>
      <c r="Z767" s="1" t="s">
        <v>936</v>
      </c>
      <c r="AA767" s="1" t="s">
        <v>14092</v>
      </c>
      <c r="AB767" s="1" t="s">
        <v>6382</v>
      </c>
      <c r="AC767" s="1" t="s">
        <v>936</v>
      </c>
      <c r="AD767" s="1">
        <v>8.59</v>
      </c>
      <c r="AE767" s="1" t="s">
        <v>93</v>
      </c>
      <c r="AF767" s="1" t="s">
        <v>14093</v>
      </c>
      <c r="AG767" s="1" t="s">
        <v>307</v>
      </c>
      <c r="AH767" s="1" t="s">
        <v>279</v>
      </c>
      <c r="AI767" s="1" t="s">
        <v>165</v>
      </c>
      <c r="AJ767" s="1">
        <v>95</v>
      </c>
      <c r="AK767" s="1">
        <v>10</v>
      </c>
      <c r="AL767" s="1" t="s">
        <v>14094</v>
      </c>
      <c r="AM767" s="1" t="s">
        <v>307</v>
      </c>
      <c r="AN767" s="1" t="s">
        <v>1307</v>
      </c>
      <c r="AO767" s="1" t="s">
        <v>308</v>
      </c>
      <c r="AP767" s="1">
        <v>76.4</v>
      </c>
      <c r="AQ767" s="1">
        <v>0</v>
      </c>
      <c r="AR767" s="1"/>
      <c r="AS767" s="1"/>
      <c r="AT767" s="1"/>
      <c r="AU767" s="1"/>
      <c r="AV767" s="1"/>
      <c r="AW767" s="1"/>
      <c r="AX767" s="1" t="s">
        <v>5980</v>
      </c>
      <c r="AY767" s="1" t="s">
        <v>14095</v>
      </c>
      <c r="AZ767" s="1" t="s">
        <v>201</v>
      </c>
      <c r="BA767" s="1" t="s">
        <v>202</v>
      </c>
      <c r="BB767" s="1">
        <v>77.6</v>
      </c>
      <c r="BC767" s="1">
        <v>7.76</v>
      </c>
      <c r="BD767" s="1"/>
      <c r="BE767" s="1"/>
      <c r="BF767" s="1"/>
      <c r="BG767" s="1"/>
      <c r="BH767" s="1"/>
      <c r="BI767" s="1"/>
      <c r="BJ767" s="1" t="s">
        <v>14096</v>
      </c>
      <c r="BK767" s="1" t="s">
        <v>14097</v>
      </c>
      <c r="BL767" s="1" t="s">
        <v>4933</v>
      </c>
      <c r="BM767" s="1" t="s">
        <v>14098</v>
      </c>
      <c r="BN767" s="1">
        <v>33</v>
      </c>
      <c r="BO767" s="1"/>
      <c r="BP767" s="1" t="str">
        <f>HYPERLINK("https://nconnect.nicmar.ac.in/storage/profile/ProfilePhoto_P25700735_173845.jpg","Download")</f>
        <v>0</v>
      </c>
      <c r="BQ767" s="3"/>
      <c r="BR767" s="3"/>
    </row>
    <row r="768" spans="1:70">
      <c r="A768" s="1" t="s">
        <v>70</v>
      </c>
      <c r="B768" s="1" t="s">
        <v>1269</v>
      </c>
      <c r="C768" s="1" t="s">
        <v>14099</v>
      </c>
      <c r="D768" s="1" t="s">
        <v>5583</v>
      </c>
      <c r="E768" s="1" t="s">
        <v>14100</v>
      </c>
      <c r="F768" s="1" t="s">
        <v>1010</v>
      </c>
      <c r="G768" s="1" t="s">
        <v>14101</v>
      </c>
      <c r="H768" s="1" t="s">
        <v>14102</v>
      </c>
      <c r="I768" s="1" t="s">
        <v>14103</v>
      </c>
      <c r="J768" s="1">
        <v>9850488999</v>
      </c>
      <c r="K768" s="1" t="s">
        <v>79</v>
      </c>
      <c r="L768" s="1" t="s">
        <v>14104</v>
      </c>
      <c r="M768" s="1" t="s">
        <v>81</v>
      </c>
      <c r="N768" s="1" t="s">
        <v>1765</v>
      </c>
      <c r="O768" s="1"/>
      <c r="P768" s="1" t="s">
        <v>1298</v>
      </c>
      <c r="Q768" s="1" t="s">
        <v>14105</v>
      </c>
      <c r="R768" s="1" t="s">
        <v>14106</v>
      </c>
      <c r="S768" s="1">
        <v>9422087715</v>
      </c>
      <c r="T768" s="1" t="s">
        <v>14107</v>
      </c>
      <c r="U768" s="1" t="s">
        <v>14108</v>
      </c>
      <c r="V768" s="1">
        <v>9422087716</v>
      </c>
      <c r="W768" s="1" t="s">
        <v>156</v>
      </c>
      <c r="X768" s="1" t="s">
        <v>14109</v>
      </c>
      <c r="Y768" s="1" t="s">
        <v>1623</v>
      </c>
      <c r="Z768" s="1" t="s">
        <v>92</v>
      </c>
      <c r="AA768" s="1" t="s">
        <v>14109</v>
      </c>
      <c r="AB768" s="1" t="s">
        <v>1623</v>
      </c>
      <c r="AC768" s="1" t="s">
        <v>92</v>
      </c>
      <c r="AD768" s="1">
        <v>7.71</v>
      </c>
      <c r="AE768" s="1" t="s">
        <v>93</v>
      </c>
      <c r="AF768" s="1" t="s">
        <v>14110</v>
      </c>
      <c r="AG768" s="1" t="s">
        <v>14111</v>
      </c>
      <c r="AH768" s="1" t="s">
        <v>4223</v>
      </c>
      <c r="AI768" s="1" t="s">
        <v>1197</v>
      </c>
      <c r="AJ768" s="1">
        <v>77.9</v>
      </c>
      <c r="AK768" s="1">
        <v>8.2</v>
      </c>
      <c r="AL768" s="1" t="s">
        <v>14112</v>
      </c>
      <c r="AM768" s="1" t="s">
        <v>14113</v>
      </c>
      <c r="AN768" s="1" t="s">
        <v>131</v>
      </c>
      <c r="AO768" s="1" t="s">
        <v>527</v>
      </c>
      <c r="AP768" s="1">
        <v>62.2</v>
      </c>
      <c r="AQ768" s="1"/>
      <c r="AR768" s="1"/>
      <c r="AS768" s="1"/>
      <c r="AT768" s="1"/>
      <c r="AU768" s="1"/>
      <c r="AV768" s="1"/>
      <c r="AW768" s="1"/>
      <c r="AX768" s="1" t="s">
        <v>253</v>
      </c>
      <c r="AY768" s="1" t="s">
        <v>14114</v>
      </c>
      <c r="AZ768" s="1" t="s">
        <v>733</v>
      </c>
      <c r="BA768" s="1" t="s">
        <v>506</v>
      </c>
      <c r="BB768" s="1">
        <v>62.74</v>
      </c>
      <c r="BC768" s="1"/>
      <c r="BD768" s="1"/>
      <c r="BE768" s="1"/>
      <c r="BF768" s="1"/>
      <c r="BG768" s="1"/>
      <c r="BH768" s="1"/>
      <c r="BI768" s="1"/>
      <c r="BJ768" s="1" t="s">
        <v>734</v>
      </c>
      <c r="BK768" s="1"/>
      <c r="BL768" s="1"/>
      <c r="BM768" s="1" t="s">
        <v>14115</v>
      </c>
      <c r="BN768" s="1">
        <v>12</v>
      </c>
      <c r="BO768" s="1"/>
      <c r="BP768" s="1" t="str">
        <f>HYPERLINK("https://nconnect.nicmar.ac.in/storage/profile/ProfilePhoto_P25700736_278395.jpg","Download")</f>
        <v>0</v>
      </c>
      <c r="BQ768" s="3"/>
      <c r="BR768" s="3"/>
    </row>
    <row r="769" spans="1:70">
      <c r="A769" s="1" t="s">
        <v>70</v>
      </c>
      <c r="B769" s="1" t="s">
        <v>1269</v>
      </c>
      <c r="C769" s="1" t="s">
        <v>14116</v>
      </c>
      <c r="D769" s="1" t="s">
        <v>143</v>
      </c>
      <c r="E769" s="1" t="s">
        <v>14117</v>
      </c>
      <c r="F769" s="1" t="s">
        <v>14118</v>
      </c>
      <c r="G769" s="1" t="s">
        <v>14119</v>
      </c>
      <c r="H769" s="1" t="s">
        <v>14120</v>
      </c>
      <c r="I769" s="1" t="s">
        <v>14121</v>
      </c>
      <c r="J769" s="1">
        <v>9284278147</v>
      </c>
      <c r="K769" s="1" t="s">
        <v>148</v>
      </c>
      <c r="L769" s="1" t="s">
        <v>14122</v>
      </c>
      <c r="M769" s="1" t="s">
        <v>81</v>
      </c>
      <c r="N769" s="1" t="s">
        <v>14123</v>
      </c>
      <c r="O769" s="1"/>
      <c r="P769" s="1" t="s">
        <v>1298</v>
      </c>
      <c r="Q769" s="1" t="s">
        <v>14124</v>
      </c>
      <c r="R769" s="1" t="s">
        <v>14117</v>
      </c>
      <c r="S769" s="1">
        <v>7972058735</v>
      </c>
      <c r="T769" s="1" t="s">
        <v>763</v>
      </c>
      <c r="U769" s="1" t="s">
        <v>13747</v>
      </c>
      <c r="V769" s="1">
        <v>9156795657</v>
      </c>
      <c r="W769" s="1" t="s">
        <v>156</v>
      </c>
      <c r="X769" s="1" t="s">
        <v>14125</v>
      </c>
      <c r="Y769" s="1" t="s">
        <v>191</v>
      </c>
      <c r="Z769" s="1" t="s">
        <v>92</v>
      </c>
      <c r="AA769" s="1" t="s">
        <v>14125</v>
      </c>
      <c r="AB769" s="1" t="s">
        <v>191</v>
      </c>
      <c r="AC769" s="1" t="s">
        <v>92</v>
      </c>
      <c r="AD769" s="1">
        <v>8.28</v>
      </c>
      <c r="AE769" s="1" t="s">
        <v>93</v>
      </c>
      <c r="AF769" s="1" t="s">
        <v>1020</v>
      </c>
      <c r="AG769" s="1" t="s">
        <v>13864</v>
      </c>
      <c r="AH769" s="1" t="s">
        <v>1242</v>
      </c>
      <c r="AI769" s="1" t="s">
        <v>999</v>
      </c>
      <c r="AJ769" s="1">
        <v>61.6</v>
      </c>
      <c r="AK769" s="1">
        <v>6.8</v>
      </c>
      <c r="AL769" s="1" t="s">
        <v>14126</v>
      </c>
      <c r="AM769" s="1" t="s">
        <v>13864</v>
      </c>
      <c r="AN769" s="1" t="s">
        <v>456</v>
      </c>
      <c r="AO769" s="1" t="s">
        <v>1332</v>
      </c>
      <c r="AP769" s="1">
        <v>58.15</v>
      </c>
      <c r="AQ769" s="1"/>
      <c r="AR769" s="1" t="s">
        <v>98</v>
      </c>
      <c r="AS769" s="1" t="s">
        <v>14127</v>
      </c>
      <c r="AT769" s="1" t="s">
        <v>225</v>
      </c>
      <c r="AU769" s="1" t="s">
        <v>5504</v>
      </c>
      <c r="AV769" s="1">
        <v>77.21</v>
      </c>
      <c r="AW769" s="1"/>
      <c r="AX769" s="1" t="s">
        <v>8521</v>
      </c>
      <c r="AY769" s="1" t="s">
        <v>8255</v>
      </c>
      <c r="AZ769" s="1" t="s">
        <v>2463</v>
      </c>
      <c r="BA769" s="1" t="s">
        <v>682</v>
      </c>
      <c r="BB769" s="1">
        <v>83.7</v>
      </c>
      <c r="BC769" s="1">
        <v>9.12</v>
      </c>
      <c r="BD769" s="1"/>
      <c r="BE769" s="1"/>
      <c r="BF769" s="1"/>
      <c r="BG769" s="1"/>
      <c r="BH769" s="1"/>
      <c r="BI769" s="1"/>
      <c r="BJ769" s="1" t="s">
        <v>255</v>
      </c>
      <c r="BK769" s="1" t="s">
        <v>14128</v>
      </c>
      <c r="BL769" s="1" t="s">
        <v>1289</v>
      </c>
      <c r="BM769" s="1" t="s">
        <v>14129</v>
      </c>
      <c r="BN769" s="1">
        <v>13</v>
      </c>
      <c r="BO769" s="1"/>
      <c r="BP769" s="1" t="str">
        <f>HYPERLINK("https://nconnect.nicmar.ac.in/storage/profile/ProfilePhoto_P25700737_218935.jpg","Download")</f>
        <v>0</v>
      </c>
      <c r="BQ769" s="3"/>
      <c r="BR769" s="3"/>
    </row>
    <row r="770" spans="1:70">
      <c r="A770" s="1" t="s">
        <v>70</v>
      </c>
      <c r="B770" s="1" t="s">
        <v>1269</v>
      </c>
      <c r="C770" s="1" t="s">
        <v>14130</v>
      </c>
      <c r="D770" s="1" t="s">
        <v>14131</v>
      </c>
      <c r="E770" s="1" t="s">
        <v>208</v>
      </c>
      <c r="F770" s="1" t="s">
        <v>14132</v>
      </c>
      <c r="G770" s="1" t="s">
        <v>14133</v>
      </c>
      <c r="H770" s="1" t="s">
        <v>14134</v>
      </c>
      <c r="I770" s="1" t="s">
        <v>14135</v>
      </c>
      <c r="J770" s="1">
        <v>9067711293</v>
      </c>
      <c r="K770" s="1" t="s">
        <v>148</v>
      </c>
      <c r="L770" s="1" t="s">
        <v>14136</v>
      </c>
      <c r="M770" s="1" t="s">
        <v>81</v>
      </c>
      <c r="N770" s="1" t="s">
        <v>14033</v>
      </c>
      <c r="O770" s="1"/>
      <c r="P770" s="1" t="s">
        <v>1298</v>
      </c>
      <c r="Q770" s="1" t="s">
        <v>14137</v>
      </c>
      <c r="R770" s="1" t="s">
        <v>208</v>
      </c>
      <c r="S770" s="1">
        <v>9921096886</v>
      </c>
      <c r="T770" s="1" t="s">
        <v>7444</v>
      </c>
      <c r="U770" s="1" t="s">
        <v>2703</v>
      </c>
      <c r="V770" s="1">
        <v>8379057343</v>
      </c>
      <c r="W770" s="1" t="s">
        <v>156</v>
      </c>
      <c r="X770" s="1" t="s">
        <v>14138</v>
      </c>
      <c r="Y770" s="1" t="s">
        <v>191</v>
      </c>
      <c r="Z770" s="1" t="s">
        <v>92</v>
      </c>
      <c r="AA770" s="1" t="s">
        <v>14138</v>
      </c>
      <c r="AB770" s="1" t="s">
        <v>191</v>
      </c>
      <c r="AC770" s="1" t="s">
        <v>92</v>
      </c>
      <c r="AD770" s="1">
        <v>8.64</v>
      </c>
      <c r="AE770" s="1" t="s">
        <v>93</v>
      </c>
      <c r="AF770" s="1" t="s">
        <v>14139</v>
      </c>
      <c r="AG770" s="1" t="s">
        <v>160</v>
      </c>
      <c r="AH770" s="1" t="s">
        <v>101</v>
      </c>
      <c r="AI770" s="1" t="s">
        <v>433</v>
      </c>
      <c r="AJ770" s="1">
        <v>87.6</v>
      </c>
      <c r="AK770" s="1"/>
      <c r="AL770" s="1" t="s">
        <v>14140</v>
      </c>
      <c r="AM770" s="1" t="s">
        <v>14141</v>
      </c>
      <c r="AN770" s="1" t="s">
        <v>310</v>
      </c>
      <c r="AO770" s="1" t="s">
        <v>436</v>
      </c>
      <c r="AP770" s="1">
        <v>88.5</v>
      </c>
      <c r="AQ770" s="1"/>
      <c r="AR770" s="1"/>
      <c r="AS770" s="1"/>
      <c r="AT770" s="1"/>
      <c r="AU770" s="1"/>
      <c r="AV770" s="1"/>
      <c r="AW770" s="1"/>
      <c r="AX770" s="1" t="s">
        <v>361</v>
      </c>
      <c r="AY770" s="1" t="s">
        <v>14142</v>
      </c>
      <c r="AZ770" s="1" t="s">
        <v>897</v>
      </c>
      <c r="BA770" s="1" t="s">
        <v>1714</v>
      </c>
      <c r="BB770" s="1">
        <v>74.9</v>
      </c>
      <c r="BC770" s="1">
        <v>8.24</v>
      </c>
      <c r="BD770" s="1"/>
      <c r="BE770" s="1"/>
      <c r="BF770" s="1"/>
      <c r="BG770" s="1"/>
      <c r="BH770" s="1"/>
      <c r="BI770" s="1"/>
      <c r="BJ770" s="1" t="s">
        <v>14143</v>
      </c>
      <c r="BK770" s="1"/>
      <c r="BL770" s="1"/>
      <c r="BM770" s="1" t="s">
        <v>14144</v>
      </c>
      <c r="BN770" s="1">
        <v>13</v>
      </c>
      <c r="BO770" s="1" t="s">
        <v>14145</v>
      </c>
      <c r="BP770" s="1" t="str">
        <f>HYPERLINK("https://nconnect.nicmar.ac.in/storage/profile/ProfilePhoto_P25700739_914235.jpg","Download")</f>
        <v>0</v>
      </c>
      <c r="BQ770" s="3"/>
      <c r="BR770" s="3"/>
    </row>
    <row r="771" spans="1:70">
      <c r="A771" s="1" t="s">
        <v>70</v>
      </c>
      <c r="B771" s="1" t="s">
        <v>1269</v>
      </c>
      <c r="C771" s="1" t="s">
        <v>14146</v>
      </c>
      <c r="D771" s="1" t="s">
        <v>14147</v>
      </c>
      <c r="E771" s="1" t="s">
        <v>9192</v>
      </c>
      <c r="F771" s="1" t="s">
        <v>2897</v>
      </c>
      <c r="G771" s="1" t="s">
        <v>14148</v>
      </c>
      <c r="H771" s="1" t="s">
        <v>14149</v>
      </c>
      <c r="I771" s="1" t="s">
        <v>14150</v>
      </c>
      <c r="J771" s="1">
        <v>9767312000</v>
      </c>
      <c r="K771" s="1" t="s">
        <v>148</v>
      </c>
      <c r="L771" s="1" t="s">
        <v>14151</v>
      </c>
      <c r="M771" s="1" t="s">
        <v>81</v>
      </c>
      <c r="N771" s="1" t="s">
        <v>1765</v>
      </c>
      <c r="O771" s="1"/>
      <c r="P771" s="1" t="s">
        <v>1298</v>
      </c>
      <c r="Q771" s="1" t="s">
        <v>14152</v>
      </c>
      <c r="R771" s="1" t="s">
        <v>14153</v>
      </c>
      <c r="S771" s="1">
        <v>9225520079</v>
      </c>
      <c r="T771" s="1" t="s">
        <v>120</v>
      </c>
      <c r="U771" s="1" t="s">
        <v>14154</v>
      </c>
      <c r="V771" s="1">
        <v>8329339987</v>
      </c>
      <c r="W771" s="1" t="s">
        <v>156</v>
      </c>
      <c r="X771" s="1" t="s">
        <v>14155</v>
      </c>
      <c r="Y771" s="1" t="s">
        <v>191</v>
      </c>
      <c r="Z771" s="1" t="s">
        <v>92</v>
      </c>
      <c r="AA771" s="1" t="s">
        <v>14155</v>
      </c>
      <c r="AB771" s="1" t="s">
        <v>191</v>
      </c>
      <c r="AC771" s="1" t="s">
        <v>92</v>
      </c>
      <c r="AD771" s="1">
        <v>7.36</v>
      </c>
      <c r="AE771" s="1" t="s">
        <v>93</v>
      </c>
      <c r="AF771" s="1" t="s">
        <v>14156</v>
      </c>
      <c r="AG771" s="1" t="s">
        <v>3484</v>
      </c>
      <c r="AH771" s="1" t="s">
        <v>161</v>
      </c>
      <c r="AI771" s="1" t="s">
        <v>162</v>
      </c>
      <c r="AJ771" s="1">
        <v>67.8</v>
      </c>
      <c r="AK771" s="1"/>
      <c r="AL771" s="1" t="s">
        <v>14157</v>
      </c>
      <c r="AM771" s="1" t="s">
        <v>3484</v>
      </c>
      <c r="AN771" s="1" t="s">
        <v>165</v>
      </c>
      <c r="AO771" s="1" t="s">
        <v>457</v>
      </c>
      <c r="AP771" s="1">
        <v>52.15</v>
      </c>
      <c r="AQ771" s="1"/>
      <c r="AR771" s="1"/>
      <c r="AS771" s="1"/>
      <c r="AT771" s="1"/>
      <c r="AU771" s="1"/>
      <c r="AV771" s="1"/>
      <c r="AW771" s="1"/>
      <c r="AX771" s="1" t="s">
        <v>14158</v>
      </c>
      <c r="AY771" s="1" t="s">
        <v>14159</v>
      </c>
      <c r="AZ771" s="1" t="s">
        <v>310</v>
      </c>
      <c r="BA771" s="1" t="s">
        <v>10191</v>
      </c>
      <c r="BB771" s="1">
        <v>63.01</v>
      </c>
      <c r="BC771" s="1"/>
      <c r="BD771" s="1"/>
      <c r="BE771" s="1"/>
      <c r="BF771" s="1"/>
      <c r="BG771" s="1"/>
      <c r="BH771" s="1"/>
      <c r="BI771" s="1"/>
      <c r="BJ771" s="1" t="s">
        <v>14160</v>
      </c>
      <c r="BK771" s="1"/>
      <c r="BL771" s="1"/>
      <c r="BM771" s="1"/>
      <c r="BN771" s="1"/>
      <c r="BO771" s="1"/>
      <c r="BP771" s="1" t="str">
        <f>HYPERLINK("https://nconnect.nicmar.ac.in/storage/profile/ProfilePhoto_P25700740_145692.jpg","Download")</f>
        <v>0</v>
      </c>
      <c r="BQ771" s="3"/>
      <c r="BR771" s="3"/>
    </row>
    <row r="772" spans="1:70">
      <c r="A772" s="1" t="s">
        <v>70</v>
      </c>
      <c r="B772" s="1" t="s">
        <v>1269</v>
      </c>
      <c r="C772" s="1" t="s">
        <v>14161</v>
      </c>
      <c r="D772" s="1" t="s">
        <v>8492</v>
      </c>
      <c r="E772" s="1" t="s">
        <v>3304</v>
      </c>
      <c r="F772" s="1" t="s">
        <v>6002</v>
      </c>
      <c r="G772" s="1" t="s">
        <v>14162</v>
      </c>
      <c r="H772" s="1" t="s">
        <v>14163</v>
      </c>
      <c r="I772" s="1" t="s">
        <v>14164</v>
      </c>
      <c r="J772" s="1">
        <v>8308779295</v>
      </c>
      <c r="K772" s="1" t="s">
        <v>79</v>
      </c>
      <c r="L772" s="1" t="s">
        <v>14165</v>
      </c>
      <c r="M772" s="1" t="s">
        <v>81</v>
      </c>
      <c r="N772" s="1" t="s">
        <v>1418</v>
      </c>
      <c r="O772" s="1"/>
      <c r="P772" s="1" t="s">
        <v>1323</v>
      </c>
      <c r="Q772" s="1" t="s">
        <v>14166</v>
      </c>
      <c r="R772" s="1" t="s">
        <v>14167</v>
      </c>
      <c r="S772" s="1">
        <v>9420012124</v>
      </c>
      <c r="T772" s="1" t="s">
        <v>14168</v>
      </c>
      <c r="U772" s="1" t="s">
        <v>14169</v>
      </c>
      <c r="V772" s="1">
        <v>9168619132</v>
      </c>
      <c r="W772" s="1" t="s">
        <v>156</v>
      </c>
      <c r="X772" s="1" t="s">
        <v>14170</v>
      </c>
      <c r="Y772" s="1" t="s">
        <v>191</v>
      </c>
      <c r="Z772" s="1" t="s">
        <v>92</v>
      </c>
      <c r="AA772" s="1" t="s">
        <v>14171</v>
      </c>
      <c r="AB772" s="1" t="s">
        <v>3482</v>
      </c>
      <c r="AC772" s="1" t="s">
        <v>92</v>
      </c>
      <c r="AD772" s="1">
        <v>8.28</v>
      </c>
      <c r="AE772" s="1" t="s">
        <v>93</v>
      </c>
      <c r="AF772" s="1" t="s">
        <v>14172</v>
      </c>
      <c r="AG772" s="1" t="s">
        <v>14173</v>
      </c>
      <c r="AH772" s="1" t="s">
        <v>161</v>
      </c>
      <c r="AI772" s="1" t="s">
        <v>456</v>
      </c>
      <c r="AJ772" s="1">
        <v>87.8</v>
      </c>
      <c r="AK772" s="1"/>
      <c r="AL772" s="1" t="s">
        <v>14174</v>
      </c>
      <c r="AM772" s="1" t="s">
        <v>14175</v>
      </c>
      <c r="AN772" s="1" t="s">
        <v>165</v>
      </c>
      <c r="AO772" s="1" t="s">
        <v>457</v>
      </c>
      <c r="AP772" s="1">
        <v>72</v>
      </c>
      <c r="AQ772" s="1"/>
      <c r="AR772" s="1"/>
      <c r="AS772" s="1"/>
      <c r="AT772" s="1"/>
      <c r="AU772" s="1"/>
      <c r="AV772" s="1"/>
      <c r="AW772" s="1"/>
      <c r="AX772" s="1" t="s">
        <v>361</v>
      </c>
      <c r="AY772" s="1" t="s">
        <v>14176</v>
      </c>
      <c r="AZ772" s="1" t="s">
        <v>636</v>
      </c>
      <c r="BA772" s="1" t="s">
        <v>105</v>
      </c>
      <c r="BB772" s="1">
        <v>78.23</v>
      </c>
      <c r="BC772" s="1">
        <v>8.79</v>
      </c>
      <c r="BD772" s="1"/>
      <c r="BE772" s="1"/>
      <c r="BF772" s="1"/>
      <c r="BG772" s="1"/>
      <c r="BH772" s="1"/>
      <c r="BI772" s="1"/>
      <c r="BJ772" s="1" t="s">
        <v>14177</v>
      </c>
      <c r="BK772" s="1" t="s">
        <v>14178</v>
      </c>
      <c r="BL772" s="1" t="s">
        <v>1028</v>
      </c>
      <c r="BM772" s="1" t="s">
        <v>14179</v>
      </c>
      <c r="BN772" s="1">
        <v>23</v>
      </c>
      <c r="BO772" s="1" t="s">
        <v>14180</v>
      </c>
      <c r="BP772" s="1" t="str">
        <f>HYPERLINK("https://nconnect.nicmar.ac.in/storage/profile/ProfilePhoto_P25700741_246781.jpg","Download")</f>
        <v>0</v>
      </c>
      <c r="BQ772" s="3"/>
      <c r="BR772" s="3"/>
    </row>
    <row r="773" spans="1:70">
      <c r="A773" s="1" t="s">
        <v>70</v>
      </c>
      <c r="B773" s="1" t="s">
        <v>1269</v>
      </c>
      <c r="C773" s="1" t="s">
        <v>14181</v>
      </c>
      <c r="D773" s="1" t="s">
        <v>14182</v>
      </c>
      <c r="E773" s="1" t="s">
        <v>14183</v>
      </c>
      <c r="F773" s="1" t="s">
        <v>14184</v>
      </c>
      <c r="G773" s="1" t="s">
        <v>14185</v>
      </c>
      <c r="H773" s="1" t="s">
        <v>14186</v>
      </c>
      <c r="I773" s="1" t="s">
        <v>14187</v>
      </c>
      <c r="J773" s="1">
        <v>9657693953</v>
      </c>
      <c r="K773" s="1" t="s">
        <v>79</v>
      </c>
      <c r="L773" s="1" t="s">
        <v>14188</v>
      </c>
      <c r="M773" s="1" t="s">
        <v>81</v>
      </c>
      <c r="N773" s="1" t="s">
        <v>2008</v>
      </c>
      <c r="O773" s="1"/>
      <c r="P773" s="1" t="s">
        <v>1278</v>
      </c>
      <c r="Q773" s="1" t="s">
        <v>14189</v>
      </c>
      <c r="R773" s="1" t="s">
        <v>14190</v>
      </c>
      <c r="S773" s="1">
        <v>9860177171</v>
      </c>
      <c r="T773" s="1" t="s">
        <v>674</v>
      </c>
      <c r="U773" s="1" t="s">
        <v>4302</v>
      </c>
      <c r="V773" s="1">
        <v>9075584869</v>
      </c>
      <c r="W773" s="1" t="s">
        <v>674</v>
      </c>
      <c r="X773" s="1" t="s">
        <v>14191</v>
      </c>
      <c r="Y773" s="1" t="s">
        <v>523</v>
      </c>
      <c r="Z773" s="1" t="s">
        <v>92</v>
      </c>
      <c r="AA773" s="1" t="s">
        <v>14191</v>
      </c>
      <c r="AB773" s="1" t="s">
        <v>523</v>
      </c>
      <c r="AC773" s="1" t="s">
        <v>92</v>
      </c>
      <c r="AD773" s="1" t="s">
        <v>93</v>
      </c>
      <c r="AE773" s="1" t="s">
        <v>93</v>
      </c>
      <c r="AF773" s="1" t="s">
        <v>14192</v>
      </c>
      <c r="AG773" s="1" t="s">
        <v>160</v>
      </c>
      <c r="AH773" s="1" t="s">
        <v>161</v>
      </c>
      <c r="AI773" s="1" t="s">
        <v>456</v>
      </c>
      <c r="AJ773" s="1">
        <v>85.6</v>
      </c>
      <c r="AK773" s="1">
        <v>0</v>
      </c>
      <c r="AL773" s="1" t="s">
        <v>14193</v>
      </c>
      <c r="AM773" s="1" t="s">
        <v>160</v>
      </c>
      <c r="AN773" s="1" t="s">
        <v>165</v>
      </c>
      <c r="AO773" s="1" t="s">
        <v>281</v>
      </c>
      <c r="AP773" s="1">
        <v>70.77</v>
      </c>
      <c r="AQ773" s="1">
        <v>0</v>
      </c>
      <c r="AR773" s="1"/>
      <c r="AS773" s="1"/>
      <c r="AT773" s="1"/>
      <c r="AU773" s="1"/>
      <c r="AV773" s="1"/>
      <c r="AW773" s="1"/>
      <c r="AX773" s="1" t="s">
        <v>14194</v>
      </c>
      <c r="AY773" s="1" t="s">
        <v>14195</v>
      </c>
      <c r="AZ773" s="1" t="s">
        <v>101</v>
      </c>
      <c r="BA773" s="1" t="s">
        <v>174</v>
      </c>
      <c r="BB773" s="1">
        <v>61.21</v>
      </c>
      <c r="BC773" s="1">
        <v>6.87</v>
      </c>
      <c r="BD773" s="1"/>
      <c r="BE773" s="1"/>
      <c r="BF773" s="1"/>
      <c r="BG773" s="1"/>
      <c r="BH773" s="1"/>
      <c r="BI773" s="1"/>
      <c r="BJ773" s="1" t="s">
        <v>14196</v>
      </c>
      <c r="BK773" s="1"/>
      <c r="BL773" s="1"/>
      <c r="BM773" s="1" t="s">
        <v>14197</v>
      </c>
      <c r="BN773" s="1">
        <v>13</v>
      </c>
      <c r="BO773" s="1"/>
      <c r="BP773" s="1" t="str">
        <f>HYPERLINK("https://nconnect.nicmar.ac.in/storage/profile/ProfilePhoto_P25700742_926831.jpg","Download")</f>
        <v>0</v>
      </c>
      <c r="BQ773" s="3"/>
      <c r="BR773" s="3"/>
    </row>
    <row r="774" spans="1:70">
      <c r="A774" s="1" t="s">
        <v>70</v>
      </c>
      <c r="B774" s="1" t="s">
        <v>1269</v>
      </c>
      <c r="C774" s="1" t="s">
        <v>14198</v>
      </c>
      <c r="D774" s="1" t="s">
        <v>5747</v>
      </c>
      <c r="E774" s="1" t="s">
        <v>5088</v>
      </c>
      <c r="F774" s="1" t="s">
        <v>2897</v>
      </c>
      <c r="G774" s="1" t="s">
        <v>14199</v>
      </c>
      <c r="H774" s="1" t="s">
        <v>14200</v>
      </c>
      <c r="I774" s="1" t="s">
        <v>14201</v>
      </c>
      <c r="J774" s="1">
        <v>8390188617</v>
      </c>
      <c r="K774" s="1" t="s">
        <v>148</v>
      </c>
      <c r="L774" s="1" t="s">
        <v>14202</v>
      </c>
      <c r="M774" s="1" t="s">
        <v>81</v>
      </c>
      <c r="N774" s="1" t="s">
        <v>14203</v>
      </c>
      <c r="O774" s="1"/>
      <c r="P774" s="1" t="s">
        <v>1323</v>
      </c>
      <c r="Q774" s="1" t="s">
        <v>14204</v>
      </c>
      <c r="R774" s="1" t="s">
        <v>5088</v>
      </c>
      <c r="S774" s="1">
        <v>9096505040</v>
      </c>
      <c r="T774" s="1" t="s">
        <v>8516</v>
      </c>
      <c r="U774" s="1" t="s">
        <v>14205</v>
      </c>
      <c r="V774" s="1">
        <v>7057282386</v>
      </c>
      <c r="W774" s="1" t="s">
        <v>156</v>
      </c>
      <c r="X774" s="1" t="s">
        <v>14206</v>
      </c>
      <c r="Y774" s="1" t="s">
        <v>5937</v>
      </c>
      <c r="Z774" s="1" t="s">
        <v>92</v>
      </c>
      <c r="AA774" s="1" t="s">
        <v>14206</v>
      </c>
      <c r="AB774" s="1" t="s">
        <v>5937</v>
      </c>
      <c r="AC774" s="1" t="s">
        <v>92</v>
      </c>
      <c r="AD774" s="1" t="s">
        <v>93</v>
      </c>
      <c r="AE774" s="1" t="s">
        <v>93</v>
      </c>
      <c r="AF774" s="1" t="s">
        <v>14207</v>
      </c>
      <c r="AG774" s="1" t="s">
        <v>2848</v>
      </c>
      <c r="AH774" s="1" t="s">
        <v>998</v>
      </c>
      <c r="AI774" s="1" t="s">
        <v>97</v>
      </c>
      <c r="AJ774" s="1">
        <v>76.6</v>
      </c>
      <c r="AK774" s="1">
        <v>8.06</v>
      </c>
      <c r="AL774" s="1" t="s">
        <v>6538</v>
      </c>
      <c r="AM774" s="1" t="s">
        <v>2848</v>
      </c>
      <c r="AN774" s="1" t="s">
        <v>162</v>
      </c>
      <c r="AO774" s="1" t="s">
        <v>457</v>
      </c>
      <c r="AP774" s="1">
        <v>57.08</v>
      </c>
      <c r="AQ774" s="1">
        <v>6</v>
      </c>
      <c r="AR774" s="1"/>
      <c r="AS774" s="1"/>
      <c r="AT774" s="1"/>
      <c r="AU774" s="1"/>
      <c r="AV774" s="1"/>
      <c r="AW774" s="1"/>
      <c r="AX774" s="1" t="s">
        <v>361</v>
      </c>
      <c r="AY774" s="1" t="s">
        <v>14208</v>
      </c>
      <c r="AZ774" s="1" t="s">
        <v>169</v>
      </c>
      <c r="BA774" s="1" t="s">
        <v>174</v>
      </c>
      <c r="BB774" s="1">
        <v>60.5</v>
      </c>
      <c r="BC774" s="1">
        <v>6.8</v>
      </c>
      <c r="BD774" s="1"/>
      <c r="BE774" s="1"/>
      <c r="BF774" s="1"/>
      <c r="BG774" s="1"/>
      <c r="BH774" s="1"/>
      <c r="BI774" s="1"/>
      <c r="BJ774" s="1" t="s">
        <v>14209</v>
      </c>
      <c r="BK774" s="1"/>
      <c r="BL774" s="1"/>
      <c r="BM774" s="1" t="s">
        <v>14210</v>
      </c>
      <c r="BN774" s="1">
        <v>61</v>
      </c>
      <c r="BO774" s="1"/>
      <c r="BP774" s="1" t="str">
        <f>HYPERLINK("https://nconnect.nicmar.ac.in/storage/profile/ProfilePhoto_P25700743_731954.jpg","Download")</f>
        <v>0</v>
      </c>
      <c r="BQ774" s="3"/>
      <c r="BR774" s="3"/>
    </row>
    <row r="775" spans="1:70">
      <c r="A775" s="1" t="s">
        <v>70</v>
      </c>
      <c r="B775" s="1" t="s">
        <v>1269</v>
      </c>
      <c r="C775" s="1" t="s">
        <v>14211</v>
      </c>
      <c r="D775" s="1" t="s">
        <v>14212</v>
      </c>
      <c r="E775" s="1" t="s">
        <v>14213</v>
      </c>
      <c r="F775" s="1" t="s">
        <v>11610</v>
      </c>
      <c r="G775" s="1" t="s">
        <v>14214</v>
      </c>
      <c r="H775" s="1" t="s">
        <v>14215</v>
      </c>
      <c r="I775" s="1" t="s">
        <v>14216</v>
      </c>
      <c r="J775" s="1">
        <v>7219287393</v>
      </c>
      <c r="K775" s="1" t="s">
        <v>79</v>
      </c>
      <c r="L775" s="1" t="s">
        <v>14217</v>
      </c>
      <c r="M775" s="1" t="s">
        <v>81</v>
      </c>
      <c r="N775" s="1" t="s">
        <v>2008</v>
      </c>
      <c r="O775" s="1"/>
      <c r="P775" s="1" t="s">
        <v>2507</v>
      </c>
      <c r="Q775" s="1" t="s">
        <v>14218</v>
      </c>
      <c r="R775" s="1" t="s">
        <v>14213</v>
      </c>
      <c r="S775" s="1">
        <v>7219287393</v>
      </c>
      <c r="T775" s="1" t="s">
        <v>763</v>
      </c>
      <c r="U775" s="1" t="s">
        <v>14219</v>
      </c>
      <c r="V775" s="1">
        <v>7720965080</v>
      </c>
      <c r="W775" s="1" t="s">
        <v>763</v>
      </c>
      <c r="X775" s="1" t="s">
        <v>14220</v>
      </c>
      <c r="Y775" s="1" t="s">
        <v>191</v>
      </c>
      <c r="Z775" s="1" t="s">
        <v>92</v>
      </c>
      <c r="AA775" s="1" t="s">
        <v>14221</v>
      </c>
      <c r="AB775" s="1" t="s">
        <v>158</v>
      </c>
      <c r="AC775" s="1" t="s">
        <v>92</v>
      </c>
      <c r="AD775" s="1">
        <v>8.08</v>
      </c>
      <c r="AE775" s="1" t="s">
        <v>93</v>
      </c>
      <c r="AF775" s="1" t="s">
        <v>6345</v>
      </c>
      <c r="AG775" s="1" t="s">
        <v>997</v>
      </c>
      <c r="AH775" s="1" t="s">
        <v>165</v>
      </c>
      <c r="AI775" s="1" t="s">
        <v>281</v>
      </c>
      <c r="AJ775" s="1">
        <v>86.2</v>
      </c>
      <c r="AK775" s="1"/>
      <c r="AL775" s="1" t="s">
        <v>14222</v>
      </c>
      <c r="AM775" s="1" t="s">
        <v>997</v>
      </c>
      <c r="AN775" s="1" t="s">
        <v>308</v>
      </c>
      <c r="AO775" s="1" t="s">
        <v>360</v>
      </c>
      <c r="AP775" s="1">
        <v>63.38</v>
      </c>
      <c r="AQ775" s="1"/>
      <c r="AR775" s="1"/>
      <c r="AS775" s="1"/>
      <c r="AT775" s="1"/>
      <c r="AU775" s="1"/>
      <c r="AV775" s="1"/>
      <c r="AW775" s="1"/>
      <c r="AX775" s="1" t="s">
        <v>14223</v>
      </c>
      <c r="AY775" s="1" t="s">
        <v>14224</v>
      </c>
      <c r="AZ775" s="1" t="s">
        <v>699</v>
      </c>
      <c r="BA775" s="1" t="s">
        <v>1939</v>
      </c>
      <c r="BB775" s="1">
        <v>70.32</v>
      </c>
      <c r="BC775" s="1">
        <v>7.42</v>
      </c>
      <c r="BD775" s="1"/>
      <c r="BE775" s="1"/>
      <c r="BF775" s="1"/>
      <c r="BG775" s="1"/>
      <c r="BH775" s="1"/>
      <c r="BI775" s="1"/>
      <c r="BJ775" s="1" t="s">
        <v>14225</v>
      </c>
      <c r="BK775" s="1"/>
      <c r="BL775" s="1"/>
      <c r="BM775" s="1" t="s">
        <v>14226</v>
      </c>
      <c r="BN775" s="1">
        <v>101</v>
      </c>
      <c r="BO775" s="1"/>
      <c r="BP775" s="1" t="str">
        <f>HYPERLINK("https://nconnect.nicmar.ac.in/storage/profile/ProfilePhoto_P25700744_713894.jpg","Download")</f>
        <v>0</v>
      </c>
      <c r="BQ775" s="3"/>
      <c r="BR775" s="3"/>
    </row>
    <row r="776" spans="1:70">
      <c r="A776" s="1" t="s">
        <v>70</v>
      </c>
      <c r="B776" s="1" t="s">
        <v>1269</v>
      </c>
      <c r="C776" s="1" t="s">
        <v>14227</v>
      </c>
      <c r="D776" s="1" t="s">
        <v>2128</v>
      </c>
      <c r="E776" s="1" t="s">
        <v>14228</v>
      </c>
      <c r="F776" s="1" t="s">
        <v>14229</v>
      </c>
      <c r="G776" s="1" t="s">
        <v>14230</v>
      </c>
      <c r="H776" s="1" t="s">
        <v>14231</v>
      </c>
      <c r="I776" s="1" t="s">
        <v>14232</v>
      </c>
      <c r="J776" s="1">
        <v>9423748033</v>
      </c>
      <c r="K776" s="1" t="s">
        <v>79</v>
      </c>
      <c r="L776" s="1" t="s">
        <v>9355</v>
      </c>
      <c r="M776" s="1" t="s">
        <v>81</v>
      </c>
      <c r="N776" s="1" t="s">
        <v>14233</v>
      </c>
      <c r="O776" s="1"/>
      <c r="P776" s="1" t="s">
        <v>1323</v>
      </c>
      <c r="Q776" s="1" t="s">
        <v>14234</v>
      </c>
      <c r="R776" s="1" t="s">
        <v>14235</v>
      </c>
      <c r="S776" s="1">
        <v>9421200333</v>
      </c>
      <c r="T776" s="1" t="s">
        <v>5260</v>
      </c>
      <c r="U776" s="1" t="s">
        <v>13852</v>
      </c>
      <c r="V776" s="1">
        <v>9423748033</v>
      </c>
      <c r="W776" s="1" t="s">
        <v>273</v>
      </c>
      <c r="X776" s="1" t="s">
        <v>14236</v>
      </c>
      <c r="Y776" s="1" t="s">
        <v>2790</v>
      </c>
      <c r="Z776" s="1" t="s">
        <v>92</v>
      </c>
      <c r="AA776" s="1" t="s">
        <v>14236</v>
      </c>
      <c r="AB776" s="1" t="s">
        <v>2790</v>
      </c>
      <c r="AC776" s="1" t="s">
        <v>92</v>
      </c>
      <c r="AD776" s="1">
        <v>6.98</v>
      </c>
      <c r="AE776" s="1" t="s">
        <v>93</v>
      </c>
      <c r="AF776" s="1" t="s">
        <v>14237</v>
      </c>
      <c r="AG776" s="1" t="s">
        <v>14238</v>
      </c>
      <c r="AH776" s="1" t="s">
        <v>1516</v>
      </c>
      <c r="AI776" s="1" t="s">
        <v>479</v>
      </c>
      <c r="AJ776" s="1">
        <v>51.5</v>
      </c>
      <c r="AK776" s="1"/>
      <c r="AL776" s="1" t="s">
        <v>14239</v>
      </c>
      <c r="AM776" s="1" t="s">
        <v>14238</v>
      </c>
      <c r="AN776" s="1" t="s">
        <v>165</v>
      </c>
      <c r="AO776" s="1" t="s">
        <v>198</v>
      </c>
      <c r="AP776" s="1">
        <v>62</v>
      </c>
      <c r="AQ776" s="1"/>
      <c r="AR776" s="1"/>
      <c r="AS776" s="1"/>
      <c r="AT776" s="1"/>
      <c r="AU776" s="1"/>
      <c r="AV776" s="1"/>
      <c r="AW776" s="1"/>
      <c r="AX776" s="1" t="s">
        <v>2691</v>
      </c>
      <c r="AY776" s="1" t="s">
        <v>14240</v>
      </c>
      <c r="AZ776" s="1" t="s">
        <v>1065</v>
      </c>
      <c r="BA776" s="1" t="s">
        <v>1090</v>
      </c>
      <c r="BB776" s="1">
        <v>72.54</v>
      </c>
      <c r="BC776" s="1">
        <v>7.54</v>
      </c>
      <c r="BD776" s="1"/>
      <c r="BE776" s="1"/>
      <c r="BF776" s="1"/>
      <c r="BG776" s="1"/>
      <c r="BH776" s="1"/>
      <c r="BI776" s="1"/>
      <c r="BJ776" s="1" t="s">
        <v>14241</v>
      </c>
      <c r="BK776" s="1" t="s">
        <v>14242</v>
      </c>
      <c r="BL776" s="1" t="s">
        <v>4933</v>
      </c>
      <c r="BM776" s="1"/>
      <c r="BN776" s="1"/>
      <c r="BO776" s="1"/>
      <c r="BP776" s="1" t="str">
        <f>HYPERLINK("https://nconnect.nicmar.ac.in/storage/profile/ProfilePhoto_P25700745_729431.jpg","Download")</f>
        <v>0</v>
      </c>
      <c r="BQ776" s="3"/>
      <c r="BR776" s="3"/>
    </row>
    <row r="777" spans="1:70">
      <c r="A777" s="1" t="s">
        <v>70</v>
      </c>
      <c r="B777" s="1" t="s">
        <v>1269</v>
      </c>
      <c r="C777" s="1" t="s">
        <v>14243</v>
      </c>
      <c r="D777" s="1" t="s">
        <v>14244</v>
      </c>
      <c r="E777" s="1"/>
      <c r="F777" s="1" t="s">
        <v>14245</v>
      </c>
      <c r="G777" s="1" t="s">
        <v>14246</v>
      </c>
      <c r="H777" s="1" t="s">
        <v>14247</v>
      </c>
      <c r="I777" s="1" t="s">
        <v>14248</v>
      </c>
      <c r="J777" s="1">
        <v>9682336540</v>
      </c>
      <c r="K777" s="1" t="s">
        <v>148</v>
      </c>
      <c r="L777" s="1" t="s">
        <v>5619</v>
      </c>
      <c r="M777" s="1" t="s">
        <v>81</v>
      </c>
      <c r="N777" s="1" t="s">
        <v>14249</v>
      </c>
      <c r="O777" s="1"/>
      <c r="P777" s="1" t="s">
        <v>1323</v>
      </c>
      <c r="Q777" s="1" t="s">
        <v>14250</v>
      </c>
      <c r="R777" s="1" t="s">
        <v>14251</v>
      </c>
      <c r="S777" s="1">
        <v>7006351954</v>
      </c>
      <c r="T777" s="1" t="s">
        <v>863</v>
      </c>
      <c r="U777" s="1" t="s">
        <v>14252</v>
      </c>
      <c r="V777" s="1">
        <v>8825057284</v>
      </c>
      <c r="W777" s="1" t="s">
        <v>122</v>
      </c>
      <c r="X777" s="1" t="s">
        <v>14253</v>
      </c>
      <c r="Y777" s="1" t="s">
        <v>191</v>
      </c>
      <c r="Z777" s="1" t="s">
        <v>92</v>
      </c>
      <c r="AA777" s="1" t="s">
        <v>14254</v>
      </c>
      <c r="AB777" s="1" t="s">
        <v>14255</v>
      </c>
      <c r="AC777" s="1" t="s">
        <v>9568</v>
      </c>
      <c r="AD777" s="1">
        <v>8.58</v>
      </c>
      <c r="AE777" s="1" t="s">
        <v>93</v>
      </c>
      <c r="AF777" s="1" t="s">
        <v>14256</v>
      </c>
      <c r="AG777" s="1" t="s">
        <v>14257</v>
      </c>
      <c r="AH777" s="1" t="s">
        <v>14258</v>
      </c>
      <c r="AI777" s="1" t="s">
        <v>14259</v>
      </c>
      <c r="AJ777" s="1">
        <v>90</v>
      </c>
      <c r="AK777" s="1"/>
      <c r="AL777" s="1" t="s">
        <v>14256</v>
      </c>
      <c r="AM777" s="1" t="s">
        <v>14257</v>
      </c>
      <c r="AN777" s="1" t="s">
        <v>14260</v>
      </c>
      <c r="AO777" s="1" t="s">
        <v>359</v>
      </c>
      <c r="AP777" s="1">
        <v>81.4</v>
      </c>
      <c r="AQ777" s="1"/>
      <c r="AR777" s="1"/>
      <c r="AS777" s="1"/>
      <c r="AT777" s="1"/>
      <c r="AU777" s="1"/>
      <c r="AV777" s="1"/>
      <c r="AW777" s="1"/>
      <c r="AX777" s="1" t="s">
        <v>14261</v>
      </c>
      <c r="AY777" s="1" t="s">
        <v>14262</v>
      </c>
      <c r="AZ777" s="1" t="s">
        <v>920</v>
      </c>
      <c r="BA777" s="1" t="s">
        <v>1939</v>
      </c>
      <c r="BB777" s="1">
        <v>77</v>
      </c>
      <c r="BC777" s="1">
        <v>8.45</v>
      </c>
      <c r="BD777" s="1"/>
      <c r="BE777" s="1"/>
      <c r="BF777" s="1"/>
      <c r="BG777" s="1"/>
      <c r="BH777" s="1"/>
      <c r="BI777" s="1"/>
      <c r="BJ777" s="1" t="s">
        <v>14263</v>
      </c>
      <c r="BK777" s="1" t="s">
        <v>14264</v>
      </c>
      <c r="BL777" s="1" t="s">
        <v>1289</v>
      </c>
      <c r="BM777" s="1" t="s">
        <v>14265</v>
      </c>
      <c r="BN777" s="1">
        <v>12</v>
      </c>
      <c r="BO777" s="1" t="s">
        <v>14266</v>
      </c>
      <c r="BP777" s="1" t="str">
        <f>HYPERLINK("https://nconnect.nicmar.ac.in/storage/profile/ProfilePhoto_P25700746_271548.jpg","Download")</f>
        <v>0</v>
      </c>
      <c r="BQ777" s="3"/>
      <c r="BR777" s="3"/>
    </row>
    <row r="778" spans="1:70">
      <c r="A778" s="1" t="s">
        <v>70</v>
      </c>
      <c r="B778" s="1" t="s">
        <v>1269</v>
      </c>
      <c r="C778" s="1" t="s">
        <v>14267</v>
      </c>
      <c r="D778" s="1" t="s">
        <v>14268</v>
      </c>
      <c r="E778" s="1" t="s">
        <v>3251</v>
      </c>
      <c r="F778" s="1" t="s">
        <v>10552</v>
      </c>
      <c r="G778" s="1" t="s">
        <v>14269</v>
      </c>
      <c r="H778" s="1" t="s">
        <v>14270</v>
      </c>
      <c r="I778" s="1" t="s">
        <v>14271</v>
      </c>
      <c r="J778" s="1">
        <v>9511292333</v>
      </c>
      <c r="K778" s="1" t="s">
        <v>79</v>
      </c>
      <c r="L778" s="1" t="s">
        <v>1806</v>
      </c>
      <c r="M778" s="1" t="s">
        <v>81</v>
      </c>
      <c r="N778" s="1" t="s">
        <v>2008</v>
      </c>
      <c r="O778" s="1"/>
      <c r="P778" s="1" t="s">
        <v>1298</v>
      </c>
      <c r="Q778" s="1" t="s">
        <v>14272</v>
      </c>
      <c r="R778" s="1" t="s">
        <v>14273</v>
      </c>
      <c r="S778" s="1">
        <v>8355977043</v>
      </c>
      <c r="T778" s="1" t="s">
        <v>763</v>
      </c>
      <c r="U778" s="1" t="s">
        <v>14274</v>
      </c>
      <c r="V778" s="1">
        <v>9511292333</v>
      </c>
      <c r="W778" s="1" t="s">
        <v>14274</v>
      </c>
      <c r="X778" s="1" t="s">
        <v>14275</v>
      </c>
      <c r="Y778" s="1" t="s">
        <v>766</v>
      </c>
      <c r="Z778" s="1" t="s">
        <v>92</v>
      </c>
      <c r="AA778" s="1" t="s">
        <v>14275</v>
      </c>
      <c r="AB778" s="1" t="s">
        <v>766</v>
      </c>
      <c r="AC778" s="1" t="s">
        <v>92</v>
      </c>
      <c r="AD778" s="1">
        <v>8.28</v>
      </c>
      <c r="AE778" s="1" t="s">
        <v>93</v>
      </c>
      <c r="AF778" s="1" t="s">
        <v>14276</v>
      </c>
      <c r="AG778" s="1" t="s">
        <v>476</v>
      </c>
      <c r="AH778" s="1" t="s">
        <v>97</v>
      </c>
      <c r="AI778" s="1" t="s">
        <v>456</v>
      </c>
      <c r="AJ778" s="1">
        <v>61.2</v>
      </c>
      <c r="AK778" s="1"/>
      <c r="AL778" s="1" t="s">
        <v>14277</v>
      </c>
      <c r="AM778" s="1" t="s">
        <v>476</v>
      </c>
      <c r="AN778" s="1" t="s">
        <v>1332</v>
      </c>
      <c r="AO778" s="1" t="s">
        <v>457</v>
      </c>
      <c r="AP778" s="1">
        <v>53.23</v>
      </c>
      <c r="AQ778" s="1"/>
      <c r="AR778" s="1" t="s">
        <v>98</v>
      </c>
      <c r="AS778" s="1" t="s">
        <v>14278</v>
      </c>
      <c r="AT778" s="1" t="s">
        <v>166</v>
      </c>
      <c r="AU778" s="1" t="s">
        <v>170</v>
      </c>
      <c r="AV778" s="1">
        <v>88.53</v>
      </c>
      <c r="AW778" s="1"/>
      <c r="AX778" s="1" t="s">
        <v>253</v>
      </c>
      <c r="AY778" s="1" t="s">
        <v>14279</v>
      </c>
      <c r="AZ778" s="1" t="s">
        <v>1131</v>
      </c>
      <c r="BA778" s="1" t="s">
        <v>174</v>
      </c>
      <c r="BB778" s="1">
        <v>80.38</v>
      </c>
      <c r="BC778" s="1">
        <v>8.94</v>
      </c>
      <c r="BD778" s="1"/>
      <c r="BE778" s="1"/>
      <c r="BF778" s="1"/>
      <c r="BG778" s="1"/>
      <c r="BH778" s="1"/>
      <c r="BI778" s="1"/>
      <c r="BJ778" s="1" t="s">
        <v>364</v>
      </c>
      <c r="BK778" s="1" t="s">
        <v>14280</v>
      </c>
      <c r="BL778" s="1" t="s">
        <v>3110</v>
      </c>
      <c r="BM778" s="1" t="s">
        <v>14281</v>
      </c>
      <c r="BN778" s="1">
        <v>29</v>
      </c>
      <c r="BO778" s="1"/>
      <c r="BP778" s="1" t="str">
        <f>HYPERLINK("https://nconnect.nicmar.ac.in/storage/profile/ProfilePhoto_P25700747_987124.jpg","Download")</f>
        <v>0</v>
      </c>
      <c r="BQ778" s="3"/>
      <c r="BR778" s="3"/>
    </row>
    <row r="779" spans="1:70">
      <c r="A779" s="1" t="s">
        <v>70</v>
      </c>
      <c r="B779" s="1" t="s">
        <v>1269</v>
      </c>
      <c r="C779" s="1" t="s">
        <v>14282</v>
      </c>
      <c r="D779" s="1" t="s">
        <v>14283</v>
      </c>
      <c r="E779" s="1"/>
      <c r="F779" s="1" t="s">
        <v>8454</v>
      </c>
      <c r="G779" s="1" t="s">
        <v>14284</v>
      </c>
      <c r="H779" s="1" t="s">
        <v>14285</v>
      </c>
      <c r="I779" s="1" t="s">
        <v>14286</v>
      </c>
      <c r="J779" s="1">
        <v>9052255892</v>
      </c>
      <c r="K779" s="1" t="s">
        <v>79</v>
      </c>
      <c r="L779" s="1" t="s">
        <v>14287</v>
      </c>
      <c r="M779" s="1" t="s">
        <v>81</v>
      </c>
      <c r="N779" s="1" t="s">
        <v>14288</v>
      </c>
      <c r="O779" s="1"/>
      <c r="P779" s="1" t="s">
        <v>1278</v>
      </c>
      <c r="Q779" s="1" t="s">
        <v>14289</v>
      </c>
      <c r="R779" s="1" t="s">
        <v>14290</v>
      </c>
      <c r="S779" s="1">
        <v>9948438837</v>
      </c>
      <c r="T779" s="1" t="s">
        <v>496</v>
      </c>
      <c r="U779" s="1" t="s">
        <v>14291</v>
      </c>
      <c r="V779" s="1">
        <v>9666638837</v>
      </c>
      <c r="W779" s="1" t="s">
        <v>651</v>
      </c>
      <c r="X779" s="1" t="s">
        <v>12259</v>
      </c>
      <c r="Y779" s="1" t="s">
        <v>191</v>
      </c>
      <c r="Z779" s="1" t="s">
        <v>92</v>
      </c>
      <c r="AA779" s="1" t="s">
        <v>14292</v>
      </c>
      <c r="AB779" s="1" t="s">
        <v>608</v>
      </c>
      <c r="AC779" s="1" t="s">
        <v>609</v>
      </c>
      <c r="AD779" s="1">
        <v>7.44</v>
      </c>
      <c r="AE779" s="1" t="s">
        <v>93</v>
      </c>
      <c r="AF779" s="1" t="s">
        <v>14293</v>
      </c>
      <c r="AG779" s="1" t="s">
        <v>14294</v>
      </c>
      <c r="AH779" s="1" t="s">
        <v>161</v>
      </c>
      <c r="AI779" s="1" t="s">
        <v>456</v>
      </c>
      <c r="AJ779" s="1">
        <v>87.4</v>
      </c>
      <c r="AK779" s="1">
        <v>9.2</v>
      </c>
      <c r="AL779" s="1" t="s">
        <v>612</v>
      </c>
      <c r="AM779" s="1" t="s">
        <v>14294</v>
      </c>
      <c r="AN779" s="1" t="s">
        <v>165</v>
      </c>
      <c r="AO779" s="1" t="s">
        <v>281</v>
      </c>
      <c r="AP779" s="1">
        <v>81.01</v>
      </c>
      <c r="AQ779" s="1">
        <v>0</v>
      </c>
      <c r="AR779" s="1"/>
      <c r="AS779" s="1"/>
      <c r="AT779" s="1"/>
      <c r="AU779" s="1"/>
      <c r="AV779" s="1"/>
      <c r="AW779" s="1"/>
      <c r="AX779" s="1" t="s">
        <v>6277</v>
      </c>
      <c r="AY779" s="1" t="s">
        <v>14295</v>
      </c>
      <c r="AZ779" s="1" t="s">
        <v>636</v>
      </c>
      <c r="BA779" s="1" t="s">
        <v>229</v>
      </c>
      <c r="BB779" s="1">
        <v>61.8</v>
      </c>
      <c r="BC779" s="1">
        <v>6.68</v>
      </c>
      <c r="BD779" s="1"/>
      <c r="BE779" s="1"/>
      <c r="BF779" s="1"/>
      <c r="BG779" s="1"/>
      <c r="BH779" s="1"/>
      <c r="BI779" s="1"/>
      <c r="BJ779" s="1" t="s">
        <v>14296</v>
      </c>
      <c r="BK779" s="1" t="s">
        <v>14297</v>
      </c>
      <c r="BL779" s="1" t="s">
        <v>287</v>
      </c>
      <c r="BM779" s="1" t="s">
        <v>14298</v>
      </c>
      <c r="BN779" s="1">
        <v>19</v>
      </c>
      <c r="BO779" s="1" t="s">
        <v>14299</v>
      </c>
      <c r="BP779" s="1" t="str">
        <f>HYPERLINK("https://nconnect.nicmar.ac.in/storage/profile/ProfilePhoto_P25700748_457291.jpg","Download")</f>
        <v>0</v>
      </c>
      <c r="BQ779" s="3"/>
      <c r="BR779" s="3"/>
    </row>
    <row r="780" spans="1:70">
      <c r="A780" s="1" t="s">
        <v>70</v>
      </c>
      <c r="B780" s="1" t="s">
        <v>1269</v>
      </c>
      <c r="C780" s="1" t="s">
        <v>14300</v>
      </c>
      <c r="D780" s="1" t="s">
        <v>2696</v>
      </c>
      <c r="E780" s="1" t="s">
        <v>14301</v>
      </c>
      <c r="F780" s="1" t="s">
        <v>2024</v>
      </c>
      <c r="G780" s="1" t="s">
        <v>14302</v>
      </c>
      <c r="H780" s="1" t="s">
        <v>14303</v>
      </c>
      <c r="I780" s="1" t="s">
        <v>14304</v>
      </c>
      <c r="J780" s="1">
        <v>9022524954</v>
      </c>
      <c r="K780" s="1" t="s">
        <v>79</v>
      </c>
      <c r="L780" s="1" t="s">
        <v>14305</v>
      </c>
      <c r="M780" s="1" t="s">
        <v>81</v>
      </c>
      <c r="N780" s="1" t="s">
        <v>8166</v>
      </c>
      <c r="O780" s="1"/>
      <c r="P780" s="1" t="s">
        <v>1323</v>
      </c>
      <c r="Q780" s="1" t="s">
        <v>14306</v>
      </c>
      <c r="R780" s="1" t="s">
        <v>14307</v>
      </c>
      <c r="S780" s="1">
        <v>8529530120</v>
      </c>
      <c r="T780" s="1" t="s">
        <v>1954</v>
      </c>
      <c r="U780" s="1" t="s">
        <v>6026</v>
      </c>
      <c r="V780" s="1">
        <v>8529530120</v>
      </c>
      <c r="W780" s="1" t="s">
        <v>156</v>
      </c>
      <c r="X780" s="1" t="s">
        <v>14308</v>
      </c>
      <c r="Y780" s="1" t="s">
        <v>6399</v>
      </c>
      <c r="Z780" s="1" t="s">
        <v>92</v>
      </c>
      <c r="AA780" s="1" t="s">
        <v>14308</v>
      </c>
      <c r="AB780" s="1" t="s">
        <v>6399</v>
      </c>
      <c r="AC780" s="1" t="s">
        <v>92</v>
      </c>
      <c r="AD780" s="1">
        <v>8.15</v>
      </c>
      <c r="AE780" s="1" t="s">
        <v>93</v>
      </c>
      <c r="AF780" s="1" t="s">
        <v>6400</v>
      </c>
      <c r="AG780" s="1" t="s">
        <v>544</v>
      </c>
      <c r="AH780" s="1" t="s">
        <v>162</v>
      </c>
      <c r="AI780" s="1" t="s">
        <v>479</v>
      </c>
      <c r="AJ780" s="1">
        <v>84.2</v>
      </c>
      <c r="AK780" s="1"/>
      <c r="AL780" s="1" t="s">
        <v>14309</v>
      </c>
      <c r="AM780" s="1" t="s">
        <v>544</v>
      </c>
      <c r="AN780" s="1" t="s">
        <v>1307</v>
      </c>
      <c r="AO780" s="1" t="s">
        <v>1065</v>
      </c>
      <c r="AP780" s="1">
        <v>70.92</v>
      </c>
      <c r="AQ780" s="1"/>
      <c r="AR780" s="1"/>
      <c r="AS780" s="1"/>
      <c r="AT780" s="1"/>
      <c r="AU780" s="1"/>
      <c r="AV780" s="1"/>
      <c r="AW780" s="1"/>
      <c r="AX780" s="1" t="s">
        <v>14310</v>
      </c>
      <c r="AY780" s="1" t="s">
        <v>14311</v>
      </c>
      <c r="AZ780" s="1" t="s">
        <v>201</v>
      </c>
      <c r="BA780" s="1" t="s">
        <v>174</v>
      </c>
      <c r="BB780" s="1">
        <v>78.94</v>
      </c>
      <c r="BC780" s="1"/>
      <c r="BD780" s="1"/>
      <c r="BE780" s="1"/>
      <c r="BF780" s="1"/>
      <c r="BG780" s="1"/>
      <c r="BH780" s="1"/>
      <c r="BI780" s="1"/>
      <c r="BJ780" s="1" t="s">
        <v>14312</v>
      </c>
      <c r="BK780" s="1" t="s">
        <v>14313</v>
      </c>
      <c r="BL780" s="1" t="s">
        <v>1543</v>
      </c>
      <c r="BM780" s="1" t="s">
        <v>14314</v>
      </c>
      <c r="BN780" s="1">
        <v>25</v>
      </c>
      <c r="BO780" s="1"/>
      <c r="BP780" s="1" t="str">
        <f>HYPERLINK("https://nconnect.nicmar.ac.in/storage/profile/ProfilePhoto_P25700749_463951.jpg","Download")</f>
        <v>0</v>
      </c>
      <c r="BQ780" s="3"/>
      <c r="BR780" s="3"/>
    </row>
    <row r="781" spans="1:70">
      <c r="A781" s="1" t="s">
        <v>70</v>
      </c>
      <c r="B781" s="1" t="s">
        <v>1269</v>
      </c>
      <c r="C781" s="1" t="s">
        <v>14315</v>
      </c>
      <c r="D781" s="1" t="s">
        <v>14316</v>
      </c>
      <c r="E781" s="1" t="s">
        <v>12694</v>
      </c>
      <c r="F781" s="1" t="s">
        <v>14317</v>
      </c>
      <c r="G781" s="1" t="s">
        <v>14318</v>
      </c>
      <c r="H781" s="1" t="s">
        <v>14319</v>
      </c>
      <c r="I781" s="1" t="s">
        <v>14320</v>
      </c>
      <c r="J781" s="1">
        <v>9409672677</v>
      </c>
      <c r="K781" s="1" t="s">
        <v>148</v>
      </c>
      <c r="L781" s="1" t="s">
        <v>8634</v>
      </c>
      <c r="M781" s="1" t="s">
        <v>81</v>
      </c>
      <c r="N781" s="1" t="s">
        <v>7887</v>
      </c>
      <c r="O781" s="1"/>
      <c r="P781" s="1" t="s">
        <v>1766</v>
      </c>
      <c r="Q781" s="1" t="s">
        <v>14321</v>
      </c>
      <c r="R781" s="1" t="s">
        <v>14322</v>
      </c>
      <c r="S781" s="1">
        <v>9426833608</v>
      </c>
      <c r="T781" s="1" t="s">
        <v>842</v>
      </c>
      <c r="U781" s="1" t="s">
        <v>14323</v>
      </c>
      <c r="V781" s="1">
        <v>8200824257</v>
      </c>
      <c r="W781" s="1" t="s">
        <v>156</v>
      </c>
      <c r="X781" s="1" t="s">
        <v>14324</v>
      </c>
      <c r="Y781" s="1" t="s">
        <v>14325</v>
      </c>
      <c r="Z781" s="1" t="s">
        <v>1468</v>
      </c>
      <c r="AA781" s="1" t="s">
        <v>14324</v>
      </c>
      <c r="AB781" s="1" t="s">
        <v>14325</v>
      </c>
      <c r="AC781" s="1" t="s">
        <v>1468</v>
      </c>
      <c r="AD781" s="1">
        <v>8.92</v>
      </c>
      <c r="AE781" s="1" t="s">
        <v>93</v>
      </c>
      <c r="AF781" s="1" t="s">
        <v>14326</v>
      </c>
      <c r="AG781" s="1" t="s">
        <v>14326</v>
      </c>
      <c r="AH781" s="1" t="s">
        <v>165</v>
      </c>
      <c r="AI781" s="1" t="s">
        <v>101</v>
      </c>
      <c r="AJ781" s="1">
        <v>86.4</v>
      </c>
      <c r="AK781" s="1">
        <v>0</v>
      </c>
      <c r="AL781" s="1" t="s">
        <v>14327</v>
      </c>
      <c r="AM781" s="1" t="s">
        <v>14327</v>
      </c>
      <c r="AN781" s="1" t="s">
        <v>433</v>
      </c>
      <c r="AO781" s="1" t="s">
        <v>699</v>
      </c>
      <c r="AP781" s="1">
        <v>60.6</v>
      </c>
      <c r="AQ781" s="1">
        <v>0</v>
      </c>
      <c r="AR781" s="1"/>
      <c r="AS781" s="1"/>
      <c r="AT781" s="1"/>
      <c r="AU781" s="1"/>
      <c r="AV781" s="1"/>
      <c r="AW781" s="1"/>
      <c r="AX781" s="1" t="s">
        <v>14328</v>
      </c>
      <c r="AY781" s="1" t="s">
        <v>14329</v>
      </c>
      <c r="AZ781" s="1" t="s">
        <v>170</v>
      </c>
      <c r="BA781" s="1" t="s">
        <v>1584</v>
      </c>
      <c r="BB781" s="1">
        <v>68.9</v>
      </c>
      <c r="BC781" s="1">
        <v>0</v>
      </c>
      <c r="BD781" s="1"/>
      <c r="BE781" s="1"/>
      <c r="BF781" s="1"/>
      <c r="BG781" s="1"/>
      <c r="BH781" s="1"/>
      <c r="BI781" s="1"/>
      <c r="BJ781" s="1" t="s">
        <v>14330</v>
      </c>
      <c r="BK781" s="1"/>
      <c r="BL781" s="1"/>
      <c r="BM781" s="1" t="s">
        <v>14331</v>
      </c>
      <c r="BN781" s="1">
        <v>40</v>
      </c>
      <c r="BO781" s="1" t="s">
        <v>14332</v>
      </c>
      <c r="BP781" s="1" t="str">
        <f>HYPERLINK("https://nconnect.nicmar.ac.in/storage/profile/ProfilePhoto_P25700750_571468.jpg","Download")</f>
        <v>0</v>
      </c>
      <c r="BQ781" s="3"/>
      <c r="BR781" s="3"/>
    </row>
    <row r="782" spans="1:70">
      <c r="A782" s="1" t="s">
        <v>70</v>
      </c>
      <c r="B782" s="1" t="s">
        <v>1269</v>
      </c>
      <c r="C782" s="1" t="s">
        <v>14333</v>
      </c>
      <c r="D782" s="1" t="s">
        <v>6489</v>
      </c>
      <c r="E782" s="1" t="s">
        <v>2964</v>
      </c>
      <c r="F782" s="1" t="s">
        <v>14334</v>
      </c>
      <c r="G782" s="1" t="s">
        <v>14335</v>
      </c>
      <c r="H782" s="1" t="s">
        <v>14336</v>
      </c>
      <c r="I782" s="1" t="s">
        <v>14337</v>
      </c>
      <c r="J782" s="1">
        <v>8767100704</v>
      </c>
      <c r="K782" s="1" t="s">
        <v>79</v>
      </c>
      <c r="L782" s="1" t="s">
        <v>14338</v>
      </c>
      <c r="M782" s="1" t="s">
        <v>81</v>
      </c>
      <c r="N782" s="1" t="s">
        <v>1765</v>
      </c>
      <c r="O782" s="1"/>
      <c r="P782" s="1" t="s">
        <v>1278</v>
      </c>
      <c r="Q782" s="1" t="s">
        <v>14339</v>
      </c>
      <c r="R782" s="1" t="s">
        <v>2964</v>
      </c>
      <c r="S782" s="1">
        <v>9623446029</v>
      </c>
      <c r="T782" s="1" t="s">
        <v>842</v>
      </c>
      <c r="U782" s="1" t="s">
        <v>9200</v>
      </c>
      <c r="V782" s="1">
        <v>9623446022</v>
      </c>
      <c r="W782" s="1" t="s">
        <v>156</v>
      </c>
      <c r="X782" s="1" t="s">
        <v>14340</v>
      </c>
      <c r="Y782" s="1" t="s">
        <v>5937</v>
      </c>
      <c r="Z782" s="1" t="s">
        <v>92</v>
      </c>
      <c r="AA782" s="1" t="s">
        <v>14340</v>
      </c>
      <c r="AB782" s="1" t="s">
        <v>5937</v>
      </c>
      <c r="AC782" s="1" t="s">
        <v>92</v>
      </c>
      <c r="AD782" s="1">
        <v>8.59</v>
      </c>
      <c r="AE782" s="1" t="s">
        <v>93</v>
      </c>
      <c r="AF782" s="1" t="s">
        <v>14341</v>
      </c>
      <c r="AG782" s="1" t="s">
        <v>307</v>
      </c>
      <c r="AH782" s="1" t="s">
        <v>101</v>
      </c>
      <c r="AI782" s="1" t="s">
        <v>308</v>
      </c>
      <c r="AJ782" s="1">
        <v>75.04</v>
      </c>
      <c r="AK782" s="1"/>
      <c r="AL782" s="1" t="s">
        <v>14342</v>
      </c>
      <c r="AM782" s="1" t="s">
        <v>14343</v>
      </c>
      <c r="AN782" s="1" t="s">
        <v>699</v>
      </c>
      <c r="AO782" s="1" t="s">
        <v>436</v>
      </c>
      <c r="AP782" s="1">
        <v>88.5</v>
      </c>
      <c r="AQ782" s="1"/>
      <c r="AR782" s="1"/>
      <c r="AS782" s="1"/>
      <c r="AT782" s="1"/>
      <c r="AU782" s="1"/>
      <c r="AV782" s="1"/>
      <c r="AW782" s="1"/>
      <c r="AX782" s="1" t="s">
        <v>14344</v>
      </c>
      <c r="AY782" s="1" t="s">
        <v>14345</v>
      </c>
      <c r="AZ782" s="1" t="s">
        <v>436</v>
      </c>
      <c r="BA782" s="1" t="s">
        <v>1714</v>
      </c>
      <c r="BB782" s="1">
        <v>69</v>
      </c>
      <c r="BC782" s="1">
        <v>7.65</v>
      </c>
      <c r="BD782" s="1"/>
      <c r="BE782" s="1"/>
      <c r="BF782" s="1"/>
      <c r="BG782" s="1"/>
      <c r="BH782" s="1"/>
      <c r="BI782" s="1"/>
      <c r="BJ782" s="1" t="s">
        <v>1383</v>
      </c>
      <c r="BK782" s="1"/>
      <c r="BL782" s="1"/>
      <c r="BM782" s="1" t="s">
        <v>14346</v>
      </c>
      <c r="BN782" s="1">
        <v>6</v>
      </c>
      <c r="BO782" s="1" t="s">
        <v>14347</v>
      </c>
      <c r="BP782" s="1" t="str">
        <f>HYPERLINK("https://nconnect.nicmar.ac.in/storage/profile/ProfilePhoto_P25700751_185649.jpg","Download")</f>
        <v>0</v>
      </c>
      <c r="BQ782" s="3"/>
      <c r="BR782" s="3"/>
    </row>
    <row r="783" spans="1:70">
      <c r="A783" s="1" t="s">
        <v>70</v>
      </c>
      <c r="B783" s="1" t="s">
        <v>1269</v>
      </c>
      <c r="C783" s="1" t="s">
        <v>14348</v>
      </c>
      <c r="D783" s="1" t="s">
        <v>14349</v>
      </c>
      <c r="E783" s="1" t="s">
        <v>181</v>
      </c>
      <c r="F783" s="1" t="s">
        <v>14350</v>
      </c>
      <c r="G783" s="1" t="s">
        <v>14351</v>
      </c>
      <c r="H783" s="1" t="s">
        <v>14352</v>
      </c>
      <c r="I783" s="1" t="s">
        <v>14353</v>
      </c>
      <c r="J783" s="1">
        <v>7338470128</v>
      </c>
      <c r="K783" s="1" t="s">
        <v>148</v>
      </c>
      <c r="L783" s="1" t="s">
        <v>9182</v>
      </c>
      <c r="M783" s="1" t="s">
        <v>81</v>
      </c>
      <c r="N783" s="1" t="s">
        <v>14354</v>
      </c>
      <c r="O783" s="1"/>
      <c r="P783" s="1" t="s">
        <v>1298</v>
      </c>
      <c r="Q783" s="1" t="s">
        <v>14355</v>
      </c>
      <c r="R783" s="1" t="s">
        <v>14356</v>
      </c>
      <c r="S783" s="1">
        <v>9480454967</v>
      </c>
      <c r="T783" s="1" t="s">
        <v>674</v>
      </c>
      <c r="U783" s="1" t="s">
        <v>14357</v>
      </c>
      <c r="V783" s="1">
        <v>9986002722</v>
      </c>
      <c r="W783" s="1" t="s">
        <v>674</v>
      </c>
      <c r="X783" s="1" t="s">
        <v>14358</v>
      </c>
      <c r="Y783" s="1" t="s">
        <v>7580</v>
      </c>
      <c r="Z783" s="1" t="s">
        <v>1084</v>
      </c>
      <c r="AA783" s="1" t="s">
        <v>14358</v>
      </c>
      <c r="AB783" s="1" t="s">
        <v>7580</v>
      </c>
      <c r="AC783" s="1" t="s">
        <v>1084</v>
      </c>
      <c r="AD783" s="1">
        <v>7.9</v>
      </c>
      <c r="AE783" s="1" t="s">
        <v>93</v>
      </c>
      <c r="AF783" s="1" t="s">
        <v>14359</v>
      </c>
      <c r="AG783" s="1" t="s">
        <v>307</v>
      </c>
      <c r="AH783" s="1" t="s">
        <v>162</v>
      </c>
      <c r="AI783" s="1" t="s">
        <v>165</v>
      </c>
      <c r="AJ783" s="1">
        <v>81.7</v>
      </c>
      <c r="AK783" s="1">
        <v>8</v>
      </c>
      <c r="AL783" s="1" t="s">
        <v>14360</v>
      </c>
      <c r="AM783" s="1" t="s">
        <v>14361</v>
      </c>
      <c r="AN783" s="1" t="s">
        <v>6279</v>
      </c>
      <c r="AO783" s="1" t="s">
        <v>104</v>
      </c>
      <c r="AP783" s="1">
        <v>79.5</v>
      </c>
      <c r="AQ783" s="1">
        <v>8</v>
      </c>
      <c r="AR783" s="1"/>
      <c r="AS783" s="1"/>
      <c r="AT783" s="1"/>
      <c r="AU783" s="1"/>
      <c r="AV783" s="1"/>
      <c r="AW783" s="1"/>
      <c r="AX783" s="1" t="s">
        <v>14362</v>
      </c>
      <c r="AY783" s="1" t="s">
        <v>14363</v>
      </c>
      <c r="AZ783" s="1" t="s">
        <v>3672</v>
      </c>
      <c r="BA783" s="1" t="s">
        <v>2103</v>
      </c>
      <c r="BB783" s="1">
        <v>66.5</v>
      </c>
      <c r="BC783" s="1">
        <v>7.4</v>
      </c>
      <c r="BD783" s="1"/>
      <c r="BE783" s="1"/>
      <c r="BF783" s="1"/>
      <c r="BG783" s="1"/>
      <c r="BH783" s="1"/>
      <c r="BI783" s="1"/>
      <c r="BJ783" s="1" t="s">
        <v>14364</v>
      </c>
      <c r="BK783" s="1"/>
      <c r="BL783" s="1"/>
      <c r="BM783" s="1" t="s">
        <v>14365</v>
      </c>
      <c r="BN783" s="1">
        <v>24</v>
      </c>
      <c r="BO783" s="1" t="s">
        <v>14366</v>
      </c>
      <c r="BP783" s="1" t="str">
        <f>HYPERLINK("https://nconnect.nicmar.ac.in/storage/profile/ProfilePhoto_P25700752_395618.jpg","Download")</f>
        <v>0</v>
      </c>
      <c r="BQ783" s="3"/>
      <c r="BR783" s="3"/>
    </row>
    <row r="784" spans="1:70">
      <c r="A784" s="1" t="s">
        <v>70</v>
      </c>
      <c r="B784" s="1" t="s">
        <v>1269</v>
      </c>
      <c r="C784" s="1" t="s">
        <v>14367</v>
      </c>
      <c r="D784" s="1" t="s">
        <v>1759</v>
      </c>
      <c r="E784" s="1" t="s">
        <v>7405</v>
      </c>
      <c r="F784" s="1" t="s">
        <v>14368</v>
      </c>
      <c r="G784" s="1" t="s">
        <v>14369</v>
      </c>
      <c r="H784" s="1" t="s">
        <v>14370</v>
      </c>
      <c r="I784" s="1" t="s">
        <v>14371</v>
      </c>
      <c r="J784" s="1">
        <v>9112221126</v>
      </c>
      <c r="K784" s="1" t="s">
        <v>79</v>
      </c>
      <c r="L784" s="1" t="s">
        <v>14372</v>
      </c>
      <c r="M784" s="1" t="s">
        <v>81</v>
      </c>
      <c r="N784" s="1" t="s">
        <v>1418</v>
      </c>
      <c r="O784" s="1"/>
      <c r="P784" s="1" t="s">
        <v>1278</v>
      </c>
      <c r="Q784" s="1" t="s">
        <v>14373</v>
      </c>
      <c r="R784" s="1" t="s">
        <v>14374</v>
      </c>
      <c r="S784" s="1">
        <v>9112221106</v>
      </c>
      <c r="T784" s="1" t="s">
        <v>763</v>
      </c>
      <c r="U784" s="1" t="s">
        <v>14375</v>
      </c>
      <c r="V784" s="1">
        <v>9762252869</v>
      </c>
      <c r="W784" s="1" t="s">
        <v>14376</v>
      </c>
      <c r="X784" s="1" t="s">
        <v>14377</v>
      </c>
      <c r="Y784" s="1" t="s">
        <v>191</v>
      </c>
      <c r="Z784" s="1" t="s">
        <v>92</v>
      </c>
      <c r="AA784" s="1" t="s">
        <v>14378</v>
      </c>
      <c r="AB784" s="1" t="s">
        <v>1174</v>
      </c>
      <c r="AC784" s="1" t="s">
        <v>92</v>
      </c>
      <c r="AD784" s="1">
        <v>7.54</v>
      </c>
      <c r="AE784" s="1" t="s">
        <v>93</v>
      </c>
      <c r="AF784" s="1" t="s">
        <v>14379</v>
      </c>
      <c r="AG784" s="1" t="s">
        <v>544</v>
      </c>
      <c r="AH784" s="1" t="s">
        <v>14380</v>
      </c>
      <c r="AI784" s="1" t="s">
        <v>195</v>
      </c>
      <c r="AJ784" s="1">
        <v>59.2</v>
      </c>
      <c r="AK784" s="1"/>
      <c r="AL784" s="1"/>
      <c r="AM784" s="1"/>
      <c r="AN784" s="1"/>
      <c r="AO784" s="1"/>
      <c r="AP784" s="1"/>
      <c r="AQ784" s="1"/>
      <c r="AR784" s="1" t="s">
        <v>434</v>
      </c>
      <c r="AS784" s="1" t="s">
        <v>14381</v>
      </c>
      <c r="AT784" s="1" t="s">
        <v>225</v>
      </c>
      <c r="AU784" s="1" t="s">
        <v>228</v>
      </c>
      <c r="AV784" s="1">
        <v>85.11</v>
      </c>
      <c r="AW784" s="1"/>
      <c r="AX784" s="1" t="s">
        <v>3982</v>
      </c>
      <c r="AY784" s="1" t="s">
        <v>14382</v>
      </c>
      <c r="AZ784" s="1" t="s">
        <v>363</v>
      </c>
      <c r="BA784" s="1" t="s">
        <v>507</v>
      </c>
      <c r="BB784" s="1">
        <v>78.24</v>
      </c>
      <c r="BC784" s="1">
        <v>8.52</v>
      </c>
      <c r="BD784" s="1"/>
      <c r="BE784" s="1"/>
      <c r="BF784" s="1"/>
      <c r="BG784" s="1"/>
      <c r="BH784" s="1"/>
      <c r="BI784" s="1"/>
      <c r="BJ784" s="1" t="s">
        <v>14383</v>
      </c>
      <c r="BK784" s="1" t="s">
        <v>14384</v>
      </c>
      <c r="BL784" s="1" t="s">
        <v>1028</v>
      </c>
      <c r="BM784" s="1"/>
      <c r="BN784" s="1"/>
      <c r="BO784" s="1"/>
      <c r="BP784" s="1" t="str">
        <f>HYPERLINK("https://nconnect.nicmar.ac.in/storage/profile/ProfilePhoto_P25700753_639218.jpg","Download")</f>
        <v>0</v>
      </c>
      <c r="BQ784" s="3"/>
      <c r="BR784" s="3"/>
    </row>
    <row r="785" spans="1:70">
      <c r="A785" s="1" t="s">
        <v>70</v>
      </c>
      <c r="B785" s="1" t="s">
        <v>1269</v>
      </c>
      <c r="C785" s="1" t="s">
        <v>14385</v>
      </c>
      <c r="D785" s="1" t="s">
        <v>10456</v>
      </c>
      <c r="E785" s="1" t="s">
        <v>3473</v>
      </c>
      <c r="F785" s="1" t="s">
        <v>14386</v>
      </c>
      <c r="G785" s="1" t="s">
        <v>14387</v>
      </c>
      <c r="H785" s="1" t="s">
        <v>14388</v>
      </c>
      <c r="I785" s="1" t="s">
        <v>14389</v>
      </c>
      <c r="J785" s="1">
        <v>9545691000</v>
      </c>
      <c r="K785" s="1" t="s">
        <v>79</v>
      </c>
      <c r="L785" s="1" t="s">
        <v>14390</v>
      </c>
      <c r="M785" s="1" t="s">
        <v>81</v>
      </c>
      <c r="N785" s="1" t="s">
        <v>1418</v>
      </c>
      <c r="O785" s="1"/>
      <c r="P785" s="1" t="s">
        <v>1278</v>
      </c>
      <c r="Q785" s="1" t="s">
        <v>14391</v>
      </c>
      <c r="R785" s="1" t="s">
        <v>3473</v>
      </c>
      <c r="S785" s="1">
        <v>9850406909</v>
      </c>
      <c r="T785" s="1" t="s">
        <v>154</v>
      </c>
      <c r="U785" s="1" t="s">
        <v>2972</v>
      </c>
      <c r="V785" s="1">
        <v>9422068022</v>
      </c>
      <c r="W785" s="1" t="s">
        <v>156</v>
      </c>
      <c r="X785" s="1" t="s">
        <v>14392</v>
      </c>
      <c r="Y785" s="1" t="s">
        <v>158</v>
      </c>
      <c r="Z785" s="1" t="s">
        <v>92</v>
      </c>
      <c r="AA785" s="1" t="s">
        <v>14392</v>
      </c>
      <c r="AB785" s="1" t="s">
        <v>158</v>
      </c>
      <c r="AC785" s="1" t="s">
        <v>92</v>
      </c>
      <c r="AD785" s="1">
        <v>8.34</v>
      </c>
      <c r="AE785" s="1" t="s">
        <v>93</v>
      </c>
      <c r="AF785" s="1" t="s">
        <v>14393</v>
      </c>
      <c r="AG785" s="1" t="s">
        <v>544</v>
      </c>
      <c r="AH785" s="1" t="s">
        <v>337</v>
      </c>
      <c r="AI785" s="1" t="s">
        <v>195</v>
      </c>
      <c r="AJ785" s="1">
        <v>81.4</v>
      </c>
      <c r="AK785" s="1"/>
      <c r="AL785" s="1" t="s">
        <v>14394</v>
      </c>
      <c r="AM785" s="1" t="s">
        <v>544</v>
      </c>
      <c r="AN785" s="1" t="s">
        <v>383</v>
      </c>
      <c r="AO785" s="1" t="s">
        <v>198</v>
      </c>
      <c r="AP785" s="1">
        <v>56</v>
      </c>
      <c r="AQ785" s="1"/>
      <c r="AR785" s="1"/>
      <c r="AS785" s="1"/>
      <c r="AT785" s="1"/>
      <c r="AU785" s="1"/>
      <c r="AV785" s="1"/>
      <c r="AW785" s="1"/>
      <c r="AX785" s="1" t="s">
        <v>1892</v>
      </c>
      <c r="AY785" s="1" t="s">
        <v>14395</v>
      </c>
      <c r="AZ785" s="1" t="s">
        <v>433</v>
      </c>
      <c r="BA785" s="1" t="s">
        <v>1939</v>
      </c>
      <c r="BB785" s="1">
        <v>75.75</v>
      </c>
      <c r="BC785" s="1">
        <v>8.05</v>
      </c>
      <c r="BD785" s="1"/>
      <c r="BE785" s="1"/>
      <c r="BF785" s="1"/>
      <c r="BG785" s="1"/>
      <c r="BH785" s="1"/>
      <c r="BI785" s="1"/>
      <c r="BJ785" s="1" t="s">
        <v>364</v>
      </c>
      <c r="BK785" s="1" t="s">
        <v>14396</v>
      </c>
      <c r="BL785" s="1" t="s">
        <v>1543</v>
      </c>
      <c r="BM785" s="1" t="s">
        <v>14397</v>
      </c>
      <c r="BN785" s="1">
        <v>8</v>
      </c>
      <c r="BO785" s="1"/>
      <c r="BP785" s="1" t="str">
        <f>HYPERLINK("https://nconnect.nicmar.ac.in/storage/profile/ProfilePhoto_P25700754_876213.jpg","Download")</f>
        <v>0</v>
      </c>
      <c r="BQ785" s="3"/>
      <c r="BR785" s="3"/>
    </row>
    <row r="786" spans="1:70">
      <c r="A786" s="1" t="s">
        <v>70</v>
      </c>
      <c r="B786" s="1" t="s">
        <v>1269</v>
      </c>
      <c r="C786" s="1" t="s">
        <v>14398</v>
      </c>
      <c r="D786" s="1" t="s">
        <v>14399</v>
      </c>
      <c r="E786" s="1" t="s">
        <v>2485</v>
      </c>
      <c r="F786" s="1" t="s">
        <v>14400</v>
      </c>
      <c r="G786" s="1" t="s">
        <v>14401</v>
      </c>
      <c r="H786" s="1" t="s">
        <v>14402</v>
      </c>
      <c r="I786" s="1" t="s">
        <v>14403</v>
      </c>
      <c r="J786" s="1">
        <v>7620324474</v>
      </c>
      <c r="K786" s="1" t="s">
        <v>79</v>
      </c>
      <c r="L786" s="1" t="s">
        <v>14404</v>
      </c>
      <c r="M786" s="1" t="s">
        <v>81</v>
      </c>
      <c r="N786" s="1" t="s">
        <v>2008</v>
      </c>
      <c r="O786" s="1"/>
      <c r="P786" s="1" t="s">
        <v>1278</v>
      </c>
      <c r="Q786" s="1" t="s">
        <v>14405</v>
      </c>
      <c r="R786" s="1" t="s">
        <v>2485</v>
      </c>
      <c r="S786" s="1">
        <v>9850099291</v>
      </c>
      <c r="T786" s="1" t="s">
        <v>14051</v>
      </c>
      <c r="U786" s="1" t="s">
        <v>3065</v>
      </c>
      <c r="V786" s="1">
        <v>8669326550</v>
      </c>
      <c r="W786" s="1">
        <v>10</v>
      </c>
      <c r="X786" s="1" t="s">
        <v>14406</v>
      </c>
      <c r="Y786" s="1" t="s">
        <v>191</v>
      </c>
      <c r="Z786" s="1" t="s">
        <v>92</v>
      </c>
      <c r="AA786" s="1" t="s">
        <v>14407</v>
      </c>
      <c r="AB786" s="1" t="s">
        <v>91</v>
      </c>
      <c r="AC786" s="1" t="s">
        <v>92</v>
      </c>
      <c r="AD786" s="1" t="s">
        <v>93</v>
      </c>
      <c r="AE786" s="1" t="s">
        <v>93</v>
      </c>
      <c r="AF786" s="1" t="s">
        <v>14408</v>
      </c>
      <c r="AG786" s="1" t="s">
        <v>358</v>
      </c>
      <c r="AH786" s="1" t="s">
        <v>97</v>
      </c>
      <c r="AI786" s="1" t="s">
        <v>456</v>
      </c>
      <c r="AJ786" s="1">
        <v>84.4</v>
      </c>
      <c r="AK786" s="1"/>
      <c r="AL786" s="1"/>
      <c r="AM786" s="1"/>
      <c r="AN786" s="1"/>
      <c r="AO786" s="1"/>
      <c r="AP786" s="1"/>
      <c r="AQ786" s="1"/>
      <c r="AR786" s="1" t="s">
        <v>7965</v>
      </c>
      <c r="AS786" s="1" t="s">
        <v>14409</v>
      </c>
      <c r="AT786" s="1" t="s">
        <v>162</v>
      </c>
      <c r="AU786" s="1" t="s">
        <v>433</v>
      </c>
      <c r="AV786" s="1">
        <v>77.21</v>
      </c>
      <c r="AW786" s="1"/>
      <c r="AX786" s="1" t="s">
        <v>361</v>
      </c>
      <c r="AY786" s="1" t="s">
        <v>14410</v>
      </c>
      <c r="AZ786" s="1" t="s">
        <v>201</v>
      </c>
      <c r="BA786" s="1" t="s">
        <v>105</v>
      </c>
      <c r="BB786" s="1">
        <v>81.52</v>
      </c>
      <c r="BC786" s="1">
        <v>9.16</v>
      </c>
      <c r="BD786" s="1"/>
      <c r="BE786" s="1"/>
      <c r="BF786" s="1"/>
      <c r="BG786" s="1"/>
      <c r="BH786" s="1"/>
      <c r="BI786" s="1"/>
      <c r="BJ786" s="1" t="s">
        <v>14411</v>
      </c>
      <c r="BK786" s="1" t="s">
        <v>14412</v>
      </c>
      <c r="BL786" s="1" t="s">
        <v>1523</v>
      </c>
      <c r="BM786" s="1"/>
      <c r="BN786" s="1"/>
      <c r="BO786" s="1"/>
      <c r="BP786" s="1" t="str">
        <f>HYPERLINK("https://nconnect.nicmar.ac.in/storage/profile/ProfilePhoto_P25700755_215487.jpg","Download")</f>
        <v>0</v>
      </c>
      <c r="BQ786" s="3"/>
      <c r="BR786" s="3"/>
    </row>
    <row r="787" spans="1:70">
      <c r="A787" s="1" t="s">
        <v>70</v>
      </c>
      <c r="B787" s="1" t="s">
        <v>1269</v>
      </c>
      <c r="C787" s="1" t="s">
        <v>14413</v>
      </c>
      <c r="D787" s="1" t="s">
        <v>1455</v>
      </c>
      <c r="E787" s="1" t="s">
        <v>3251</v>
      </c>
      <c r="F787" s="1" t="s">
        <v>843</v>
      </c>
      <c r="G787" s="1" t="s">
        <v>14414</v>
      </c>
      <c r="H787" s="1" t="s">
        <v>14415</v>
      </c>
      <c r="I787" s="1" t="s">
        <v>14416</v>
      </c>
      <c r="J787" s="1">
        <v>7972030932</v>
      </c>
      <c r="K787" s="1" t="s">
        <v>79</v>
      </c>
      <c r="L787" s="1" t="s">
        <v>14417</v>
      </c>
      <c r="M787" s="1" t="s">
        <v>81</v>
      </c>
      <c r="N787" s="1" t="s">
        <v>1418</v>
      </c>
      <c r="O787" s="1"/>
      <c r="P787" s="1" t="s">
        <v>1298</v>
      </c>
      <c r="Q787" s="1" t="s">
        <v>14418</v>
      </c>
      <c r="R787" s="1" t="s">
        <v>14419</v>
      </c>
      <c r="S787" s="1">
        <v>9702864718</v>
      </c>
      <c r="T787" s="1" t="s">
        <v>13929</v>
      </c>
      <c r="U787" s="1" t="s">
        <v>14420</v>
      </c>
      <c r="V787" s="1">
        <v>8692824268</v>
      </c>
      <c r="W787" s="1" t="s">
        <v>89</v>
      </c>
      <c r="X787" s="1" t="s">
        <v>14421</v>
      </c>
      <c r="Y787" s="1" t="s">
        <v>5080</v>
      </c>
      <c r="Z787" s="1" t="s">
        <v>92</v>
      </c>
      <c r="AA787" s="1" t="s">
        <v>14421</v>
      </c>
      <c r="AB787" s="1" t="s">
        <v>5080</v>
      </c>
      <c r="AC787" s="1" t="s">
        <v>92</v>
      </c>
      <c r="AD787" s="1">
        <v>8.61</v>
      </c>
      <c r="AE787" s="1" t="s">
        <v>93</v>
      </c>
      <c r="AF787" s="1" t="s">
        <v>14422</v>
      </c>
      <c r="AG787" s="1" t="s">
        <v>6980</v>
      </c>
      <c r="AH787" s="1" t="s">
        <v>2403</v>
      </c>
      <c r="AI787" s="1" t="s">
        <v>999</v>
      </c>
      <c r="AJ787" s="1">
        <v>61.8</v>
      </c>
      <c r="AK787" s="1"/>
      <c r="AL787" s="1" t="s">
        <v>14423</v>
      </c>
      <c r="AM787" s="1" t="s">
        <v>6980</v>
      </c>
      <c r="AN787" s="1" t="s">
        <v>161</v>
      </c>
      <c r="AO787" s="1" t="s">
        <v>1001</v>
      </c>
      <c r="AP787" s="1">
        <v>56.92</v>
      </c>
      <c r="AQ787" s="1"/>
      <c r="AR787" s="1" t="s">
        <v>14424</v>
      </c>
      <c r="AS787" s="1" t="s">
        <v>14425</v>
      </c>
      <c r="AT787" s="1" t="s">
        <v>134</v>
      </c>
      <c r="AU787" s="1" t="s">
        <v>166</v>
      </c>
      <c r="AV787" s="1">
        <v>81.99</v>
      </c>
      <c r="AW787" s="1">
        <v>9.11</v>
      </c>
      <c r="AX787" s="1" t="s">
        <v>14426</v>
      </c>
      <c r="AY787" s="1" t="s">
        <v>14425</v>
      </c>
      <c r="AZ787" s="1" t="s">
        <v>636</v>
      </c>
      <c r="BA787" s="1" t="s">
        <v>1712</v>
      </c>
      <c r="BB787" s="1">
        <v>79.5</v>
      </c>
      <c r="BC787" s="1">
        <v>7.95</v>
      </c>
      <c r="BD787" s="1"/>
      <c r="BE787" s="1"/>
      <c r="BF787" s="1"/>
      <c r="BG787" s="1"/>
      <c r="BH787" s="1"/>
      <c r="BI787" s="1"/>
      <c r="BJ787" s="1" t="s">
        <v>14427</v>
      </c>
      <c r="BK787" s="1" t="s">
        <v>14428</v>
      </c>
      <c r="BL787" s="1" t="s">
        <v>4757</v>
      </c>
      <c r="BM787" s="1" t="s">
        <v>14429</v>
      </c>
      <c r="BN787" s="1">
        <v>8</v>
      </c>
      <c r="BO787" s="1"/>
      <c r="BP787" s="1" t="str">
        <f>HYPERLINK("https://nconnect.nicmar.ac.in/storage/profile/ProfilePhoto_P25700281_579136.jpg","Download")</f>
        <v>0</v>
      </c>
      <c r="BQ787" s="3"/>
      <c r="BR787" s="3"/>
    </row>
    <row r="788" spans="1:70">
      <c r="A788" s="1" t="s">
        <v>70</v>
      </c>
      <c r="B788" s="1" t="s">
        <v>1269</v>
      </c>
      <c r="C788" s="1" t="s">
        <v>14430</v>
      </c>
      <c r="D788" s="1" t="s">
        <v>816</v>
      </c>
      <c r="E788" s="1" t="s">
        <v>5413</v>
      </c>
      <c r="F788" s="1" t="s">
        <v>14431</v>
      </c>
      <c r="G788" s="1" t="s">
        <v>14432</v>
      </c>
      <c r="H788" s="1" t="s">
        <v>14433</v>
      </c>
      <c r="I788" s="1" t="s">
        <v>14434</v>
      </c>
      <c r="J788" s="1">
        <v>7588796873</v>
      </c>
      <c r="K788" s="1" t="s">
        <v>79</v>
      </c>
      <c r="L788" s="1" t="s">
        <v>14435</v>
      </c>
      <c r="M788" s="1" t="s">
        <v>81</v>
      </c>
      <c r="N788" s="1" t="s">
        <v>14436</v>
      </c>
      <c r="O788" s="1"/>
      <c r="P788" s="1" t="s">
        <v>1323</v>
      </c>
      <c r="Q788" s="1" t="s">
        <v>14437</v>
      </c>
      <c r="R788" s="1" t="s">
        <v>5413</v>
      </c>
      <c r="S788" s="1">
        <v>9850341198</v>
      </c>
      <c r="T788" s="1" t="s">
        <v>496</v>
      </c>
      <c r="U788" s="1" t="s">
        <v>12751</v>
      </c>
      <c r="V788" s="1">
        <v>9307325971</v>
      </c>
      <c r="W788" s="1" t="s">
        <v>89</v>
      </c>
      <c r="X788" s="1" t="s">
        <v>14438</v>
      </c>
      <c r="Y788" s="1" t="s">
        <v>405</v>
      </c>
      <c r="Z788" s="1" t="s">
        <v>92</v>
      </c>
      <c r="AA788" s="1" t="s">
        <v>14439</v>
      </c>
      <c r="AB788" s="1" t="s">
        <v>405</v>
      </c>
      <c r="AC788" s="1" t="s">
        <v>92</v>
      </c>
      <c r="AD788" s="1">
        <v>8.9</v>
      </c>
      <c r="AE788" s="1" t="s">
        <v>93</v>
      </c>
      <c r="AF788" s="1" t="s">
        <v>14440</v>
      </c>
      <c r="AG788" s="1" t="s">
        <v>14441</v>
      </c>
      <c r="AH788" s="1" t="s">
        <v>678</v>
      </c>
      <c r="AI788" s="1" t="s">
        <v>166</v>
      </c>
      <c r="AJ788" s="1">
        <v>73.6</v>
      </c>
      <c r="AK788" s="1"/>
      <c r="AL788" s="1" t="s">
        <v>14440</v>
      </c>
      <c r="AM788" s="1" t="s">
        <v>14442</v>
      </c>
      <c r="AN788" s="1" t="s">
        <v>433</v>
      </c>
      <c r="AO788" s="1" t="s">
        <v>173</v>
      </c>
      <c r="AP788" s="1">
        <v>77</v>
      </c>
      <c r="AQ788" s="1"/>
      <c r="AR788" s="1"/>
      <c r="AS788" s="1"/>
      <c r="AT788" s="1"/>
      <c r="AU788" s="1"/>
      <c r="AV788" s="1"/>
      <c r="AW788" s="1"/>
      <c r="AX788" s="1" t="s">
        <v>5543</v>
      </c>
      <c r="AY788" s="1" t="s">
        <v>14443</v>
      </c>
      <c r="AZ788" s="1" t="s">
        <v>363</v>
      </c>
      <c r="BA788" s="1" t="s">
        <v>1939</v>
      </c>
      <c r="BB788" s="1">
        <v>70.6</v>
      </c>
      <c r="BC788" s="1">
        <v>7.81</v>
      </c>
      <c r="BD788" s="1"/>
      <c r="BE788" s="1"/>
      <c r="BF788" s="1"/>
      <c r="BG788" s="1"/>
      <c r="BH788" s="1"/>
      <c r="BI788" s="1"/>
      <c r="BJ788" s="1" t="s">
        <v>14444</v>
      </c>
      <c r="BK788" s="1"/>
      <c r="BL788" s="1"/>
      <c r="BM788" s="1" t="s">
        <v>14445</v>
      </c>
      <c r="BN788" s="1">
        <v>25</v>
      </c>
      <c r="BO788" s="1" t="s">
        <v>14446</v>
      </c>
      <c r="BP788" s="1" t="str">
        <f>HYPERLINK("https://nconnect.nicmar.ac.in/storage/profile/ProfilePhoto_P25700325_532469.jpg","Download")</f>
        <v>0</v>
      </c>
      <c r="BQ788" s="3"/>
      <c r="BR788" s="3"/>
    </row>
    <row r="789" spans="1:70">
      <c r="A789" s="1" t="s">
        <v>70</v>
      </c>
      <c r="B789" s="1" t="s">
        <v>1269</v>
      </c>
      <c r="C789" s="1" t="s">
        <v>14447</v>
      </c>
      <c r="D789" s="1" t="s">
        <v>14448</v>
      </c>
      <c r="E789" s="1" t="s">
        <v>901</v>
      </c>
      <c r="F789" s="1" t="s">
        <v>4823</v>
      </c>
      <c r="G789" s="1" t="s">
        <v>14449</v>
      </c>
      <c r="H789" s="1" t="s">
        <v>14450</v>
      </c>
      <c r="I789" s="1" t="s">
        <v>14451</v>
      </c>
      <c r="J789" s="1">
        <v>6309295777</v>
      </c>
      <c r="K789" s="1" t="s">
        <v>79</v>
      </c>
      <c r="L789" s="1" t="s">
        <v>1862</v>
      </c>
      <c r="M789" s="1" t="s">
        <v>81</v>
      </c>
      <c r="N789" s="1" t="s">
        <v>14452</v>
      </c>
      <c r="O789" s="1"/>
      <c r="P789" s="1" t="s">
        <v>1323</v>
      </c>
      <c r="Q789" s="1" t="s">
        <v>14453</v>
      </c>
      <c r="R789" s="1" t="s">
        <v>14454</v>
      </c>
      <c r="S789" s="1">
        <v>9849721040</v>
      </c>
      <c r="T789" s="1" t="s">
        <v>4581</v>
      </c>
      <c r="U789" s="1" t="s">
        <v>14455</v>
      </c>
      <c r="V789" s="1">
        <v>9652271081</v>
      </c>
      <c r="W789" s="1" t="s">
        <v>122</v>
      </c>
      <c r="X789" s="1" t="s">
        <v>14456</v>
      </c>
      <c r="Y789" s="1" t="s">
        <v>4636</v>
      </c>
      <c r="Z789" s="1" t="s">
        <v>276</v>
      </c>
      <c r="AA789" s="1" t="s">
        <v>14456</v>
      </c>
      <c r="AB789" s="1" t="s">
        <v>4636</v>
      </c>
      <c r="AC789" s="1" t="s">
        <v>276</v>
      </c>
      <c r="AD789" s="1">
        <v>7.97</v>
      </c>
      <c r="AE789" s="1" t="s">
        <v>93</v>
      </c>
      <c r="AF789" s="1" t="s">
        <v>5609</v>
      </c>
      <c r="AG789" s="1" t="s">
        <v>14457</v>
      </c>
      <c r="AH789" s="1" t="s">
        <v>165</v>
      </c>
      <c r="AI789" s="1" t="s">
        <v>1307</v>
      </c>
      <c r="AJ789" s="1">
        <v>93</v>
      </c>
      <c r="AK789" s="1">
        <v>9.3</v>
      </c>
      <c r="AL789" s="1" t="s">
        <v>612</v>
      </c>
      <c r="AM789" s="1" t="s">
        <v>10792</v>
      </c>
      <c r="AN789" s="1" t="s">
        <v>433</v>
      </c>
      <c r="AO789" s="1" t="s">
        <v>173</v>
      </c>
      <c r="AP789" s="1">
        <v>90.4</v>
      </c>
      <c r="AQ789" s="1">
        <v>9.48</v>
      </c>
      <c r="AR789" s="1"/>
      <c r="AS789" s="1"/>
      <c r="AT789" s="1"/>
      <c r="AU789" s="1"/>
      <c r="AV789" s="1"/>
      <c r="AW789" s="1"/>
      <c r="AX789" s="1" t="s">
        <v>7648</v>
      </c>
      <c r="AY789" s="1" t="s">
        <v>7648</v>
      </c>
      <c r="AZ789" s="1" t="s">
        <v>681</v>
      </c>
      <c r="BA789" s="1" t="s">
        <v>6033</v>
      </c>
      <c r="BB789" s="1">
        <v>71.1</v>
      </c>
      <c r="BC789" s="1">
        <v>7.11</v>
      </c>
      <c r="BD789" s="1"/>
      <c r="BE789" s="1"/>
      <c r="BF789" s="1"/>
      <c r="BG789" s="1"/>
      <c r="BH789" s="1"/>
      <c r="BI789" s="1"/>
      <c r="BJ789" s="1" t="s">
        <v>1383</v>
      </c>
      <c r="BK789" s="1"/>
      <c r="BL789" s="1"/>
      <c r="BM789" s="1" t="s">
        <v>14458</v>
      </c>
      <c r="BN789" s="1">
        <v>12</v>
      </c>
      <c r="BO789" s="1" t="s">
        <v>14459</v>
      </c>
      <c r="BP789" s="1" t="str">
        <f>HYPERLINK("https://nconnect.nicmar.ac.in/storage/profile/ProfilePhoto_P25700367_329568.jpg","Download")</f>
        <v>0</v>
      </c>
      <c r="BQ789" s="3"/>
      <c r="BR789" s="3"/>
    </row>
    <row r="790" spans="1:70">
      <c r="A790" s="1" t="s">
        <v>70</v>
      </c>
      <c r="B790" s="1" t="s">
        <v>1269</v>
      </c>
      <c r="C790" s="1" t="s">
        <v>14460</v>
      </c>
      <c r="D790" s="1" t="s">
        <v>14461</v>
      </c>
      <c r="E790" s="1" t="s">
        <v>14462</v>
      </c>
      <c r="F790" s="1" t="s">
        <v>14463</v>
      </c>
      <c r="G790" s="1" t="s">
        <v>14464</v>
      </c>
      <c r="H790" s="1" t="s">
        <v>14465</v>
      </c>
      <c r="I790" s="1" t="s">
        <v>14466</v>
      </c>
      <c r="J790" s="1">
        <v>9975069808</v>
      </c>
      <c r="K790" s="1" t="s">
        <v>79</v>
      </c>
      <c r="L790" s="1" t="s">
        <v>14467</v>
      </c>
      <c r="M790" s="1" t="s">
        <v>81</v>
      </c>
      <c r="N790" s="1" t="s">
        <v>1765</v>
      </c>
      <c r="O790" s="1"/>
      <c r="P790" s="1" t="s">
        <v>1298</v>
      </c>
      <c r="Q790" s="1" t="s">
        <v>14468</v>
      </c>
      <c r="R790" s="1" t="s">
        <v>14469</v>
      </c>
      <c r="S790" s="1">
        <v>9850497606</v>
      </c>
      <c r="T790" s="1" t="s">
        <v>763</v>
      </c>
      <c r="U790" s="1" t="s">
        <v>14470</v>
      </c>
      <c r="V790" s="1">
        <v>9822570691</v>
      </c>
      <c r="W790" s="1" t="s">
        <v>156</v>
      </c>
      <c r="X790" s="1" t="s">
        <v>14471</v>
      </c>
      <c r="Y790" s="1" t="s">
        <v>191</v>
      </c>
      <c r="Z790" s="1" t="s">
        <v>92</v>
      </c>
      <c r="AA790" s="1" t="s">
        <v>14472</v>
      </c>
      <c r="AB790" s="1" t="s">
        <v>191</v>
      </c>
      <c r="AC790" s="1" t="s">
        <v>92</v>
      </c>
      <c r="AD790" s="1" t="s">
        <v>93</v>
      </c>
      <c r="AE790" s="1" t="s">
        <v>93</v>
      </c>
      <c r="AF790" s="1" t="s">
        <v>14473</v>
      </c>
      <c r="AG790" s="1" t="s">
        <v>14474</v>
      </c>
      <c r="AH790" s="1" t="s">
        <v>130</v>
      </c>
      <c r="AI790" s="1" t="s">
        <v>97</v>
      </c>
      <c r="AJ790" s="1">
        <v>73.4</v>
      </c>
      <c r="AK790" s="1">
        <v>0</v>
      </c>
      <c r="AL790" s="1" t="s">
        <v>14475</v>
      </c>
      <c r="AM790" s="1" t="s">
        <v>14476</v>
      </c>
      <c r="AN790" s="1" t="s">
        <v>6092</v>
      </c>
      <c r="AO790" s="1" t="s">
        <v>678</v>
      </c>
      <c r="AP790" s="1">
        <v>65.54</v>
      </c>
      <c r="AQ790" s="1">
        <v>0</v>
      </c>
      <c r="AR790" s="1"/>
      <c r="AS790" s="1"/>
      <c r="AT790" s="1"/>
      <c r="AU790" s="1"/>
      <c r="AV790" s="1"/>
      <c r="AW790" s="1"/>
      <c r="AX790" s="1" t="s">
        <v>361</v>
      </c>
      <c r="AY790" s="1" t="s">
        <v>14477</v>
      </c>
      <c r="AZ790" s="1" t="s">
        <v>383</v>
      </c>
      <c r="BA790" s="1" t="s">
        <v>1003</v>
      </c>
      <c r="BB790" s="1">
        <v>82</v>
      </c>
      <c r="BC790" s="1">
        <v>9.1</v>
      </c>
      <c r="BD790" s="1"/>
      <c r="BE790" s="1"/>
      <c r="BF790" s="1"/>
      <c r="BG790" s="1"/>
      <c r="BH790" s="1"/>
      <c r="BI790" s="1"/>
      <c r="BJ790" s="1" t="s">
        <v>14478</v>
      </c>
      <c r="BK790" s="1" t="s">
        <v>14479</v>
      </c>
      <c r="BL790" s="1" t="s">
        <v>340</v>
      </c>
      <c r="BM790" s="1" t="s">
        <v>14480</v>
      </c>
      <c r="BN790" s="1">
        <v>32</v>
      </c>
      <c r="BO790" s="1"/>
      <c r="BP790" s="1" t="str">
        <f>HYPERLINK("https://nconnect.nicmar.ac.in/storage/profile/ProfilePhoto_P25700694_372165.jpg","Download")</f>
        <v>0</v>
      </c>
      <c r="BQ790" s="3"/>
      <c r="BR790" s="3"/>
    </row>
    <row r="791" spans="1:70">
      <c r="A791" s="1" t="s">
        <v>441</v>
      </c>
      <c r="B791" s="1" t="s">
        <v>1269</v>
      </c>
      <c r="C791" s="1" t="s">
        <v>14481</v>
      </c>
      <c r="D791" s="1" t="s">
        <v>14482</v>
      </c>
      <c r="E791" s="1"/>
      <c r="F791" s="1" t="s">
        <v>14483</v>
      </c>
      <c r="G791" s="1" t="s">
        <v>14484</v>
      </c>
      <c r="H791" s="1" t="s">
        <v>14485</v>
      </c>
      <c r="I791" s="1" t="s">
        <v>14486</v>
      </c>
      <c r="J791" s="1">
        <v>7889141835</v>
      </c>
      <c r="K791" s="1" t="s">
        <v>148</v>
      </c>
      <c r="L791" s="1" t="s">
        <v>14487</v>
      </c>
      <c r="M791" s="1" t="s">
        <v>81</v>
      </c>
      <c r="N791" s="1" t="s">
        <v>2215</v>
      </c>
      <c r="O791" s="1" t="s">
        <v>14488</v>
      </c>
      <c r="P791" s="1" t="s">
        <v>1323</v>
      </c>
      <c r="Q791" s="1" t="s">
        <v>14489</v>
      </c>
      <c r="R791" s="1" t="s">
        <v>14490</v>
      </c>
      <c r="S791" s="1">
        <v>9878534679</v>
      </c>
      <c r="T791" s="1" t="s">
        <v>14491</v>
      </c>
      <c r="U791" s="1" t="s">
        <v>14492</v>
      </c>
      <c r="V791" s="1">
        <v>9078488685</v>
      </c>
      <c r="W791" s="1" t="s">
        <v>156</v>
      </c>
      <c r="X791" s="1" t="s">
        <v>14493</v>
      </c>
      <c r="Y791" s="1" t="s">
        <v>4908</v>
      </c>
      <c r="Z791" s="1" t="s">
        <v>1731</v>
      </c>
      <c r="AA791" s="1" t="s">
        <v>14494</v>
      </c>
      <c r="AB791" s="1" t="s">
        <v>14495</v>
      </c>
      <c r="AC791" s="1" t="s">
        <v>1829</v>
      </c>
      <c r="AD791" s="1" t="s">
        <v>93</v>
      </c>
      <c r="AE791" s="1" t="s">
        <v>93</v>
      </c>
      <c r="AF791" s="1" t="s">
        <v>14496</v>
      </c>
      <c r="AG791" s="1" t="s">
        <v>14497</v>
      </c>
      <c r="AH791" s="1" t="s">
        <v>477</v>
      </c>
      <c r="AI791" s="1" t="s">
        <v>131</v>
      </c>
      <c r="AJ791" s="1">
        <v>85.5</v>
      </c>
      <c r="AK791" s="1">
        <v>9</v>
      </c>
      <c r="AL791" s="1" t="s">
        <v>14498</v>
      </c>
      <c r="AM791" s="1" t="s">
        <v>14499</v>
      </c>
      <c r="AN791" s="1" t="s">
        <v>279</v>
      </c>
      <c r="AO791" s="1" t="s">
        <v>479</v>
      </c>
      <c r="AP791" s="1">
        <v>77.6</v>
      </c>
      <c r="AQ791" s="1"/>
      <c r="AR791" s="1"/>
      <c r="AS791" s="1"/>
      <c r="AT791" s="1"/>
      <c r="AU791" s="1"/>
      <c r="AV791" s="1"/>
      <c r="AW791" s="1"/>
      <c r="AX791" s="1" t="s">
        <v>14500</v>
      </c>
      <c r="AY791" s="1" t="s">
        <v>14501</v>
      </c>
      <c r="AZ791" s="1" t="s">
        <v>383</v>
      </c>
      <c r="BA791" s="1" t="s">
        <v>481</v>
      </c>
      <c r="BB791" s="1">
        <v>80.2</v>
      </c>
      <c r="BC791" s="1">
        <v>8.02</v>
      </c>
      <c r="BD791" s="1"/>
      <c r="BE791" s="1"/>
      <c r="BF791" s="1"/>
      <c r="BG791" s="1"/>
      <c r="BH791" s="1"/>
      <c r="BI791" s="1"/>
      <c r="BJ791" s="1" t="s">
        <v>14502</v>
      </c>
      <c r="BK791" s="1"/>
      <c r="BL791" s="1"/>
      <c r="BM791" s="1" t="s">
        <v>14503</v>
      </c>
      <c r="BN791" s="1">
        <v>39</v>
      </c>
      <c r="BO791" s="1" t="s">
        <v>14504</v>
      </c>
      <c r="BP791" s="1" t="str">
        <f>HYPERLINK("https://nconnect.nicmar.ac.in/storage/profile/ProfilePhoto_P24702124_129675.jpg","Download")</f>
        <v>0</v>
      </c>
      <c r="BQ791" s="3"/>
      <c r="BR791" s="3"/>
    </row>
    <row r="792" spans="1:70">
      <c r="A792" s="1" t="s">
        <v>441</v>
      </c>
      <c r="B792" s="1" t="s">
        <v>1269</v>
      </c>
      <c r="C792" s="1" t="s">
        <v>14505</v>
      </c>
      <c r="D792" s="1" t="s">
        <v>14506</v>
      </c>
      <c r="E792" s="1" t="s">
        <v>3238</v>
      </c>
      <c r="F792" s="1" t="s">
        <v>14507</v>
      </c>
      <c r="G792" s="1" t="s">
        <v>14508</v>
      </c>
      <c r="H792" s="1" t="s">
        <v>14509</v>
      </c>
      <c r="I792" s="1" t="s">
        <v>14510</v>
      </c>
      <c r="J792" s="1">
        <v>8917573341</v>
      </c>
      <c r="K792" s="1" t="s">
        <v>79</v>
      </c>
      <c r="L792" s="1" t="s">
        <v>14511</v>
      </c>
      <c r="M792" s="1" t="s">
        <v>81</v>
      </c>
      <c r="N792" s="1" t="s">
        <v>1746</v>
      </c>
      <c r="O792" s="1"/>
      <c r="P792" s="1" t="s">
        <v>1278</v>
      </c>
      <c r="Q792" s="1" t="s">
        <v>14512</v>
      </c>
      <c r="R792" s="1" t="s">
        <v>14513</v>
      </c>
      <c r="S792" s="1">
        <v>9937562879</v>
      </c>
      <c r="T792" s="1" t="s">
        <v>9138</v>
      </c>
      <c r="U792" s="1" t="s">
        <v>14514</v>
      </c>
      <c r="V792" s="1">
        <v>9853842707</v>
      </c>
      <c r="W792" s="1" t="s">
        <v>651</v>
      </c>
      <c r="X792" s="1" t="s">
        <v>14515</v>
      </c>
      <c r="Y792" s="1" t="s">
        <v>2096</v>
      </c>
      <c r="Z792" s="1" t="s">
        <v>1731</v>
      </c>
      <c r="AA792" s="1" t="s">
        <v>14515</v>
      </c>
      <c r="AB792" s="1" t="s">
        <v>2096</v>
      </c>
      <c r="AC792" s="1" t="s">
        <v>1731</v>
      </c>
      <c r="AD792" s="1">
        <v>9.82</v>
      </c>
      <c r="AE792" s="1" t="s">
        <v>93</v>
      </c>
      <c r="AF792" s="1" t="s">
        <v>14516</v>
      </c>
      <c r="AG792" s="1" t="s">
        <v>1152</v>
      </c>
      <c r="AH792" s="1" t="s">
        <v>1197</v>
      </c>
      <c r="AI792" s="1" t="s">
        <v>131</v>
      </c>
      <c r="AJ792" s="1">
        <v>69</v>
      </c>
      <c r="AK792" s="1"/>
      <c r="AL792" s="1" t="s">
        <v>14517</v>
      </c>
      <c r="AM792" s="1" t="s">
        <v>939</v>
      </c>
      <c r="AN792" s="1" t="s">
        <v>527</v>
      </c>
      <c r="AO792" s="1" t="s">
        <v>479</v>
      </c>
      <c r="AP792" s="1">
        <v>61</v>
      </c>
      <c r="AQ792" s="1"/>
      <c r="AR792" s="1"/>
      <c r="AS792" s="1"/>
      <c r="AT792" s="1"/>
      <c r="AU792" s="1"/>
      <c r="AV792" s="1"/>
      <c r="AW792" s="1"/>
      <c r="AX792" s="1" t="s">
        <v>5863</v>
      </c>
      <c r="AY792" s="1" t="s">
        <v>14518</v>
      </c>
      <c r="AZ792" s="1" t="s">
        <v>165</v>
      </c>
      <c r="BA792" s="1" t="s">
        <v>1712</v>
      </c>
      <c r="BB792" s="1">
        <v>79.9</v>
      </c>
      <c r="BC792" s="1">
        <v>7.99</v>
      </c>
      <c r="BD792" s="1"/>
      <c r="BE792" s="1"/>
      <c r="BF792" s="1"/>
      <c r="BG792" s="1"/>
      <c r="BH792" s="1"/>
      <c r="BI792" s="1"/>
      <c r="BJ792" s="1" t="s">
        <v>14519</v>
      </c>
      <c r="BK792" s="1" t="s">
        <v>14520</v>
      </c>
      <c r="BL792" s="1" t="s">
        <v>14521</v>
      </c>
      <c r="BM792" s="1" t="s">
        <v>14522</v>
      </c>
      <c r="BN792" s="1">
        <v>8</v>
      </c>
      <c r="BO792" s="1"/>
      <c r="BP792" s="1" t="str">
        <f>HYPERLINK("https://nconnect.nicmar.ac.in/storage/profile/ProfilePhoto_P25702001_634892.jpg","Download")</f>
        <v>0</v>
      </c>
      <c r="BQ792" s="3"/>
      <c r="BR792" s="3"/>
    </row>
    <row r="793" spans="1:70">
      <c r="A793" s="1" t="s">
        <v>441</v>
      </c>
      <c r="B793" s="1" t="s">
        <v>1269</v>
      </c>
      <c r="C793" s="1" t="s">
        <v>14523</v>
      </c>
      <c r="D793" s="1" t="s">
        <v>12277</v>
      </c>
      <c r="E793" s="1" t="s">
        <v>1876</v>
      </c>
      <c r="F793" s="1" t="s">
        <v>14524</v>
      </c>
      <c r="G793" s="1" t="s">
        <v>14525</v>
      </c>
      <c r="H793" s="1" t="s">
        <v>14526</v>
      </c>
      <c r="I793" s="1" t="s">
        <v>14527</v>
      </c>
      <c r="J793" s="1">
        <v>9987557698</v>
      </c>
      <c r="K793" s="1" t="s">
        <v>148</v>
      </c>
      <c r="L793" s="1" t="s">
        <v>14528</v>
      </c>
      <c r="M793" s="1" t="s">
        <v>81</v>
      </c>
      <c r="N793" s="1" t="s">
        <v>2008</v>
      </c>
      <c r="O793" s="1"/>
      <c r="P793" s="1" t="s">
        <v>1323</v>
      </c>
      <c r="Q793" s="1" t="s">
        <v>14529</v>
      </c>
      <c r="R793" s="1" t="s">
        <v>1876</v>
      </c>
      <c r="S793" s="1">
        <v>9987557697</v>
      </c>
      <c r="T793" s="1" t="s">
        <v>842</v>
      </c>
      <c r="U793" s="1" t="s">
        <v>693</v>
      </c>
      <c r="V793" s="1">
        <v>8108911444</v>
      </c>
      <c r="W793" s="1" t="s">
        <v>122</v>
      </c>
      <c r="X793" s="1" t="s">
        <v>14530</v>
      </c>
      <c r="Y793" s="1" t="s">
        <v>191</v>
      </c>
      <c r="Z793" s="1" t="s">
        <v>92</v>
      </c>
      <c r="AA793" s="1" t="s">
        <v>14531</v>
      </c>
      <c r="AB793" s="1" t="s">
        <v>766</v>
      </c>
      <c r="AC793" s="1" t="s">
        <v>92</v>
      </c>
      <c r="AD793" s="1">
        <v>8.64</v>
      </c>
      <c r="AE793" s="1" t="s">
        <v>93</v>
      </c>
      <c r="AF793" s="1" t="s">
        <v>14532</v>
      </c>
      <c r="AG793" s="1" t="s">
        <v>14533</v>
      </c>
      <c r="AH793" s="1" t="s">
        <v>1240</v>
      </c>
      <c r="AI793" s="1" t="s">
        <v>456</v>
      </c>
      <c r="AJ793" s="1">
        <v>86.8</v>
      </c>
      <c r="AK793" s="1"/>
      <c r="AL793" s="1" t="s">
        <v>14534</v>
      </c>
      <c r="AM793" s="1" t="s">
        <v>14533</v>
      </c>
      <c r="AN793" s="1" t="s">
        <v>162</v>
      </c>
      <c r="AO793" s="1" t="s">
        <v>457</v>
      </c>
      <c r="AP793" s="1">
        <v>63.08</v>
      </c>
      <c r="AQ793" s="1"/>
      <c r="AR793" s="1"/>
      <c r="AS793" s="1"/>
      <c r="AT793" s="1"/>
      <c r="AU793" s="1"/>
      <c r="AV793" s="1"/>
      <c r="AW793" s="1"/>
      <c r="AX793" s="1" t="s">
        <v>1024</v>
      </c>
      <c r="AY793" s="1" t="s">
        <v>14535</v>
      </c>
      <c r="AZ793" s="1" t="s">
        <v>101</v>
      </c>
      <c r="BA793" s="1" t="s">
        <v>590</v>
      </c>
      <c r="BB793" s="1">
        <v>75.04</v>
      </c>
      <c r="BC793" s="1">
        <v>8.52</v>
      </c>
      <c r="BD793" s="1"/>
      <c r="BE793" s="1"/>
      <c r="BF793" s="1"/>
      <c r="BG793" s="1"/>
      <c r="BH793" s="1"/>
      <c r="BI793" s="1"/>
      <c r="BJ793" s="1" t="s">
        <v>14536</v>
      </c>
      <c r="BK793" s="1" t="s">
        <v>14537</v>
      </c>
      <c r="BL793" s="1" t="s">
        <v>1561</v>
      </c>
      <c r="BM793" s="1" t="s">
        <v>14538</v>
      </c>
      <c r="BN793" s="1">
        <v>34</v>
      </c>
      <c r="BO793" s="1"/>
      <c r="BP793" s="1" t="str">
        <f>HYPERLINK("https://nconnect.nicmar.ac.in/storage/profile/ProfilePhoto_P25702002_231946.jpg","Download")</f>
        <v>0</v>
      </c>
      <c r="BQ793" s="3"/>
      <c r="BR793" s="3"/>
    </row>
    <row r="794" spans="1:70">
      <c r="A794" s="1" t="s">
        <v>441</v>
      </c>
      <c r="B794" s="1" t="s">
        <v>1269</v>
      </c>
      <c r="C794" s="1" t="s">
        <v>14539</v>
      </c>
      <c r="D794" s="1" t="s">
        <v>3187</v>
      </c>
      <c r="E794" s="1" t="s">
        <v>1280</v>
      </c>
      <c r="F794" s="1" t="s">
        <v>14540</v>
      </c>
      <c r="G794" s="1" t="s">
        <v>14541</v>
      </c>
      <c r="H794" s="1" t="s">
        <v>14542</v>
      </c>
      <c r="I794" s="1" t="s">
        <v>14543</v>
      </c>
      <c r="J794" s="1">
        <v>7039966448</v>
      </c>
      <c r="K794" s="1" t="s">
        <v>79</v>
      </c>
      <c r="L794" s="1" t="s">
        <v>14544</v>
      </c>
      <c r="M794" s="1" t="s">
        <v>81</v>
      </c>
      <c r="N794" s="1" t="s">
        <v>2008</v>
      </c>
      <c r="O794" s="1"/>
      <c r="P794" s="1" t="s">
        <v>1766</v>
      </c>
      <c r="Q794" s="1" t="s">
        <v>14545</v>
      </c>
      <c r="R794" s="1" t="s">
        <v>14546</v>
      </c>
      <c r="S794" s="1">
        <v>8805022278</v>
      </c>
      <c r="T794" s="1" t="s">
        <v>14491</v>
      </c>
      <c r="U794" s="1" t="s">
        <v>14547</v>
      </c>
      <c r="V794" s="1">
        <v>7045780444</v>
      </c>
      <c r="W794" s="1" t="s">
        <v>14548</v>
      </c>
      <c r="X794" s="1" t="s">
        <v>14549</v>
      </c>
      <c r="Y794" s="1" t="s">
        <v>995</v>
      </c>
      <c r="Z794" s="1" t="s">
        <v>92</v>
      </c>
      <c r="AA794" s="1" t="s">
        <v>14549</v>
      </c>
      <c r="AB794" s="1" t="s">
        <v>995</v>
      </c>
      <c r="AC794" s="1" t="s">
        <v>92</v>
      </c>
      <c r="AD794" s="1">
        <v>7.16</v>
      </c>
      <c r="AE794" s="1" t="s">
        <v>93</v>
      </c>
      <c r="AF794" s="1" t="s">
        <v>14550</v>
      </c>
      <c r="AG794" s="1" t="s">
        <v>5102</v>
      </c>
      <c r="AH794" s="1" t="s">
        <v>503</v>
      </c>
      <c r="AI794" s="1" t="s">
        <v>527</v>
      </c>
      <c r="AJ794" s="1">
        <v>82.8</v>
      </c>
      <c r="AK794" s="1"/>
      <c r="AL794" s="1" t="s">
        <v>14551</v>
      </c>
      <c r="AM794" s="1" t="s">
        <v>5102</v>
      </c>
      <c r="AN794" s="1" t="s">
        <v>165</v>
      </c>
      <c r="AO794" s="1" t="s">
        <v>166</v>
      </c>
      <c r="AP794" s="1">
        <v>57.23</v>
      </c>
      <c r="AQ794" s="1"/>
      <c r="AR794" s="1"/>
      <c r="AS794" s="1"/>
      <c r="AT794" s="1"/>
      <c r="AU794" s="1"/>
      <c r="AV794" s="1"/>
      <c r="AW794" s="1"/>
      <c r="AX794" s="1" t="s">
        <v>1024</v>
      </c>
      <c r="AY794" s="1" t="s">
        <v>14552</v>
      </c>
      <c r="AZ794" s="1" t="s">
        <v>636</v>
      </c>
      <c r="BA794" s="1" t="s">
        <v>682</v>
      </c>
      <c r="BB794" s="1">
        <v>67</v>
      </c>
      <c r="BC794" s="1">
        <v>7.64</v>
      </c>
      <c r="BD794" s="1"/>
      <c r="BE794" s="1"/>
      <c r="BF794" s="1"/>
      <c r="BG794" s="1"/>
      <c r="BH794" s="1"/>
      <c r="BI794" s="1"/>
      <c r="BJ794" s="1" t="s">
        <v>364</v>
      </c>
      <c r="BK794" s="1"/>
      <c r="BL794" s="1"/>
      <c r="BM794" s="1" t="s">
        <v>14553</v>
      </c>
      <c r="BN794" s="1">
        <v>30</v>
      </c>
      <c r="BO794" s="1" t="s">
        <v>14554</v>
      </c>
      <c r="BP794" s="1" t="str">
        <f>HYPERLINK("https://nconnect.nicmar.ac.in/storage/profile/ProfilePhoto_P25702003_496738.jpg","Download")</f>
        <v>0</v>
      </c>
      <c r="BQ794" s="3"/>
      <c r="BR794" s="3"/>
    </row>
    <row r="795" spans="1:70">
      <c r="A795" s="1" t="s">
        <v>441</v>
      </c>
      <c r="B795" s="1" t="s">
        <v>1269</v>
      </c>
      <c r="C795" s="1" t="s">
        <v>14555</v>
      </c>
      <c r="D795" s="1" t="s">
        <v>14556</v>
      </c>
      <c r="E795" s="1"/>
      <c r="F795" s="1" t="s">
        <v>14557</v>
      </c>
      <c r="G795" s="1" t="s">
        <v>14558</v>
      </c>
      <c r="H795" s="1" t="s">
        <v>14559</v>
      </c>
      <c r="I795" s="1" t="s">
        <v>14560</v>
      </c>
      <c r="J795" s="1">
        <v>8999352941</v>
      </c>
      <c r="K795" s="1" t="s">
        <v>79</v>
      </c>
      <c r="L795" s="1" t="s">
        <v>5783</v>
      </c>
      <c r="M795" s="1" t="s">
        <v>81</v>
      </c>
      <c r="N795" s="1" t="s">
        <v>14561</v>
      </c>
      <c r="O795" s="1"/>
      <c r="P795" s="1" t="s">
        <v>1323</v>
      </c>
      <c r="Q795" s="1" t="s">
        <v>14562</v>
      </c>
      <c r="R795" s="1" t="s">
        <v>14563</v>
      </c>
      <c r="S795" s="1">
        <v>9822134050</v>
      </c>
      <c r="T795" s="1" t="s">
        <v>4486</v>
      </c>
      <c r="U795" s="1" t="s">
        <v>14564</v>
      </c>
      <c r="V795" s="1">
        <v>9096876414</v>
      </c>
      <c r="W795" s="1" t="s">
        <v>156</v>
      </c>
      <c r="X795" s="1" t="s">
        <v>14565</v>
      </c>
      <c r="Y795" s="1" t="s">
        <v>7266</v>
      </c>
      <c r="Z795" s="1" t="s">
        <v>500</v>
      </c>
      <c r="AA795" s="1" t="s">
        <v>14565</v>
      </c>
      <c r="AB795" s="1" t="s">
        <v>7266</v>
      </c>
      <c r="AC795" s="1" t="s">
        <v>500</v>
      </c>
      <c r="AD795" s="1">
        <v>8.77</v>
      </c>
      <c r="AE795" s="1" t="s">
        <v>93</v>
      </c>
      <c r="AF795" s="1" t="s">
        <v>14566</v>
      </c>
      <c r="AG795" s="1" t="s">
        <v>14567</v>
      </c>
      <c r="AH795" s="1" t="s">
        <v>383</v>
      </c>
      <c r="AI795" s="1" t="s">
        <v>101</v>
      </c>
      <c r="AJ795" s="1">
        <v>73</v>
      </c>
      <c r="AK795" s="1"/>
      <c r="AL795" s="1" t="s">
        <v>14568</v>
      </c>
      <c r="AM795" s="1" t="s">
        <v>14567</v>
      </c>
      <c r="AN795" s="1" t="s">
        <v>310</v>
      </c>
      <c r="AO795" s="1" t="s">
        <v>699</v>
      </c>
      <c r="AP795" s="1">
        <v>54.33</v>
      </c>
      <c r="AQ795" s="1"/>
      <c r="AR795" s="1"/>
      <c r="AS795" s="1"/>
      <c r="AT795" s="1"/>
      <c r="AU795" s="1"/>
      <c r="AV795" s="1"/>
      <c r="AW795" s="1"/>
      <c r="AX795" s="1" t="s">
        <v>14569</v>
      </c>
      <c r="AY795" s="1" t="s">
        <v>14569</v>
      </c>
      <c r="AZ795" s="1" t="s">
        <v>681</v>
      </c>
      <c r="BA795" s="1" t="s">
        <v>202</v>
      </c>
      <c r="BB795" s="1">
        <v>67.6</v>
      </c>
      <c r="BC795" s="1">
        <v>7.26</v>
      </c>
      <c r="BD795" s="1"/>
      <c r="BE795" s="1"/>
      <c r="BF795" s="1"/>
      <c r="BG795" s="1"/>
      <c r="BH795" s="1"/>
      <c r="BI795" s="1"/>
      <c r="BJ795" s="1" t="s">
        <v>14570</v>
      </c>
      <c r="BK795" s="1" t="s">
        <v>14571</v>
      </c>
      <c r="BL795" s="1" t="s">
        <v>1289</v>
      </c>
      <c r="BM795" s="1" t="s">
        <v>14572</v>
      </c>
      <c r="BN795" s="1">
        <v>15</v>
      </c>
      <c r="BO795" s="1" t="s">
        <v>14573</v>
      </c>
      <c r="BP795" s="1" t="str">
        <f>HYPERLINK("https://nconnect.nicmar.ac.in/storage/profile/ProfilePhoto_P25702005_782691.jpg","Download")</f>
        <v>0</v>
      </c>
      <c r="BQ795" s="3"/>
      <c r="BR795" s="3"/>
    </row>
    <row r="796" spans="1:70">
      <c r="A796" s="1" t="s">
        <v>441</v>
      </c>
      <c r="B796" s="1" t="s">
        <v>1269</v>
      </c>
      <c r="C796" s="1" t="s">
        <v>14574</v>
      </c>
      <c r="D796" s="1" t="s">
        <v>7517</v>
      </c>
      <c r="E796" s="1"/>
      <c r="F796" s="1" t="s">
        <v>5688</v>
      </c>
      <c r="G796" s="1" t="s">
        <v>14575</v>
      </c>
      <c r="H796" s="1" t="s">
        <v>14576</v>
      </c>
      <c r="I796" s="1" t="s">
        <v>14577</v>
      </c>
      <c r="J796" s="1">
        <v>8637370613</v>
      </c>
      <c r="K796" s="1" t="s">
        <v>148</v>
      </c>
      <c r="L796" s="1" t="s">
        <v>14578</v>
      </c>
      <c r="M796" s="1" t="s">
        <v>81</v>
      </c>
      <c r="N796" s="1" t="s">
        <v>14579</v>
      </c>
      <c r="O796" s="1"/>
      <c r="P796" s="1" t="s">
        <v>1323</v>
      </c>
      <c r="Q796" s="1" t="s">
        <v>14580</v>
      </c>
      <c r="R796" s="1" t="s">
        <v>14581</v>
      </c>
      <c r="S796" s="1">
        <v>9064080443</v>
      </c>
      <c r="T796" s="1" t="s">
        <v>216</v>
      </c>
      <c r="U796" s="1" t="s">
        <v>14582</v>
      </c>
      <c r="V796" s="1">
        <v>8900644317</v>
      </c>
      <c r="W796" s="1" t="s">
        <v>14583</v>
      </c>
      <c r="X796" s="1" t="s">
        <v>14584</v>
      </c>
      <c r="Y796" s="1" t="s">
        <v>4088</v>
      </c>
      <c r="Z796" s="1" t="s">
        <v>783</v>
      </c>
      <c r="AA796" s="1" t="s">
        <v>14585</v>
      </c>
      <c r="AB796" s="1" t="s">
        <v>2992</v>
      </c>
      <c r="AC796" s="1" t="s">
        <v>846</v>
      </c>
      <c r="AD796" s="1" t="s">
        <v>93</v>
      </c>
      <c r="AE796" s="1" t="s">
        <v>93</v>
      </c>
      <c r="AF796" s="1" t="s">
        <v>14586</v>
      </c>
      <c r="AG796" s="1" t="s">
        <v>307</v>
      </c>
      <c r="AH796" s="1" t="s">
        <v>477</v>
      </c>
      <c r="AI796" s="1" t="s">
        <v>131</v>
      </c>
      <c r="AJ796" s="1">
        <v>83.6</v>
      </c>
      <c r="AK796" s="1">
        <v>8.8</v>
      </c>
      <c r="AL796" s="1" t="s">
        <v>14587</v>
      </c>
      <c r="AM796" s="1" t="s">
        <v>307</v>
      </c>
      <c r="AN796" s="1" t="s">
        <v>678</v>
      </c>
      <c r="AO796" s="1" t="s">
        <v>166</v>
      </c>
      <c r="AP796" s="1">
        <v>70.8</v>
      </c>
      <c r="AQ796" s="1"/>
      <c r="AR796" s="1"/>
      <c r="AS796" s="1"/>
      <c r="AT796" s="1"/>
      <c r="AU796" s="1"/>
      <c r="AV796" s="1"/>
      <c r="AW796" s="1"/>
      <c r="AX796" s="1" t="s">
        <v>5863</v>
      </c>
      <c r="AY796" s="1" t="s">
        <v>14588</v>
      </c>
      <c r="AZ796" s="1" t="s">
        <v>1307</v>
      </c>
      <c r="BA796" s="1" t="s">
        <v>1003</v>
      </c>
      <c r="BB796" s="1">
        <v>84.4</v>
      </c>
      <c r="BC796" s="1">
        <v>8.44</v>
      </c>
      <c r="BD796" s="1"/>
      <c r="BE796" s="1"/>
      <c r="BF796" s="1"/>
      <c r="BG796" s="1"/>
      <c r="BH796" s="1"/>
      <c r="BI796" s="1"/>
      <c r="BJ796" s="1" t="s">
        <v>14589</v>
      </c>
      <c r="BK796" s="1"/>
      <c r="BL796" s="1"/>
      <c r="BM796" s="1"/>
      <c r="BN796" s="1"/>
      <c r="BO796" s="1" t="s">
        <v>14590</v>
      </c>
      <c r="BP796" s="1" t="str">
        <f>HYPERLINK("https://nconnect.nicmar.ac.in/storage/profile/ProfilePhoto_P25702006_129674.jpg","Download")</f>
        <v>0</v>
      </c>
      <c r="BQ796" s="3"/>
      <c r="BR796" s="3"/>
    </row>
    <row r="797" spans="1:70">
      <c r="A797" s="1" t="s">
        <v>441</v>
      </c>
      <c r="B797" s="1" t="s">
        <v>1269</v>
      </c>
      <c r="C797" s="1" t="s">
        <v>14591</v>
      </c>
      <c r="D797" s="1" t="s">
        <v>10680</v>
      </c>
      <c r="E797" s="1"/>
      <c r="F797" s="1" t="s">
        <v>3036</v>
      </c>
      <c r="G797" s="1" t="s">
        <v>14592</v>
      </c>
      <c r="H797" s="1" t="s">
        <v>14593</v>
      </c>
      <c r="I797" s="1" t="s">
        <v>14594</v>
      </c>
      <c r="J797" s="1">
        <v>8789890323</v>
      </c>
      <c r="K797" s="1" t="s">
        <v>148</v>
      </c>
      <c r="L797" s="1" t="s">
        <v>14595</v>
      </c>
      <c r="M797" s="1" t="s">
        <v>81</v>
      </c>
      <c r="N797" s="1" t="s">
        <v>241</v>
      </c>
      <c r="O797" s="1"/>
      <c r="P797" s="1" t="s">
        <v>1278</v>
      </c>
      <c r="Q797" s="1" t="s">
        <v>14596</v>
      </c>
      <c r="R797" s="1" t="s">
        <v>14597</v>
      </c>
      <c r="S797" s="1">
        <v>9431305005</v>
      </c>
      <c r="T797" s="1" t="s">
        <v>496</v>
      </c>
      <c r="U797" s="1" t="s">
        <v>14598</v>
      </c>
      <c r="V797" s="1">
        <v>9439947894</v>
      </c>
      <c r="W797" s="1" t="s">
        <v>89</v>
      </c>
      <c r="X797" s="1" t="s">
        <v>14599</v>
      </c>
      <c r="Y797" s="1" t="s">
        <v>14600</v>
      </c>
      <c r="Z797" s="1" t="s">
        <v>3774</v>
      </c>
      <c r="AA797" s="1" t="s">
        <v>14599</v>
      </c>
      <c r="AB797" s="1" t="s">
        <v>14600</v>
      </c>
      <c r="AC797" s="1" t="s">
        <v>3774</v>
      </c>
      <c r="AD797" s="1">
        <v>9.5</v>
      </c>
      <c r="AE797" s="1" t="s">
        <v>93</v>
      </c>
      <c r="AF797" s="1" t="s">
        <v>14601</v>
      </c>
      <c r="AG797" s="1" t="s">
        <v>14602</v>
      </c>
      <c r="AH797" s="1" t="s">
        <v>477</v>
      </c>
      <c r="AI797" s="1" t="s">
        <v>131</v>
      </c>
      <c r="AJ797" s="1">
        <v>89</v>
      </c>
      <c r="AK797" s="1"/>
      <c r="AL797" s="1" t="s">
        <v>14601</v>
      </c>
      <c r="AM797" s="1" t="s">
        <v>14603</v>
      </c>
      <c r="AN797" s="1" t="s">
        <v>279</v>
      </c>
      <c r="AO797" s="1" t="s">
        <v>479</v>
      </c>
      <c r="AP797" s="1">
        <v>81.17</v>
      </c>
      <c r="AQ797" s="1"/>
      <c r="AR797" s="1"/>
      <c r="AS797" s="1"/>
      <c r="AT797" s="1"/>
      <c r="AU797" s="1"/>
      <c r="AV797" s="1"/>
      <c r="AW797" s="1"/>
      <c r="AX797" s="1" t="s">
        <v>14604</v>
      </c>
      <c r="AY797" s="1" t="s">
        <v>14604</v>
      </c>
      <c r="AZ797" s="1" t="s">
        <v>383</v>
      </c>
      <c r="BA797" s="1" t="s">
        <v>284</v>
      </c>
      <c r="BB797" s="1">
        <v>79.3</v>
      </c>
      <c r="BC797" s="1">
        <v>7.93</v>
      </c>
      <c r="BD797" s="1"/>
      <c r="BE797" s="1"/>
      <c r="BF797" s="1"/>
      <c r="BG797" s="1"/>
      <c r="BH797" s="1"/>
      <c r="BI797" s="1"/>
      <c r="BJ797" s="1" t="s">
        <v>14605</v>
      </c>
      <c r="BK797" s="1" t="s">
        <v>14606</v>
      </c>
      <c r="BL797" s="1" t="s">
        <v>9779</v>
      </c>
      <c r="BM797" s="1" t="s">
        <v>14607</v>
      </c>
      <c r="BN797" s="1">
        <v>30</v>
      </c>
      <c r="BO797" s="1" t="s">
        <v>14608</v>
      </c>
      <c r="BP797" s="1" t="str">
        <f>HYPERLINK("https://nconnect.nicmar.ac.in/storage/profile/ProfilePhoto_P25702007_643529.jpg","Download")</f>
        <v>0</v>
      </c>
      <c r="BQ797" s="3"/>
      <c r="BR797" s="3"/>
    </row>
    <row r="798" spans="1:70">
      <c r="A798" s="1" t="s">
        <v>441</v>
      </c>
      <c r="B798" s="1" t="s">
        <v>1269</v>
      </c>
      <c r="C798" s="1" t="s">
        <v>14609</v>
      </c>
      <c r="D798" s="1" t="s">
        <v>9078</v>
      </c>
      <c r="E798" s="1"/>
      <c r="F798" s="1" t="s">
        <v>14610</v>
      </c>
      <c r="G798" s="1" t="s">
        <v>14611</v>
      </c>
      <c r="H798" s="1" t="s">
        <v>14612</v>
      </c>
      <c r="I798" s="1" t="s">
        <v>14613</v>
      </c>
      <c r="J798" s="1">
        <v>8105266479</v>
      </c>
      <c r="K798" s="1" t="s">
        <v>79</v>
      </c>
      <c r="L798" s="1" t="s">
        <v>3098</v>
      </c>
      <c r="M798" s="1" t="s">
        <v>81</v>
      </c>
      <c r="N798" s="1" t="s">
        <v>11662</v>
      </c>
      <c r="O798" s="1"/>
      <c r="P798" s="1" t="s">
        <v>1766</v>
      </c>
      <c r="Q798" s="1" t="s">
        <v>14614</v>
      </c>
      <c r="R798" s="1" t="s">
        <v>14615</v>
      </c>
      <c r="S798" s="1">
        <v>7888399160</v>
      </c>
      <c r="T798" s="1" t="s">
        <v>14616</v>
      </c>
      <c r="U798" s="1" t="s">
        <v>14617</v>
      </c>
      <c r="V798" s="1">
        <v>9611261776</v>
      </c>
      <c r="W798" s="1" t="s">
        <v>122</v>
      </c>
      <c r="X798" s="1" t="s">
        <v>14618</v>
      </c>
      <c r="Y798" s="1" t="s">
        <v>1083</v>
      </c>
      <c r="Z798" s="1" t="s">
        <v>1084</v>
      </c>
      <c r="AA798" s="1" t="s">
        <v>14618</v>
      </c>
      <c r="AB798" s="1" t="s">
        <v>1083</v>
      </c>
      <c r="AC798" s="1" t="s">
        <v>1084</v>
      </c>
      <c r="AD798" s="1">
        <v>8.32</v>
      </c>
      <c r="AE798" s="1" t="s">
        <v>93</v>
      </c>
      <c r="AF798" s="1" t="s">
        <v>14619</v>
      </c>
      <c r="AG798" s="1" t="s">
        <v>14620</v>
      </c>
      <c r="AH798" s="1" t="s">
        <v>162</v>
      </c>
      <c r="AI798" s="1" t="s">
        <v>165</v>
      </c>
      <c r="AJ798" s="1">
        <v>91.2</v>
      </c>
      <c r="AK798" s="1">
        <v>9.6</v>
      </c>
      <c r="AL798" s="1" t="s">
        <v>14621</v>
      </c>
      <c r="AM798" s="1" t="s">
        <v>2056</v>
      </c>
      <c r="AN798" s="1" t="s">
        <v>101</v>
      </c>
      <c r="AO798" s="1" t="s">
        <v>433</v>
      </c>
      <c r="AP798" s="1">
        <v>64.16</v>
      </c>
      <c r="AQ798" s="1"/>
      <c r="AR798" s="1"/>
      <c r="AS798" s="1"/>
      <c r="AT798" s="1"/>
      <c r="AU798" s="1"/>
      <c r="AV798" s="1"/>
      <c r="AW798" s="1"/>
      <c r="AX798" s="1" t="s">
        <v>14622</v>
      </c>
      <c r="AY798" s="1" t="s">
        <v>14623</v>
      </c>
      <c r="AZ798" s="1" t="s">
        <v>310</v>
      </c>
      <c r="BA798" s="1" t="s">
        <v>2632</v>
      </c>
      <c r="BB798" s="1">
        <v>72.5</v>
      </c>
      <c r="BC798" s="1">
        <v>7.25</v>
      </c>
      <c r="BD798" s="1"/>
      <c r="BE798" s="1"/>
      <c r="BF798" s="1"/>
      <c r="BG798" s="1"/>
      <c r="BH798" s="1"/>
      <c r="BI798" s="1"/>
      <c r="BJ798" s="1" t="s">
        <v>14624</v>
      </c>
      <c r="BK798" s="1"/>
      <c r="BL798" s="1"/>
      <c r="BM798" s="1"/>
      <c r="BN798" s="1"/>
      <c r="BO798" s="1"/>
      <c r="BP798" s="1" t="str">
        <f>HYPERLINK("https://nconnect.nicmar.ac.in/storage/profile/ProfilePhoto_P25702008_452319.jpg","Download")</f>
        <v>0</v>
      </c>
      <c r="BQ798" s="3"/>
      <c r="BR798" s="3"/>
    </row>
    <row r="799" spans="1:70">
      <c r="A799" s="1" t="s">
        <v>441</v>
      </c>
      <c r="B799" s="1" t="s">
        <v>1269</v>
      </c>
      <c r="C799" s="1" t="s">
        <v>14625</v>
      </c>
      <c r="D799" s="1" t="s">
        <v>4153</v>
      </c>
      <c r="E799" s="1" t="s">
        <v>14626</v>
      </c>
      <c r="F799" s="1" t="s">
        <v>14627</v>
      </c>
      <c r="G799" s="1" t="s">
        <v>14628</v>
      </c>
      <c r="H799" s="1" t="s">
        <v>14629</v>
      </c>
      <c r="I799" s="1" t="s">
        <v>14630</v>
      </c>
      <c r="J799" s="1">
        <v>9892727082</v>
      </c>
      <c r="K799" s="1" t="s">
        <v>79</v>
      </c>
      <c r="L799" s="1" t="s">
        <v>4980</v>
      </c>
      <c r="M799" s="1" t="s">
        <v>81</v>
      </c>
      <c r="N799" s="1" t="s">
        <v>1765</v>
      </c>
      <c r="O799" s="1"/>
      <c r="P799" s="1" t="s">
        <v>1278</v>
      </c>
      <c r="Q799" s="1" t="s">
        <v>14631</v>
      </c>
      <c r="R799" s="1" t="s">
        <v>14632</v>
      </c>
      <c r="S799" s="1">
        <v>9757303741</v>
      </c>
      <c r="T799" s="1" t="s">
        <v>14633</v>
      </c>
      <c r="U799" s="1" t="s">
        <v>14634</v>
      </c>
      <c r="V799" s="1">
        <v>8652423781</v>
      </c>
      <c r="W799" s="1" t="s">
        <v>651</v>
      </c>
      <c r="X799" s="1" t="s">
        <v>14635</v>
      </c>
      <c r="Y799" s="1" t="s">
        <v>995</v>
      </c>
      <c r="Z799" s="1" t="s">
        <v>92</v>
      </c>
      <c r="AA799" s="1" t="s">
        <v>14635</v>
      </c>
      <c r="AB799" s="1" t="s">
        <v>995</v>
      </c>
      <c r="AC799" s="1" t="s">
        <v>92</v>
      </c>
      <c r="AD799" s="1">
        <v>8.08</v>
      </c>
      <c r="AE799" s="1" t="s">
        <v>93</v>
      </c>
      <c r="AF799" s="1" t="s">
        <v>14636</v>
      </c>
      <c r="AG799" s="1" t="s">
        <v>476</v>
      </c>
      <c r="AH799" s="1" t="s">
        <v>279</v>
      </c>
      <c r="AI799" s="1" t="s">
        <v>195</v>
      </c>
      <c r="AJ799" s="1">
        <v>72</v>
      </c>
      <c r="AK799" s="1">
        <v>0</v>
      </c>
      <c r="AL799" s="1" t="s">
        <v>14637</v>
      </c>
      <c r="AM799" s="1" t="s">
        <v>476</v>
      </c>
      <c r="AN799" s="1" t="s">
        <v>101</v>
      </c>
      <c r="AO799" s="1" t="s">
        <v>308</v>
      </c>
      <c r="AP799" s="1">
        <v>56.15</v>
      </c>
      <c r="AQ799" s="1">
        <v>0</v>
      </c>
      <c r="AR799" s="1"/>
      <c r="AS799" s="1"/>
      <c r="AT799" s="1"/>
      <c r="AU799" s="1"/>
      <c r="AV799" s="1"/>
      <c r="AW799" s="1"/>
      <c r="AX799" s="1" t="s">
        <v>253</v>
      </c>
      <c r="AY799" s="1" t="s">
        <v>14638</v>
      </c>
      <c r="AZ799" s="1" t="s">
        <v>201</v>
      </c>
      <c r="BA799" s="1" t="s">
        <v>174</v>
      </c>
      <c r="BB799" s="1">
        <v>74.63</v>
      </c>
      <c r="BC799" s="1">
        <v>8.35</v>
      </c>
      <c r="BD799" s="1"/>
      <c r="BE799" s="1"/>
      <c r="BF799" s="1"/>
      <c r="BG799" s="1"/>
      <c r="BH799" s="1"/>
      <c r="BI799" s="1"/>
      <c r="BJ799" s="1" t="s">
        <v>14639</v>
      </c>
      <c r="BK799" s="1"/>
      <c r="BL799" s="1"/>
      <c r="BM799" s="1" t="s">
        <v>14640</v>
      </c>
      <c r="BN799" s="1">
        <v>15</v>
      </c>
      <c r="BO799" s="1" t="s">
        <v>14641</v>
      </c>
      <c r="BP799" s="1" t="str">
        <f>HYPERLINK("https://nconnect.nicmar.ac.in/storage/profile/ProfilePhoto_P25702009_718354.jpg","Download")</f>
        <v>0</v>
      </c>
      <c r="BQ799" s="3"/>
      <c r="BR799" s="3"/>
    </row>
    <row r="800" spans="1:70">
      <c r="A800" s="1" t="s">
        <v>441</v>
      </c>
      <c r="B800" s="1" t="s">
        <v>1269</v>
      </c>
      <c r="C800" s="1" t="s">
        <v>14642</v>
      </c>
      <c r="D800" s="1" t="s">
        <v>112</v>
      </c>
      <c r="E800" s="1" t="s">
        <v>12008</v>
      </c>
      <c r="F800" s="1" t="s">
        <v>6457</v>
      </c>
      <c r="G800" s="1" t="s">
        <v>14643</v>
      </c>
      <c r="H800" s="1" t="s">
        <v>14644</v>
      </c>
      <c r="I800" s="1" t="s">
        <v>14645</v>
      </c>
      <c r="J800" s="1">
        <v>7043115350</v>
      </c>
      <c r="K800" s="1" t="s">
        <v>79</v>
      </c>
      <c r="L800" s="1" t="s">
        <v>1297</v>
      </c>
      <c r="M800" s="1" t="s">
        <v>81</v>
      </c>
      <c r="N800" s="1" t="s">
        <v>14646</v>
      </c>
      <c r="O800" s="1"/>
      <c r="P800" s="1" t="s">
        <v>1323</v>
      </c>
      <c r="Q800" s="1" t="s">
        <v>14647</v>
      </c>
      <c r="R800" s="1" t="s">
        <v>14648</v>
      </c>
      <c r="S800" s="1">
        <v>9725117523</v>
      </c>
      <c r="T800" s="1" t="s">
        <v>763</v>
      </c>
      <c r="U800" s="1" t="s">
        <v>14649</v>
      </c>
      <c r="V800" s="1">
        <v>9998140784</v>
      </c>
      <c r="W800" s="1" t="s">
        <v>763</v>
      </c>
      <c r="X800" s="1" t="s">
        <v>14650</v>
      </c>
      <c r="Y800" s="1" t="s">
        <v>3689</v>
      </c>
      <c r="Z800" s="1" t="s">
        <v>1468</v>
      </c>
      <c r="AA800" s="1" t="s">
        <v>14650</v>
      </c>
      <c r="AB800" s="1" t="s">
        <v>3689</v>
      </c>
      <c r="AC800" s="1" t="s">
        <v>1468</v>
      </c>
      <c r="AD800" s="1">
        <v>7.03</v>
      </c>
      <c r="AE800" s="1" t="s">
        <v>93</v>
      </c>
      <c r="AF800" s="1" t="s">
        <v>14651</v>
      </c>
      <c r="AG800" s="1" t="s">
        <v>9422</v>
      </c>
      <c r="AH800" s="1" t="s">
        <v>101</v>
      </c>
      <c r="AI800" s="1" t="s">
        <v>409</v>
      </c>
      <c r="AJ800" s="1">
        <v>59.83</v>
      </c>
      <c r="AK800" s="1">
        <v>0</v>
      </c>
      <c r="AL800" s="1" t="s">
        <v>14652</v>
      </c>
      <c r="AM800" s="1" t="s">
        <v>10754</v>
      </c>
      <c r="AN800" s="1" t="s">
        <v>433</v>
      </c>
      <c r="AO800" s="1" t="s">
        <v>506</v>
      </c>
      <c r="AP800" s="1">
        <v>56.4</v>
      </c>
      <c r="AQ800" s="1">
        <v>0</v>
      </c>
      <c r="AR800" s="1"/>
      <c r="AS800" s="1"/>
      <c r="AT800" s="1"/>
      <c r="AU800" s="1"/>
      <c r="AV800" s="1"/>
      <c r="AW800" s="1"/>
      <c r="AX800" s="1" t="s">
        <v>14653</v>
      </c>
      <c r="AY800" s="1" t="s">
        <v>14653</v>
      </c>
      <c r="AZ800" s="1" t="s">
        <v>1051</v>
      </c>
      <c r="BA800" s="1" t="s">
        <v>3165</v>
      </c>
      <c r="BB800" s="1">
        <v>55.8</v>
      </c>
      <c r="BC800" s="1">
        <v>5.58</v>
      </c>
      <c r="BD800" s="1"/>
      <c r="BE800" s="1"/>
      <c r="BF800" s="1"/>
      <c r="BG800" s="1"/>
      <c r="BH800" s="1"/>
      <c r="BI800" s="1"/>
      <c r="BJ800" s="1" t="s">
        <v>14654</v>
      </c>
      <c r="BK800" s="1"/>
      <c r="BL800" s="1"/>
      <c r="BM800" s="1" t="s">
        <v>14655</v>
      </c>
      <c r="BN800" s="1">
        <v>8</v>
      </c>
      <c r="BO800" s="1"/>
      <c r="BP800" s="1" t="str">
        <f>HYPERLINK("https://nconnect.nicmar.ac.in/storage/profile/ProfilePhoto_P25702010_942758.jpg","Download")</f>
        <v>0</v>
      </c>
      <c r="BQ800" s="3"/>
      <c r="BR800" s="3"/>
    </row>
    <row r="801" spans="1:70">
      <c r="A801" s="1" t="s">
        <v>441</v>
      </c>
      <c r="B801" s="1" t="s">
        <v>1269</v>
      </c>
      <c r="C801" s="1" t="s">
        <v>14656</v>
      </c>
      <c r="D801" s="1" t="s">
        <v>4024</v>
      </c>
      <c r="E801" s="1"/>
      <c r="F801" s="1" t="s">
        <v>14657</v>
      </c>
      <c r="G801" s="1" t="s">
        <v>14658</v>
      </c>
      <c r="H801" s="1" t="s">
        <v>14659</v>
      </c>
      <c r="I801" s="1" t="s">
        <v>14660</v>
      </c>
      <c r="J801" s="1">
        <v>8637816940</v>
      </c>
      <c r="K801" s="1" t="s">
        <v>148</v>
      </c>
      <c r="L801" s="1" t="s">
        <v>14661</v>
      </c>
      <c r="M801" s="1" t="s">
        <v>81</v>
      </c>
      <c r="N801" s="1" t="s">
        <v>14662</v>
      </c>
      <c r="O801" s="1"/>
      <c r="P801" s="1" t="s">
        <v>1298</v>
      </c>
      <c r="Q801" s="1" t="s">
        <v>14663</v>
      </c>
      <c r="R801" s="1" t="s">
        <v>14664</v>
      </c>
      <c r="S801" s="1">
        <v>9932067540</v>
      </c>
      <c r="T801" s="1" t="s">
        <v>14665</v>
      </c>
      <c r="U801" s="1" t="s">
        <v>14666</v>
      </c>
      <c r="V801" s="1">
        <v>9434496187</v>
      </c>
      <c r="W801" s="1" t="s">
        <v>14667</v>
      </c>
      <c r="X801" s="1" t="s">
        <v>14668</v>
      </c>
      <c r="Y801" s="1" t="s">
        <v>12383</v>
      </c>
      <c r="Z801" s="1" t="s">
        <v>783</v>
      </c>
      <c r="AA801" s="1" t="s">
        <v>14669</v>
      </c>
      <c r="AB801" s="1" t="s">
        <v>14670</v>
      </c>
      <c r="AC801" s="1" t="s">
        <v>783</v>
      </c>
      <c r="AD801" s="1">
        <v>9.47</v>
      </c>
      <c r="AE801" s="1" t="s">
        <v>93</v>
      </c>
      <c r="AF801" s="1" t="s">
        <v>14671</v>
      </c>
      <c r="AG801" s="1" t="s">
        <v>14672</v>
      </c>
      <c r="AH801" s="1" t="s">
        <v>279</v>
      </c>
      <c r="AI801" s="1" t="s">
        <v>479</v>
      </c>
      <c r="AJ801" s="1">
        <v>92.5</v>
      </c>
      <c r="AK801" s="1"/>
      <c r="AL801" s="1" t="s">
        <v>14673</v>
      </c>
      <c r="AM801" s="1" t="s">
        <v>894</v>
      </c>
      <c r="AN801" s="1" t="s">
        <v>1307</v>
      </c>
      <c r="AO801" s="1" t="s">
        <v>308</v>
      </c>
      <c r="AP801" s="1">
        <v>91.16</v>
      </c>
      <c r="AQ801" s="1"/>
      <c r="AR801" s="1"/>
      <c r="AS801" s="1"/>
      <c r="AT801" s="1"/>
      <c r="AU801" s="1"/>
      <c r="AV801" s="1"/>
      <c r="AW801" s="1"/>
      <c r="AX801" s="1" t="s">
        <v>253</v>
      </c>
      <c r="AY801" s="1" t="s">
        <v>14674</v>
      </c>
      <c r="AZ801" s="1" t="s">
        <v>310</v>
      </c>
      <c r="BA801" s="1" t="s">
        <v>413</v>
      </c>
      <c r="BB801" s="1">
        <v>77.12</v>
      </c>
      <c r="BC801" s="1">
        <v>8.8</v>
      </c>
      <c r="BD801" s="1"/>
      <c r="BE801" s="1"/>
      <c r="BF801" s="1"/>
      <c r="BG801" s="1"/>
      <c r="BH801" s="1"/>
      <c r="BI801" s="1"/>
      <c r="BJ801" s="1" t="s">
        <v>14675</v>
      </c>
      <c r="BK801" s="1" t="s">
        <v>14676</v>
      </c>
      <c r="BL801" s="1" t="s">
        <v>287</v>
      </c>
      <c r="BM801" s="1" t="s">
        <v>14677</v>
      </c>
      <c r="BN801" s="1">
        <v>27</v>
      </c>
      <c r="BO801" s="1" t="s">
        <v>14678</v>
      </c>
      <c r="BP801" s="1" t="str">
        <f>HYPERLINK("https://nconnect.nicmar.ac.in/storage/profile/6a6612129d7f8.png","Download")</f>
        <v>0</v>
      </c>
      <c r="BQ801" s="3"/>
      <c r="BR801" s="3"/>
    </row>
    <row r="802" spans="1:70">
      <c r="A802" s="1" t="s">
        <v>441</v>
      </c>
      <c r="B802" s="1" t="s">
        <v>1269</v>
      </c>
      <c r="C802" s="1" t="s">
        <v>14679</v>
      </c>
      <c r="D802" s="1" t="s">
        <v>1982</v>
      </c>
      <c r="E802" s="1"/>
      <c r="F802" s="1" t="s">
        <v>14680</v>
      </c>
      <c r="G802" s="1" t="s">
        <v>14681</v>
      </c>
      <c r="H802" s="1" t="s">
        <v>14682</v>
      </c>
      <c r="I802" s="1" t="s">
        <v>14683</v>
      </c>
      <c r="J802" s="1">
        <v>8019470537</v>
      </c>
      <c r="K802" s="1" t="s">
        <v>79</v>
      </c>
      <c r="L802" s="1" t="s">
        <v>7622</v>
      </c>
      <c r="M802" s="1" t="s">
        <v>81</v>
      </c>
      <c r="N802" s="1" t="s">
        <v>5056</v>
      </c>
      <c r="O802" s="1"/>
      <c r="P802" s="1" t="s">
        <v>1278</v>
      </c>
      <c r="Q802" s="1" t="s">
        <v>14684</v>
      </c>
      <c r="R802" s="1" t="s">
        <v>14685</v>
      </c>
      <c r="S802" s="1">
        <v>9246524593</v>
      </c>
      <c r="T802" s="1" t="s">
        <v>496</v>
      </c>
      <c r="U802" s="1" t="s">
        <v>14686</v>
      </c>
      <c r="V802" s="1">
        <v>8121146829</v>
      </c>
      <c r="W802" s="1" t="s">
        <v>89</v>
      </c>
      <c r="X802" s="1" t="s">
        <v>14687</v>
      </c>
      <c r="Y802" s="1" t="s">
        <v>608</v>
      </c>
      <c r="Z802" s="1" t="s">
        <v>609</v>
      </c>
      <c r="AA802" s="1" t="s">
        <v>14687</v>
      </c>
      <c r="AB802" s="1" t="s">
        <v>608</v>
      </c>
      <c r="AC802" s="1" t="s">
        <v>609</v>
      </c>
      <c r="AD802" s="1">
        <v>7.32</v>
      </c>
      <c r="AE802" s="1" t="s">
        <v>93</v>
      </c>
      <c r="AF802" s="1" t="s">
        <v>3467</v>
      </c>
      <c r="AG802" s="1" t="s">
        <v>611</v>
      </c>
      <c r="AH802" s="1" t="s">
        <v>733</v>
      </c>
      <c r="AI802" s="1" t="s">
        <v>479</v>
      </c>
      <c r="AJ802" s="1">
        <v>82</v>
      </c>
      <c r="AK802" s="1">
        <v>8.2</v>
      </c>
      <c r="AL802" s="1" t="s">
        <v>2421</v>
      </c>
      <c r="AM802" s="1" t="s">
        <v>7946</v>
      </c>
      <c r="AN802" s="1" t="s">
        <v>383</v>
      </c>
      <c r="AO802" s="1" t="s">
        <v>1065</v>
      </c>
      <c r="AP802" s="1">
        <v>87.3</v>
      </c>
      <c r="AQ802" s="1">
        <v>0</v>
      </c>
      <c r="AR802" s="1"/>
      <c r="AS802" s="1"/>
      <c r="AT802" s="1"/>
      <c r="AU802" s="1"/>
      <c r="AV802" s="1"/>
      <c r="AW802" s="1"/>
      <c r="AX802" s="1" t="s">
        <v>811</v>
      </c>
      <c r="AY802" s="1" t="s">
        <v>14688</v>
      </c>
      <c r="AZ802" s="1" t="s">
        <v>310</v>
      </c>
      <c r="BA802" s="1" t="s">
        <v>481</v>
      </c>
      <c r="BB802" s="1">
        <v>78.8</v>
      </c>
      <c r="BC802" s="1">
        <v>8.38</v>
      </c>
      <c r="BD802" s="1"/>
      <c r="BE802" s="1"/>
      <c r="BF802" s="1"/>
      <c r="BG802" s="1"/>
      <c r="BH802" s="1"/>
      <c r="BI802" s="1"/>
      <c r="BJ802" s="1" t="s">
        <v>4112</v>
      </c>
      <c r="BK802" s="1"/>
      <c r="BL802" s="1"/>
      <c r="BM802" s="1"/>
      <c r="BN802" s="1"/>
      <c r="BO802" s="1" t="s">
        <v>14689</v>
      </c>
      <c r="BP802" s="1" t="str">
        <f>HYPERLINK("https://nconnect.nicmar.ac.in/storage/profile/ProfilePhoto_P25702013_817429.jpg","Download")</f>
        <v>0</v>
      </c>
      <c r="BQ802" s="3"/>
      <c r="BR802" s="3"/>
    </row>
    <row r="803" spans="1:70">
      <c r="A803" s="1" t="s">
        <v>441</v>
      </c>
      <c r="B803" s="1" t="s">
        <v>1269</v>
      </c>
      <c r="C803" s="1" t="s">
        <v>14690</v>
      </c>
      <c r="D803" s="1" t="s">
        <v>5747</v>
      </c>
      <c r="E803" s="1" t="s">
        <v>14691</v>
      </c>
      <c r="F803" s="1" t="s">
        <v>14692</v>
      </c>
      <c r="G803" s="1" t="s">
        <v>14693</v>
      </c>
      <c r="H803" s="1" t="s">
        <v>14694</v>
      </c>
      <c r="I803" s="1" t="s">
        <v>14695</v>
      </c>
      <c r="J803" s="1">
        <v>8307581603</v>
      </c>
      <c r="K803" s="1" t="s">
        <v>148</v>
      </c>
      <c r="L803" s="1" t="s">
        <v>14696</v>
      </c>
      <c r="M803" s="1" t="s">
        <v>81</v>
      </c>
      <c r="N803" s="1" t="s">
        <v>241</v>
      </c>
      <c r="O803" s="1" t="s">
        <v>14697</v>
      </c>
      <c r="P803" s="1" t="s">
        <v>1323</v>
      </c>
      <c r="Q803" s="1" t="s">
        <v>14698</v>
      </c>
      <c r="R803" s="1" t="s">
        <v>14691</v>
      </c>
      <c r="S803" s="1">
        <v>8307581603</v>
      </c>
      <c r="T803" s="1" t="s">
        <v>14699</v>
      </c>
      <c r="U803" s="1" t="s">
        <v>3065</v>
      </c>
      <c r="V803" s="1">
        <v>8550911603</v>
      </c>
      <c r="W803" s="1" t="s">
        <v>273</v>
      </c>
      <c r="X803" s="1" t="s">
        <v>14700</v>
      </c>
      <c r="Y803" s="1" t="s">
        <v>523</v>
      </c>
      <c r="Z803" s="1" t="s">
        <v>92</v>
      </c>
      <c r="AA803" s="1" t="s">
        <v>14700</v>
      </c>
      <c r="AB803" s="1" t="s">
        <v>523</v>
      </c>
      <c r="AC803" s="1" t="s">
        <v>92</v>
      </c>
      <c r="AD803" s="1">
        <v>7.55</v>
      </c>
      <c r="AE803" s="1" t="s">
        <v>93</v>
      </c>
      <c r="AF803" s="1" t="s">
        <v>14701</v>
      </c>
      <c r="AG803" s="1" t="s">
        <v>14702</v>
      </c>
      <c r="AH803" s="1" t="s">
        <v>503</v>
      </c>
      <c r="AI803" s="1" t="s">
        <v>527</v>
      </c>
      <c r="AJ803" s="1">
        <v>85.5</v>
      </c>
      <c r="AK803" s="1">
        <v>9</v>
      </c>
      <c r="AL803" s="1" t="s">
        <v>14703</v>
      </c>
      <c r="AM803" s="1" t="s">
        <v>14704</v>
      </c>
      <c r="AN803" s="1" t="s">
        <v>166</v>
      </c>
      <c r="AO803" s="1" t="s">
        <v>308</v>
      </c>
      <c r="AP803" s="1">
        <v>71.4</v>
      </c>
      <c r="AQ803" s="1"/>
      <c r="AR803" s="1"/>
      <c r="AS803" s="1"/>
      <c r="AT803" s="1"/>
      <c r="AU803" s="1"/>
      <c r="AV803" s="1"/>
      <c r="AW803" s="1"/>
      <c r="AX803" s="1" t="s">
        <v>361</v>
      </c>
      <c r="AY803" s="1" t="s">
        <v>14705</v>
      </c>
      <c r="AZ803" s="1" t="s">
        <v>310</v>
      </c>
      <c r="BA803" s="1" t="s">
        <v>202</v>
      </c>
      <c r="BB803" s="1">
        <v>60.07</v>
      </c>
      <c r="BC803" s="1">
        <v>6.75</v>
      </c>
      <c r="BD803" s="1"/>
      <c r="BE803" s="1"/>
      <c r="BF803" s="1"/>
      <c r="BG803" s="1"/>
      <c r="BH803" s="1"/>
      <c r="BI803" s="1"/>
      <c r="BJ803" s="1" t="s">
        <v>14706</v>
      </c>
      <c r="BK803" s="1" t="s">
        <v>14707</v>
      </c>
      <c r="BL803" s="1" t="s">
        <v>947</v>
      </c>
      <c r="BM803" s="1" t="s">
        <v>14708</v>
      </c>
      <c r="BN803" s="1">
        <v>30</v>
      </c>
      <c r="BO803" s="1"/>
      <c r="BP803" s="1" t="str">
        <f>HYPERLINK("https://nconnect.nicmar.ac.in/storage/profile/ProfilePhoto_P25702014_613248.jpg","Download")</f>
        <v>0</v>
      </c>
      <c r="BQ803" s="3"/>
      <c r="BR803" s="3"/>
    </row>
    <row r="804" spans="1:70">
      <c r="A804" s="1" t="s">
        <v>441</v>
      </c>
      <c r="B804" s="1" t="s">
        <v>1269</v>
      </c>
      <c r="C804" s="1" t="s">
        <v>14709</v>
      </c>
      <c r="D804" s="1" t="s">
        <v>14710</v>
      </c>
      <c r="E804" s="1" t="s">
        <v>1566</v>
      </c>
      <c r="F804" s="1" t="s">
        <v>14711</v>
      </c>
      <c r="G804" s="1" t="s">
        <v>14712</v>
      </c>
      <c r="H804" s="1" t="s">
        <v>14713</v>
      </c>
      <c r="I804" s="1" t="s">
        <v>14714</v>
      </c>
      <c r="J804" s="1">
        <v>9820329908</v>
      </c>
      <c r="K804" s="1" t="s">
        <v>79</v>
      </c>
      <c r="L804" s="1" t="s">
        <v>3098</v>
      </c>
      <c r="M804" s="1" t="s">
        <v>81</v>
      </c>
      <c r="N804" s="1" t="s">
        <v>1765</v>
      </c>
      <c r="O804" s="1"/>
      <c r="P804" s="1" t="s">
        <v>1298</v>
      </c>
      <c r="Q804" s="1" t="s">
        <v>14715</v>
      </c>
      <c r="R804" s="1" t="s">
        <v>14716</v>
      </c>
      <c r="S804" s="1">
        <v>9594949875</v>
      </c>
      <c r="T804" s="1" t="s">
        <v>14717</v>
      </c>
      <c r="U804" s="1" t="s">
        <v>14718</v>
      </c>
      <c r="V804" s="1">
        <v>9594949874</v>
      </c>
      <c r="W804" s="1" t="s">
        <v>14719</v>
      </c>
      <c r="X804" s="1" t="s">
        <v>14720</v>
      </c>
      <c r="Y804" s="1" t="s">
        <v>191</v>
      </c>
      <c r="Z804" s="1" t="s">
        <v>92</v>
      </c>
      <c r="AA804" s="1" t="s">
        <v>14721</v>
      </c>
      <c r="AB804" s="1" t="s">
        <v>1623</v>
      </c>
      <c r="AC804" s="1" t="s">
        <v>92</v>
      </c>
      <c r="AD804" s="1">
        <v>9.53</v>
      </c>
      <c r="AE804" s="1" t="s">
        <v>93</v>
      </c>
      <c r="AF804" s="1" t="s">
        <v>14722</v>
      </c>
      <c r="AG804" s="1" t="s">
        <v>14723</v>
      </c>
      <c r="AH804" s="1" t="s">
        <v>3922</v>
      </c>
      <c r="AI804" s="1" t="s">
        <v>479</v>
      </c>
      <c r="AJ804" s="1">
        <v>82</v>
      </c>
      <c r="AK804" s="1"/>
      <c r="AL804" s="1" t="s">
        <v>14724</v>
      </c>
      <c r="AM804" s="1" t="s">
        <v>5120</v>
      </c>
      <c r="AN804" s="1" t="s">
        <v>225</v>
      </c>
      <c r="AO804" s="1" t="s">
        <v>308</v>
      </c>
      <c r="AP804" s="1">
        <v>78.15</v>
      </c>
      <c r="AQ804" s="1"/>
      <c r="AR804" s="1"/>
      <c r="AS804" s="1"/>
      <c r="AT804" s="1"/>
      <c r="AU804" s="1"/>
      <c r="AV804" s="1"/>
      <c r="AW804" s="1"/>
      <c r="AX804" s="1" t="s">
        <v>1024</v>
      </c>
      <c r="AY804" s="1" t="s">
        <v>14725</v>
      </c>
      <c r="AZ804" s="1" t="s">
        <v>201</v>
      </c>
      <c r="BA804" s="1" t="s">
        <v>413</v>
      </c>
      <c r="BB804" s="1">
        <v>62</v>
      </c>
      <c r="BC804" s="1">
        <v>6.75</v>
      </c>
      <c r="BD804" s="1"/>
      <c r="BE804" s="1"/>
      <c r="BF804" s="1"/>
      <c r="BG804" s="1"/>
      <c r="BH804" s="1"/>
      <c r="BI804" s="1"/>
      <c r="BJ804" s="1" t="s">
        <v>14726</v>
      </c>
      <c r="BK804" s="1" t="s">
        <v>14727</v>
      </c>
      <c r="BL804" s="1" t="s">
        <v>1475</v>
      </c>
      <c r="BM804" s="1" t="s">
        <v>14728</v>
      </c>
      <c r="BN804" s="1">
        <v>26</v>
      </c>
      <c r="BO804" s="1" t="s">
        <v>14729</v>
      </c>
      <c r="BP804" s="1" t="str">
        <f>HYPERLINK("https://nconnect.nicmar.ac.in/storage/profile/ProfilePhoto_P25702015_368254.jpg","Download")</f>
        <v>0</v>
      </c>
      <c r="BQ804" s="3"/>
      <c r="BR804" s="3"/>
    </row>
    <row r="805" spans="1:70">
      <c r="A805" s="1" t="s">
        <v>441</v>
      </c>
      <c r="B805" s="1" t="s">
        <v>1269</v>
      </c>
      <c r="C805" s="1" t="s">
        <v>14730</v>
      </c>
      <c r="D805" s="1" t="s">
        <v>14731</v>
      </c>
      <c r="E805" s="1" t="s">
        <v>14732</v>
      </c>
      <c r="F805" s="1" t="s">
        <v>14733</v>
      </c>
      <c r="G805" s="1" t="s">
        <v>14734</v>
      </c>
      <c r="H805" s="1" t="s">
        <v>14735</v>
      </c>
      <c r="I805" s="1" t="s">
        <v>14736</v>
      </c>
      <c r="J805" s="1">
        <v>7204781163</v>
      </c>
      <c r="K805" s="1" t="s">
        <v>79</v>
      </c>
      <c r="L805" s="1" t="s">
        <v>14737</v>
      </c>
      <c r="M805" s="1" t="s">
        <v>81</v>
      </c>
      <c r="N805" s="1" t="s">
        <v>11963</v>
      </c>
      <c r="O805" s="1"/>
      <c r="P805" s="1" t="s">
        <v>1766</v>
      </c>
      <c r="Q805" s="1" t="s">
        <v>14738</v>
      </c>
      <c r="R805" s="1" t="s">
        <v>14739</v>
      </c>
      <c r="S805" s="1">
        <v>7204781163</v>
      </c>
      <c r="T805" s="1" t="s">
        <v>10476</v>
      </c>
      <c r="U805" s="1" t="s">
        <v>14740</v>
      </c>
      <c r="V805" s="1">
        <v>9901435792</v>
      </c>
      <c r="W805" s="1" t="s">
        <v>122</v>
      </c>
      <c r="X805" s="1" t="s">
        <v>14741</v>
      </c>
      <c r="Y805" s="1" t="s">
        <v>7136</v>
      </c>
      <c r="Z805" s="1" t="s">
        <v>1084</v>
      </c>
      <c r="AA805" s="1" t="s">
        <v>14741</v>
      </c>
      <c r="AB805" s="1" t="s">
        <v>7136</v>
      </c>
      <c r="AC805" s="1" t="s">
        <v>1084</v>
      </c>
      <c r="AD805" s="1">
        <v>7.61</v>
      </c>
      <c r="AE805" s="1" t="s">
        <v>93</v>
      </c>
      <c r="AF805" s="1" t="s">
        <v>14742</v>
      </c>
      <c r="AG805" s="1" t="s">
        <v>14743</v>
      </c>
      <c r="AH805" s="1" t="s">
        <v>165</v>
      </c>
      <c r="AI805" s="1" t="s">
        <v>166</v>
      </c>
      <c r="AJ805" s="1">
        <v>53.4</v>
      </c>
      <c r="AK805" s="1"/>
      <c r="AL805" s="1" t="s">
        <v>14744</v>
      </c>
      <c r="AM805" s="1" t="s">
        <v>14745</v>
      </c>
      <c r="AN805" s="1" t="s">
        <v>433</v>
      </c>
      <c r="AO805" s="1" t="s">
        <v>173</v>
      </c>
      <c r="AP805" s="1">
        <v>70.83</v>
      </c>
      <c r="AQ805" s="1"/>
      <c r="AR805" s="1"/>
      <c r="AS805" s="1"/>
      <c r="AT805" s="1"/>
      <c r="AU805" s="1"/>
      <c r="AV805" s="1"/>
      <c r="AW805" s="1"/>
      <c r="AX805" s="1" t="s">
        <v>14746</v>
      </c>
      <c r="AY805" s="1" t="s">
        <v>14747</v>
      </c>
      <c r="AZ805" s="1" t="s">
        <v>228</v>
      </c>
      <c r="BA805" s="1" t="s">
        <v>1939</v>
      </c>
      <c r="BB805" s="1">
        <v>61</v>
      </c>
      <c r="BC805" s="1">
        <v>7.42</v>
      </c>
      <c r="BD805" s="1"/>
      <c r="BE805" s="1"/>
      <c r="BF805" s="1"/>
      <c r="BG805" s="1"/>
      <c r="BH805" s="1"/>
      <c r="BI805" s="1"/>
      <c r="BJ805" s="1" t="s">
        <v>364</v>
      </c>
      <c r="BK805" s="1"/>
      <c r="BL805" s="1"/>
      <c r="BM805" s="1" t="s">
        <v>14748</v>
      </c>
      <c r="BN805" s="1">
        <v>8</v>
      </c>
      <c r="BO805" s="1" t="s">
        <v>14749</v>
      </c>
      <c r="BP805" s="1" t="str">
        <f>HYPERLINK("https://nconnect.nicmar.ac.in/storage/profile/ProfilePhoto_P25702016_652349.jpg","Download")</f>
        <v>0</v>
      </c>
      <c r="BQ805" s="3"/>
      <c r="BR805" s="3"/>
    </row>
    <row r="806" spans="1:70">
      <c r="A806" s="1" t="s">
        <v>441</v>
      </c>
      <c r="B806" s="1" t="s">
        <v>1269</v>
      </c>
      <c r="C806" s="1" t="s">
        <v>14750</v>
      </c>
      <c r="D806" s="1" t="s">
        <v>7453</v>
      </c>
      <c r="E806" s="1" t="s">
        <v>3304</v>
      </c>
      <c r="F806" s="1" t="s">
        <v>14751</v>
      </c>
      <c r="G806" s="1" t="s">
        <v>14752</v>
      </c>
      <c r="H806" s="1" t="s">
        <v>14753</v>
      </c>
      <c r="I806" s="1" t="s">
        <v>14754</v>
      </c>
      <c r="J806" s="1">
        <v>9423462102</v>
      </c>
      <c r="K806" s="1" t="s">
        <v>79</v>
      </c>
      <c r="L806" s="1" t="s">
        <v>14755</v>
      </c>
      <c r="M806" s="1" t="s">
        <v>81</v>
      </c>
      <c r="N806" s="1" t="s">
        <v>1418</v>
      </c>
      <c r="O806" s="1"/>
      <c r="P806" s="1" t="s">
        <v>1323</v>
      </c>
      <c r="Q806" s="1" t="s">
        <v>14756</v>
      </c>
      <c r="R806" s="1" t="s">
        <v>3304</v>
      </c>
      <c r="S806" s="1">
        <v>9371436304</v>
      </c>
      <c r="T806" s="1" t="s">
        <v>14757</v>
      </c>
      <c r="U806" s="1" t="s">
        <v>3065</v>
      </c>
      <c r="V806" s="1">
        <v>8999895927</v>
      </c>
      <c r="W806" s="1" t="s">
        <v>122</v>
      </c>
      <c r="X806" s="1" t="s">
        <v>14758</v>
      </c>
      <c r="Y806" s="1" t="s">
        <v>379</v>
      </c>
      <c r="Z806" s="1" t="s">
        <v>92</v>
      </c>
      <c r="AA806" s="1" t="s">
        <v>14758</v>
      </c>
      <c r="AB806" s="1" t="s">
        <v>379</v>
      </c>
      <c r="AC806" s="1" t="s">
        <v>92</v>
      </c>
      <c r="AD806" s="1">
        <v>7.05</v>
      </c>
      <c r="AE806" s="1" t="s">
        <v>93</v>
      </c>
      <c r="AF806" s="1" t="s">
        <v>14759</v>
      </c>
      <c r="AG806" s="1" t="s">
        <v>14760</v>
      </c>
      <c r="AH806" s="1" t="s">
        <v>14761</v>
      </c>
      <c r="AI806" s="1" t="s">
        <v>409</v>
      </c>
      <c r="AJ806" s="1">
        <v>58.8</v>
      </c>
      <c r="AK806" s="1"/>
      <c r="AL806" s="1" t="s">
        <v>14762</v>
      </c>
      <c r="AM806" s="1" t="s">
        <v>14763</v>
      </c>
      <c r="AN806" s="1" t="s">
        <v>310</v>
      </c>
      <c r="AO806" s="1" t="s">
        <v>1712</v>
      </c>
      <c r="AP806" s="1">
        <v>78.67</v>
      </c>
      <c r="AQ806" s="1"/>
      <c r="AR806" s="1"/>
      <c r="AS806" s="1"/>
      <c r="AT806" s="1"/>
      <c r="AU806" s="1"/>
      <c r="AV806" s="1"/>
      <c r="AW806" s="1"/>
      <c r="AX806" s="1" t="s">
        <v>14764</v>
      </c>
      <c r="AY806" s="1" t="s">
        <v>14765</v>
      </c>
      <c r="AZ806" s="1" t="s">
        <v>436</v>
      </c>
      <c r="BA806" s="1" t="s">
        <v>6092</v>
      </c>
      <c r="BB806" s="1">
        <v>54.2</v>
      </c>
      <c r="BC806" s="1">
        <v>5.92</v>
      </c>
      <c r="BD806" s="1"/>
      <c r="BE806" s="1"/>
      <c r="BF806" s="1"/>
      <c r="BG806" s="1"/>
      <c r="BH806" s="1"/>
      <c r="BI806" s="1"/>
      <c r="BJ806" s="1" t="s">
        <v>11654</v>
      </c>
      <c r="BK806" s="1"/>
      <c r="BL806" s="1"/>
      <c r="BM806" s="1" t="s">
        <v>14766</v>
      </c>
      <c r="BN806" s="1">
        <v>16</v>
      </c>
      <c r="BO806" s="1"/>
      <c r="BP806" s="1" t="str">
        <f>HYPERLINK("https://nconnect.nicmar.ac.in/storage/profile/ProfilePhoto_P25702018_693254.jpg","Download")</f>
        <v>0</v>
      </c>
      <c r="BQ806" s="3"/>
      <c r="BR806" s="3"/>
    </row>
    <row r="807" spans="1:70">
      <c r="A807" s="1" t="s">
        <v>441</v>
      </c>
      <c r="B807" s="1" t="s">
        <v>1269</v>
      </c>
      <c r="C807" s="1" t="s">
        <v>14767</v>
      </c>
      <c r="D807" s="1" t="s">
        <v>14768</v>
      </c>
      <c r="E807" s="1" t="s">
        <v>208</v>
      </c>
      <c r="F807" s="1" t="s">
        <v>2677</v>
      </c>
      <c r="G807" s="1" t="s">
        <v>14769</v>
      </c>
      <c r="H807" s="1" t="s">
        <v>14770</v>
      </c>
      <c r="I807" s="1" t="s">
        <v>14771</v>
      </c>
      <c r="J807" s="1">
        <v>9372834212</v>
      </c>
      <c r="K807" s="1" t="s">
        <v>148</v>
      </c>
      <c r="L807" s="1" t="s">
        <v>839</v>
      </c>
      <c r="M807" s="1" t="s">
        <v>81</v>
      </c>
      <c r="N807" s="1" t="s">
        <v>1418</v>
      </c>
      <c r="O807" s="1"/>
      <c r="P807" s="1" t="s">
        <v>1298</v>
      </c>
      <c r="Q807" s="1" t="s">
        <v>14772</v>
      </c>
      <c r="R807" s="1" t="s">
        <v>208</v>
      </c>
      <c r="S807" s="1">
        <v>9594901838</v>
      </c>
      <c r="T807" s="1" t="s">
        <v>14773</v>
      </c>
      <c r="U807" s="1" t="s">
        <v>693</v>
      </c>
      <c r="V807" s="1">
        <v>9594931830</v>
      </c>
      <c r="W807" s="1" t="s">
        <v>651</v>
      </c>
      <c r="X807" s="1" t="s">
        <v>14774</v>
      </c>
      <c r="Y807" s="1" t="s">
        <v>191</v>
      </c>
      <c r="Z807" s="1" t="s">
        <v>92</v>
      </c>
      <c r="AA807" s="1" t="s">
        <v>14774</v>
      </c>
      <c r="AB807" s="1" t="s">
        <v>191</v>
      </c>
      <c r="AC807" s="1" t="s">
        <v>92</v>
      </c>
      <c r="AD807" s="1">
        <v>8.87</v>
      </c>
      <c r="AE807" s="1" t="s">
        <v>93</v>
      </c>
      <c r="AF807" s="1" t="s">
        <v>14775</v>
      </c>
      <c r="AG807" s="1" t="s">
        <v>160</v>
      </c>
      <c r="AH807" s="1" t="s">
        <v>162</v>
      </c>
      <c r="AI807" s="1" t="s">
        <v>195</v>
      </c>
      <c r="AJ807" s="1">
        <v>84.2</v>
      </c>
      <c r="AK807" s="1"/>
      <c r="AL807" s="1" t="s">
        <v>14776</v>
      </c>
      <c r="AM807" s="1" t="s">
        <v>160</v>
      </c>
      <c r="AN807" s="1" t="s">
        <v>169</v>
      </c>
      <c r="AO807" s="1" t="s">
        <v>198</v>
      </c>
      <c r="AP807" s="1">
        <v>58.77</v>
      </c>
      <c r="AQ807" s="1"/>
      <c r="AR807" s="1"/>
      <c r="AS807" s="1"/>
      <c r="AT807" s="1"/>
      <c r="AU807" s="1"/>
      <c r="AV807" s="1"/>
      <c r="AW807" s="1"/>
      <c r="AX807" s="1" t="s">
        <v>1024</v>
      </c>
      <c r="AY807" s="1" t="s">
        <v>14777</v>
      </c>
      <c r="AZ807" s="1" t="s">
        <v>201</v>
      </c>
      <c r="BA807" s="1" t="s">
        <v>702</v>
      </c>
      <c r="BB807" s="1">
        <v>69.35</v>
      </c>
      <c r="BC807" s="1">
        <v>7.75</v>
      </c>
      <c r="BD807" s="1"/>
      <c r="BE807" s="1"/>
      <c r="BF807" s="1"/>
      <c r="BG807" s="1"/>
      <c r="BH807" s="1"/>
      <c r="BI807" s="1"/>
      <c r="BJ807" s="1" t="s">
        <v>14778</v>
      </c>
      <c r="BK807" s="1"/>
      <c r="BL807" s="1"/>
      <c r="BM807" s="1" t="s">
        <v>14779</v>
      </c>
      <c r="BN807" s="1">
        <v>52</v>
      </c>
      <c r="BO807" s="1"/>
      <c r="BP807" s="1" t="str">
        <f>HYPERLINK("https://nconnect.nicmar.ac.in/storage/profile/ProfilePhoto_P25702019_689217.jpg","Download")</f>
        <v>0</v>
      </c>
      <c r="BQ807" s="3"/>
      <c r="BR807" s="3"/>
    </row>
    <row r="808" spans="1:70">
      <c r="A808" s="1" t="s">
        <v>441</v>
      </c>
      <c r="B808" s="1" t="s">
        <v>1269</v>
      </c>
      <c r="C808" s="1" t="s">
        <v>14780</v>
      </c>
      <c r="D808" s="1" t="s">
        <v>1039</v>
      </c>
      <c r="E808" s="1" t="s">
        <v>9817</v>
      </c>
      <c r="F808" s="1" t="s">
        <v>14781</v>
      </c>
      <c r="G808" s="1" t="s">
        <v>14782</v>
      </c>
      <c r="H808" s="1" t="s">
        <v>14783</v>
      </c>
      <c r="I808" s="1" t="s">
        <v>14784</v>
      </c>
      <c r="J808" s="1">
        <v>7304181591</v>
      </c>
      <c r="K808" s="1" t="s">
        <v>79</v>
      </c>
      <c r="L808" s="1" t="s">
        <v>4961</v>
      </c>
      <c r="M808" s="1" t="s">
        <v>81</v>
      </c>
      <c r="N808" s="1" t="s">
        <v>8166</v>
      </c>
      <c r="O808" s="1"/>
      <c r="P808" s="1"/>
      <c r="Q808" s="1" t="s">
        <v>14785</v>
      </c>
      <c r="R808" s="1" t="s">
        <v>14786</v>
      </c>
      <c r="S808" s="1">
        <v>7020459683</v>
      </c>
      <c r="T808" s="1" t="s">
        <v>14787</v>
      </c>
      <c r="U808" s="1" t="s">
        <v>14788</v>
      </c>
      <c r="V808" s="1">
        <v>7559220280</v>
      </c>
      <c r="W808" s="1" t="s">
        <v>273</v>
      </c>
      <c r="X808" s="1" t="s">
        <v>14789</v>
      </c>
      <c r="Y808" s="1" t="s">
        <v>191</v>
      </c>
      <c r="Z808" s="1" t="s">
        <v>92</v>
      </c>
      <c r="AA808" s="1" t="s">
        <v>14790</v>
      </c>
      <c r="AB808" s="1" t="s">
        <v>405</v>
      </c>
      <c r="AC808" s="1" t="s">
        <v>92</v>
      </c>
      <c r="AD808" s="1">
        <v>6.21</v>
      </c>
      <c r="AE808" s="1" t="s">
        <v>93</v>
      </c>
      <c r="AF808" s="1" t="s">
        <v>14791</v>
      </c>
      <c r="AG808" s="1" t="s">
        <v>476</v>
      </c>
      <c r="AH808" s="1" t="s">
        <v>456</v>
      </c>
      <c r="AI808" s="1" t="s">
        <v>195</v>
      </c>
      <c r="AJ808" s="1">
        <v>71.8</v>
      </c>
      <c r="AK808" s="1"/>
      <c r="AL808" s="1"/>
      <c r="AM808" s="1"/>
      <c r="AN808" s="1"/>
      <c r="AO808" s="1"/>
      <c r="AP808" s="1"/>
      <c r="AQ808" s="1"/>
      <c r="AR808" s="1" t="s">
        <v>98</v>
      </c>
      <c r="AS808" s="1" t="s">
        <v>14792</v>
      </c>
      <c r="AT808" s="1" t="s">
        <v>6279</v>
      </c>
      <c r="AU808" s="1" t="s">
        <v>170</v>
      </c>
      <c r="AV808" s="1">
        <v>82</v>
      </c>
      <c r="AW808" s="1"/>
      <c r="AX808" s="1" t="s">
        <v>410</v>
      </c>
      <c r="AY808" s="1" t="s">
        <v>14793</v>
      </c>
      <c r="AZ808" s="1" t="s">
        <v>228</v>
      </c>
      <c r="BA808" s="1" t="s">
        <v>549</v>
      </c>
      <c r="BB808" s="1">
        <v>53.3</v>
      </c>
      <c r="BC808" s="1">
        <v>6.08</v>
      </c>
      <c r="BD808" s="1"/>
      <c r="BE808" s="1"/>
      <c r="BF808" s="1"/>
      <c r="BG808" s="1"/>
      <c r="BH808" s="1"/>
      <c r="BI808" s="1"/>
      <c r="BJ808" s="1" t="s">
        <v>14794</v>
      </c>
      <c r="BK808" s="1" t="s">
        <v>14795</v>
      </c>
      <c r="BL808" s="1" t="s">
        <v>3246</v>
      </c>
      <c r="BM808" s="1"/>
      <c r="BN808" s="1"/>
      <c r="BO808" s="1"/>
      <c r="BP808" s="1" t="str">
        <f>HYPERLINK("https://nconnect.nicmar.ac.in/storage/profile/ProfilePhoto_P25702020_435189.jpg","Download")</f>
        <v>0</v>
      </c>
      <c r="BQ808" s="3"/>
      <c r="BR808" s="3"/>
    </row>
    <row r="809" spans="1:70">
      <c r="A809" s="1" t="s">
        <v>441</v>
      </c>
      <c r="B809" s="1" t="s">
        <v>1269</v>
      </c>
      <c r="C809" s="1" t="s">
        <v>14796</v>
      </c>
      <c r="D809" s="1" t="s">
        <v>2252</v>
      </c>
      <c r="E809" s="1" t="s">
        <v>111</v>
      </c>
      <c r="F809" s="1" t="s">
        <v>14797</v>
      </c>
      <c r="G809" s="1" t="s">
        <v>14798</v>
      </c>
      <c r="H809" s="1" t="s">
        <v>14799</v>
      </c>
      <c r="I809" s="1" t="s">
        <v>14800</v>
      </c>
      <c r="J809" s="1">
        <v>6363755919</v>
      </c>
      <c r="K809" s="1" t="s">
        <v>79</v>
      </c>
      <c r="L809" s="1" t="s">
        <v>14801</v>
      </c>
      <c r="M809" s="1" t="s">
        <v>81</v>
      </c>
      <c r="N809" s="1" t="s">
        <v>8780</v>
      </c>
      <c r="O809" s="1"/>
      <c r="P809" s="1" t="s">
        <v>1323</v>
      </c>
      <c r="Q809" s="1" t="s">
        <v>14802</v>
      </c>
      <c r="R809" s="1" t="s">
        <v>14803</v>
      </c>
      <c r="S809" s="1">
        <v>9481137721</v>
      </c>
      <c r="T809" s="1" t="s">
        <v>14804</v>
      </c>
      <c r="U809" s="1" t="s">
        <v>14805</v>
      </c>
      <c r="V809" s="1">
        <v>9036906500</v>
      </c>
      <c r="W809" s="1" t="s">
        <v>273</v>
      </c>
      <c r="X809" s="1" t="s">
        <v>14806</v>
      </c>
      <c r="Y809" s="1" t="s">
        <v>4523</v>
      </c>
      <c r="Z809" s="1" t="s">
        <v>1084</v>
      </c>
      <c r="AA809" s="1" t="s">
        <v>14806</v>
      </c>
      <c r="AB809" s="1" t="s">
        <v>4523</v>
      </c>
      <c r="AC809" s="1" t="s">
        <v>1084</v>
      </c>
      <c r="AD809" s="1">
        <v>7.66</v>
      </c>
      <c r="AE809" s="1" t="s">
        <v>93</v>
      </c>
      <c r="AF809" s="1" t="s">
        <v>14807</v>
      </c>
      <c r="AG809" s="1" t="s">
        <v>2749</v>
      </c>
      <c r="AH809" s="1" t="s">
        <v>165</v>
      </c>
      <c r="AI809" s="1" t="s">
        <v>1307</v>
      </c>
      <c r="AJ809" s="1">
        <v>75.52</v>
      </c>
      <c r="AK809" s="1"/>
      <c r="AL809" s="1"/>
      <c r="AM809" s="1"/>
      <c r="AN809" s="1"/>
      <c r="AO809" s="1"/>
      <c r="AP809" s="1"/>
      <c r="AQ809" s="1"/>
      <c r="AR809" s="1" t="s">
        <v>98</v>
      </c>
      <c r="AS809" s="1" t="s">
        <v>14808</v>
      </c>
      <c r="AT809" s="1" t="s">
        <v>14260</v>
      </c>
      <c r="AU809" s="1" t="s">
        <v>1712</v>
      </c>
      <c r="AV809" s="1">
        <v>59.62</v>
      </c>
      <c r="AW809" s="1"/>
      <c r="AX809" s="1" t="s">
        <v>8293</v>
      </c>
      <c r="AY809" s="1" t="s">
        <v>8293</v>
      </c>
      <c r="AZ809" s="1" t="s">
        <v>5487</v>
      </c>
      <c r="BA809" s="1" t="s">
        <v>202</v>
      </c>
      <c r="BB809" s="1">
        <v>66.3</v>
      </c>
      <c r="BC809" s="1">
        <v>6.63</v>
      </c>
      <c r="BD809" s="1"/>
      <c r="BE809" s="1"/>
      <c r="BF809" s="1"/>
      <c r="BG809" s="1"/>
      <c r="BH809" s="1"/>
      <c r="BI809" s="1"/>
      <c r="BJ809" s="1" t="s">
        <v>14809</v>
      </c>
      <c r="BK809" s="1" t="s">
        <v>14810</v>
      </c>
      <c r="BL809" s="1" t="s">
        <v>1475</v>
      </c>
      <c r="BM809" s="1" t="s">
        <v>14811</v>
      </c>
      <c r="BN809" s="1">
        <v>14</v>
      </c>
      <c r="BO809" s="1" t="s">
        <v>14812</v>
      </c>
      <c r="BP809" s="1" t="str">
        <f>HYPERLINK("https://nconnect.nicmar.ac.in/storage/profile/ProfilePhoto_P25702021_253841.jpg","Download")</f>
        <v>0</v>
      </c>
      <c r="BQ809" s="3"/>
      <c r="BR809" s="3"/>
    </row>
    <row r="810" spans="1:70">
      <c r="A810" s="1" t="s">
        <v>441</v>
      </c>
      <c r="B810" s="1" t="s">
        <v>1269</v>
      </c>
      <c r="C810" s="1" t="s">
        <v>14813</v>
      </c>
      <c r="D810" s="1" t="s">
        <v>12008</v>
      </c>
      <c r="E810" s="1" t="s">
        <v>14814</v>
      </c>
      <c r="F810" s="1" t="s">
        <v>7350</v>
      </c>
      <c r="G810" s="1" t="s">
        <v>14815</v>
      </c>
      <c r="H810" s="1" t="s">
        <v>14816</v>
      </c>
      <c r="I810" s="1" t="s">
        <v>14817</v>
      </c>
      <c r="J810" s="1">
        <v>9825051825</v>
      </c>
      <c r="K810" s="1" t="s">
        <v>79</v>
      </c>
      <c r="L810" s="1" t="s">
        <v>10275</v>
      </c>
      <c r="M810" s="1" t="s">
        <v>81</v>
      </c>
      <c r="N810" s="1" t="s">
        <v>7887</v>
      </c>
      <c r="O810" s="1"/>
      <c r="P810" s="1" t="s">
        <v>1323</v>
      </c>
      <c r="Q810" s="1" t="s">
        <v>14818</v>
      </c>
      <c r="R810" s="1" t="s">
        <v>14814</v>
      </c>
      <c r="S810" s="1">
        <v>9825051425</v>
      </c>
      <c r="T810" s="1" t="s">
        <v>842</v>
      </c>
      <c r="U810" s="1" t="s">
        <v>14819</v>
      </c>
      <c r="V810" s="1">
        <v>9727113797</v>
      </c>
      <c r="W810" s="1" t="s">
        <v>156</v>
      </c>
      <c r="X810" s="1" t="s">
        <v>14820</v>
      </c>
      <c r="Y810" s="1" t="s">
        <v>191</v>
      </c>
      <c r="Z810" s="1" t="s">
        <v>92</v>
      </c>
      <c r="AA810" s="1" t="s">
        <v>14821</v>
      </c>
      <c r="AB810" s="1" t="s">
        <v>8855</v>
      </c>
      <c r="AC810" s="1" t="s">
        <v>1468</v>
      </c>
      <c r="AD810" s="1">
        <v>9.03</v>
      </c>
      <c r="AE810" s="1" t="s">
        <v>93</v>
      </c>
      <c r="AF810" s="1" t="s">
        <v>14822</v>
      </c>
      <c r="AG810" s="1" t="s">
        <v>14823</v>
      </c>
      <c r="AH810" s="1" t="s">
        <v>165</v>
      </c>
      <c r="AI810" s="1" t="s">
        <v>169</v>
      </c>
      <c r="AJ810" s="1">
        <v>86.16</v>
      </c>
      <c r="AK810" s="1"/>
      <c r="AL810" s="1" t="s">
        <v>14824</v>
      </c>
      <c r="AM810" s="1" t="s">
        <v>14823</v>
      </c>
      <c r="AN810" s="1" t="s">
        <v>433</v>
      </c>
      <c r="AO810" s="1" t="s">
        <v>412</v>
      </c>
      <c r="AP810" s="1">
        <v>68.76</v>
      </c>
      <c r="AQ810" s="1"/>
      <c r="AR810" s="1"/>
      <c r="AS810" s="1"/>
      <c r="AT810" s="1"/>
      <c r="AU810" s="1"/>
      <c r="AV810" s="1"/>
      <c r="AW810" s="1"/>
      <c r="AX810" s="1" t="s">
        <v>14825</v>
      </c>
      <c r="AY810" s="1" t="s">
        <v>14826</v>
      </c>
      <c r="AZ810" s="1" t="s">
        <v>173</v>
      </c>
      <c r="BA810" s="1" t="s">
        <v>413</v>
      </c>
      <c r="BB810" s="1">
        <v>82.5</v>
      </c>
      <c r="BC810" s="1">
        <v>8.75</v>
      </c>
      <c r="BD810" s="1"/>
      <c r="BE810" s="1"/>
      <c r="BF810" s="1"/>
      <c r="BG810" s="1"/>
      <c r="BH810" s="1"/>
      <c r="BI810" s="1"/>
      <c r="BJ810" s="1" t="s">
        <v>14827</v>
      </c>
      <c r="BK810" s="1"/>
      <c r="BL810" s="1"/>
      <c r="BM810" s="1" t="s">
        <v>14828</v>
      </c>
      <c r="BN810" s="1">
        <v>14</v>
      </c>
      <c r="BO810" s="1" t="s">
        <v>14829</v>
      </c>
      <c r="BP810" s="1" t="str">
        <f>HYPERLINK("https://nconnect.nicmar.ac.in/storage/profile/ProfilePhoto_P25702022_617352.jpg","Download")</f>
        <v>0</v>
      </c>
      <c r="BQ810" s="3"/>
      <c r="BR810" s="3"/>
    </row>
    <row r="811" spans="1:70">
      <c r="A811" s="1" t="s">
        <v>441</v>
      </c>
      <c r="B811" s="1" t="s">
        <v>1269</v>
      </c>
      <c r="C811" s="1" t="s">
        <v>14830</v>
      </c>
      <c r="D811" s="1" t="s">
        <v>14831</v>
      </c>
      <c r="E811" s="1" t="s">
        <v>208</v>
      </c>
      <c r="F811" s="1" t="s">
        <v>11892</v>
      </c>
      <c r="G811" s="1" t="s">
        <v>14832</v>
      </c>
      <c r="H811" s="1" t="s">
        <v>14833</v>
      </c>
      <c r="I811" s="1" t="s">
        <v>14833</v>
      </c>
      <c r="J811" s="1">
        <v>7350783095</v>
      </c>
      <c r="K811" s="1" t="s">
        <v>148</v>
      </c>
      <c r="L811" s="1" t="s">
        <v>14834</v>
      </c>
      <c r="M811" s="1" t="s">
        <v>81</v>
      </c>
      <c r="N811" s="1" t="s">
        <v>1418</v>
      </c>
      <c r="O811" s="1" t="s">
        <v>14835</v>
      </c>
      <c r="P811" s="1" t="s">
        <v>2821</v>
      </c>
      <c r="Q811" s="1" t="s">
        <v>14836</v>
      </c>
      <c r="R811" s="1" t="s">
        <v>14837</v>
      </c>
      <c r="S811" s="1">
        <v>9975485912</v>
      </c>
      <c r="T811" s="1" t="s">
        <v>763</v>
      </c>
      <c r="U811" s="1" t="s">
        <v>14838</v>
      </c>
      <c r="V811" s="1">
        <v>8975244575</v>
      </c>
      <c r="W811" s="1" t="s">
        <v>156</v>
      </c>
      <c r="X811" s="1" t="s">
        <v>14839</v>
      </c>
      <c r="Y811" s="1" t="s">
        <v>191</v>
      </c>
      <c r="Z811" s="1" t="s">
        <v>92</v>
      </c>
      <c r="AA811" s="1" t="s">
        <v>14840</v>
      </c>
      <c r="AB811" s="1" t="s">
        <v>158</v>
      </c>
      <c r="AC811" s="1" t="s">
        <v>92</v>
      </c>
      <c r="AD811" s="1">
        <v>8.56</v>
      </c>
      <c r="AE811" s="1" t="s">
        <v>93</v>
      </c>
      <c r="AF811" s="1" t="s">
        <v>14841</v>
      </c>
      <c r="AG811" s="1" t="s">
        <v>14842</v>
      </c>
      <c r="AH811" s="1" t="s">
        <v>998</v>
      </c>
      <c r="AI811" s="1" t="s">
        <v>999</v>
      </c>
      <c r="AJ811" s="1">
        <v>88.2</v>
      </c>
      <c r="AK811" s="1">
        <v>0</v>
      </c>
      <c r="AL811" s="1" t="s">
        <v>14843</v>
      </c>
      <c r="AM811" s="1" t="s">
        <v>14844</v>
      </c>
      <c r="AN811" s="1" t="s">
        <v>97</v>
      </c>
      <c r="AO811" s="1" t="s">
        <v>527</v>
      </c>
      <c r="AP811" s="1">
        <v>74.8</v>
      </c>
      <c r="AQ811" s="1"/>
      <c r="AR811" s="1"/>
      <c r="AS811" s="1"/>
      <c r="AT811" s="1"/>
      <c r="AU811" s="1"/>
      <c r="AV811" s="1"/>
      <c r="AW811" s="1"/>
      <c r="AX811" s="1" t="s">
        <v>1024</v>
      </c>
      <c r="AY811" s="1" t="s">
        <v>14845</v>
      </c>
      <c r="AZ811" s="1" t="s">
        <v>134</v>
      </c>
      <c r="BA811" s="1" t="s">
        <v>1131</v>
      </c>
      <c r="BB811" s="1">
        <v>58.9</v>
      </c>
      <c r="BC811" s="1">
        <v>5.89</v>
      </c>
      <c r="BD811" s="1"/>
      <c r="BE811" s="1"/>
      <c r="BF811" s="1"/>
      <c r="BG811" s="1"/>
      <c r="BH811" s="1"/>
      <c r="BI811" s="1"/>
      <c r="BJ811" s="1" t="s">
        <v>14846</v>
      </c>
      <c r="BK811" s="1" t="s">
        <v>14847</v>
      </c>
      <c r="BL811" s="1" t="s">
        <v>138</v>
      </c>
      <c r="BM811" s="1" t="s">
        <v>14848</v>
      </c>
      <c r="BN811" s="1">
        <v>33</v>
      </c>
      <c r="BO811" s="1"/>
      <c r="BP811" s="1" t="str">
        <f>HYPERLINK("https://nconnect.nicmar.ac.in/storage/profile/ProfilePhoto_P25702023_483726.jpg","Download")</f>
        <v>0</v>
      </c>
      <c r="BQ811" s="3"/>
      <c r="BR811" s="3"/>
    </row>
    <row r="812" spans="1:70">
      <c r="A812" s="1" t="s">
        <v>441</v>
      </c>
      <c r="B812" s="1" t="s">
        <v>1269</v>
      </c>
      <c r="C812" s="1" t="s">
        <v>14849</v>
      </c>
      <c r="D812" s="1" t="s">
        <v>5815</v>
      </c>
      <c r="E812" s="1" t="s">
        <v>756</v>
      </c>
      <c r="F812" s="1" t="s">
        <v>4026</v>
      </c>
      <c r="G812" s="1" t="s">
        <v>14850</v>
      </c>
      <c r="H812" s="1" t="s">
        <v>14851</v>
      </c>
      <c r="I812" s="1" t="s">
        <v>14852</v>
      </c>
      <c r="J812" s="1">
        <v>7264038682</v>
      </c>
      <c r="K812" s="1" t="s">
        <v>79</v>
      </c>
      <c r="L812" s="1" t="s">
        <v>7442</v>
      </c>
      <c r="M812" s="1" t="s">
        <v>81</v>
      </c>
      <c r="N812" s="1" t="s">
        <v>5731</v>
      </c>
      <c r="O812" s="1"/>
      <c r="P812" s="1" t="s">
        <v>1298</v>
      </c>
      <c r="Q812" s="1" t="s">
        <v>14853</v>
      </c>
      <c r="R812" s="1" t="s">
        <v>14854</v>
      </c>
      <c r="S812" s="1">
        <v>9552899175</v>
      </c>
      <c r="T812" s="1" t="s">
        <v>14855</v>
      </c>
      <c r="U812" s="1" t="s">
        <v>14856</v>
      </c>
      <c r="V812" s="1">
        <v>7775908847</v>
      </c>
      <c r="W812" s="1" t="s">
        <v>156</v>
      </c>
      <c r="X812" s="1" t="s">
        <v>14857</v>
      </c>
      <c r="Y812" s="1" t="s">
        <v>379</v>
      </c>
      <c r="Z812" s="1" t="s">
        <v>92</v>
      </c>
      <c r="AA812" s="1" t="s">
        <v>14857</v>
      </c>
      <c r="AB812" s="1" t="s">
        <v>379</v>
      </c>
      <c r="AC812" s="1" t="s">
        <v>92</v>
      </c>
      <c r="AD812" s="1">
        <v>8.0</v>
      </c>
      <c r="AE812" s="1" t="s">
        <v>93</v>
      </c>
      <c r="AF812" s="1" t="s">
        <v>14858</v>
      </c>
      <c r="AG812" s="1" t="s">
        <v>307</v>
      </c>
      <c r="AH812" s="1" t="s">
        <v>678</v>
      </c>
      <c r="AI812" s="1" t="s">
        <v>166</v>
      </c>
      <c r="AJ812" s="1">
        <v>71.4</v>
      </c>
      <c r="AK812" s="1"/>
      <c r="AL812" s="1" t="s">
        <v>14859</v>
      </c>
      <c r="AM812" s="1" t="s">
        <v>14860</v>
      </c>
      <c r="AN812" s="1" t="s">
        <v>310</v>
      </c>
      <c r="AO812" s="1" t="s">
        <v>360</v>
      </c>
      <c r="AP812" s="1">
        <v>58.92</v>
      </c>
      <c r="AQ812" s="1"/>
      <c r="AR812" s="1"/>
      <c r="AS812" s="1"/>
      <c r="AT812" s="1"/>
      <c r="AU812" s="1"/>
      <c r="AV812" s="1"/>
      <c r="AW812" s="1"/>
      <c r="AX812" s="1" t="s">
        <v>14861</v>
      </c>
      <c r="AY812" s="1" t="s">
        <v>14862</v>
      </c>
      <c r="AZ812" s="1" t="s">
        <v>897</v>
      </c>
      <c r="BA812" s="1" t="s">
        <v>1714</v>
      </c>
      <c r="BB812" s="1">
        <v>55.6</v>
      </c>
      <c r="BC812" s="1">
        <v>6.31</v>
      </c>
      <c r="BD812" s="1"/>
      <c r="BE812" s="1"/>
      <c r="BF812" s="1"/>
      <c r="BG812" s="1"/>
      <c r="BH812" s="1"/>
      <c r="BI812" s="1"/>
      <c r="BJ812" s="1" t="s">
        <v>14863</v>
      </c>
      <c r="BK812" s="1"/>
      <c r="BL812" s="1"/>
      <c r="BM812" s="1" t="s">
        <v>14864</v>
      </c>
      <c r="BN812" s="1">
        <v>29</v>
      </c>
      <c r="BO812" s="1" t="s">
        <v>14865</v>
      </c>
      <c r="BP812" s="1" t="str">
        <f>HYPERLINK("https://nconnect.nicmar.ac.in/storage/profile/ProfilePhoto_P25702024_291845.jpg","Download")</f>
        <v>0</v>
      </c>
      <c r="BQ812" s="3"/>
      <c r="BR812" s="3"/>
    </row>
    <row r="813" spans="1:70">
      <c r="A813" s="1" t="s">
        <v>441</v>
      </c>
      <c r="B813" s="1" t="s">
        <v>1269</v>
      </c>
      <c r="C813" s="1" t="s">
        <v>14866</v>
      </c>
      <c r="D813" s="1" t="s">
        <v>707</v>
      </c>
      <c r="E813" s="1" t="s">
        <v>3547</v>
      </c>
      <c r="F813" s="1" t="s">
        <v>14867</v>
      </c>
      <c r="G813" s="1" t="s">
        <v>14868</v>
      </c>
      <c r="H813" s="1" t="s">
        <v>14869</v>
      </c>
      <c r="I813" s="1" t="s">
        <v>14870</v>
      </c>
      <c r="J813" s="1">
        <v>9403851279</v>
      </c>
      <c r="K813" s="1" t="s">
        <v>79</v>
      </c>
      <c r="L813" s="1" t="s">
        <v>14871</v>
      </c>
      <c r="M813" s="1" t="s">
        <v>81</v>
      </c>
      <c r="N813" s="1" t="s">
        <v>7321</v>
      </c>
      <c r="O813" s="1"/>
      <c r="P813" s="1" t="s">
        <v>1298</v>
      </c>
      <c r="Q813" s="1" t="s">
        <v>14872</v>
      </c>
      <c r="R813" s="1" t="s">
        <v>3547</v>
      </c>
      <c r="S813" s="1">
        <v>9422691741</v>
      </c>
      <c r="T813" s="1" t="s">
        <v>6751</v>
      </c>
      <c r="U813" s="1" t="s">
        <v>4142</v>
      </c>
      <c r="V813" s="1">
        <v>9422196757</v>
      </c>
      <c r="W813" s="1" t="s">
        <v>156</v>
      </c>
      <c r="X813" s="1" t="s">
        <v>14873</v>
      </c>
      <c r="Y813" s="1" t="s">
        <v>766</v>
      </c>
      <c r="Z813" s="1" t="s">
        <v>92</v>
      </c>
      <c r="AA813" s="1" t="s">
        <v>14873</v>
      </c>
      <c r="AB813" s="1" t="s">
        <v>766</v>
      </c>
      <c r="AC813" s="1" t="s">
        <v>92</v>
      </c>
      <c r="AD813" s="1">
        <v>7.08</v>
      </c>
      <c r="AE813" s="1" t="s">
        <v>93</v>
      </c>
      <c r="AF813" s="1" t="s">
        <v>14874</v>
      </c>
      <c r="AG813" s="1" t="s">
        <v>476</v>
      </c>
      <c r="AH813" s="1" t="s">
        <v>162</v>
      </c>
      <c r="AI813" s="1" t="s">
        <v>479</v>
      </c>
      <c r="AJ813" s="1">
        <v>75.2</v>
      </c>
      <c r="AK813" s="1"/>
      <c r="AL813" s="1" t="s">
        <v>14875</v>
      </c>
      <c r="AM813" s="1" t="s">
        <v>476</v>
      </c>
      <c r="AN813" s="1" t="s">
        <v>169</v>
      </c>
      <c r="AO813" s="1" t="s">
        <v>1065</v>
      </c>
      <c r="AP813" s="1">
        <v>52.15</v>
      </c>
      <c r="AQ813" s="1"/>
      <c r="AR813" s="1"/>
      <c r="AS813" s="1"/>
      <c r="AT813" s="1"/>
      <c r="AU813" s="1"/>
      <c r="AV813" s="1"/>
      <c r="AW813" s="1"/>
      <c r="AX813" s="1" t="s">
        <v>14876</v>
      </c>
      <c r="AY813" s="1" t="s">
        <v>14877</v>
      </c>
      <c r="AZ813" s="1" t="s">
        <v>310</v>
      </c>
      <c r="BA813" s="1" t="s">
        <v>229</v>
      </c>
      <c r="BB813" s="1">
        <v>67.1</v>
      </c>
      <c r="BC813" s="1">
        <v>7.46</v>
      </c>
      <c r="BD813" s="1"/>
      <c r="BE813" s="1"/>
      <c r="BF813" s="1"/>
      <c r="BG813" s="1"/>
      <c r="BH813" s="1"/>
      <c r="BI813" s="1"/>
      <c r="BJ813" s="1" t="s">
        <v>14878</v>
      </c>
      <c r="BK813" s="1"/>
      <c r="BL813" s="1"/>
      <c r="BM813" s="1" t="s">
        <v>14879</v>
      </c>
      <c r="BN813" s="1">
        <v>21</v>
      </c>
      <c r="BO813" s="1"/>
      <c r="BP813" s="1" t="str">
        <f>HYPERLINK("https://nconnect.nicmar.ac.in/storage/profile/ProfilePhoto_P25702025_648375.jpg","Download")</f>
        <v>0</v>
      </c>
      <c r="BQ813" s="3"/>
      <c r="BR813" s="3"/>
    </row>
    <row r="814" spans="1:70">
      <c r="A814" s="1" t="s">
        <v>441</v>
      </c>
      <c r="B814" s="1" t="s">
        <v>1269</v>
      </c>
      <c r="C814" s="1" t="s">
        <v>14880</v>
      </c>
      <c r="D814" s="1" t="s">
        <v>10086</v>
      </c>
      <c r="E814" s="1" t="s">
        <v>14881</v>
      </c>
      <c r="F814" s="1" t="s">
        <v>950</v>
      </c>
      <c r="G814" s="1" t="s">
        <v>14882</v>
      </c>
      <c r="H814" s="1" t="s">
        <v>14883</v>
      </c>
      <c r="I814" s="1" t="s">
        <v>14884</v>
      </c>
      <c r="J814" s="1">
        <v>7083246505</v>
      </c>
      <c r="K814" s="1" t="s">
        <v>79</v>
      </c>
      <c r="L814" s="1" t="s">
        <v>14885</v>
      </c>
      <c r="M814" s="1" t="s">
        <v>81</v>
      </c>
      <c r="N814" s="1" t="s">
        <v>350</v>
      </c>
      <c r="O814" s="1"/>
      <c r="P814" s="1" t="s">
        <v>1278</v>
      </c>
      <c r="Q814" s="1" t="s">
        <v>14886</v>
      </c>
      <c r="R814" s="1" t="s">
        <v>14887</v>
      </c>
      <c r="S814" s="1">
        <v>9168924773</v>
      </c>
      <c r="T814" s="1" t="s">
        <v>496</v>
      </c>
      <c r="U814" s="1" t="s">
        <v>14888</v>
      </c>
      <c r="V814" s="1">
        <v>9420476388</v>
      </c>
      <c r="W814" s="1" t="s">
        <v>156</v>
      </c>
      <c r="X814" s="1" t="s">
        <v>14889</v>
      </c>
      <c r="Y814" s="1" t="s">
        <v>219</v>
      </c>
      <c r="Z814" s="1" t="s">
        <v>92</v>
      </c>
      <c r="AA814" s="1" t="s">
        <v>14889</v>
      </c>
      <c r="AB814" s="1" t="s">
        <v>219</v>
      </c>
      <c r="AC814" s="1" t="s">
        <v>92</v>
      </c>
      <c r="AD814" s="1">
        <v>7.79</v>
      </c>
      <c r="AE814" s="1" t="s">
        <v>93</v>
      </c>
      <c r="AF814" s="1" t="s">
        <v>14890</v>
      </c>
      <c r="AG814" s="1" t="s">
        <v>14891</v>
      </c>
      <c r="AH814" s="1" t="s">
        <v>101</v>
      </c>
      <c r="AI814" s="1" t="s">
        <v>1065</v>
      </c>
      <c r="AJ814" s="1">
        <v>83.2</v>
      </c>
      <c r="AK814" s="1"/>
      <c r="AL814" s="1" t="s">
        <v>14892</v>
      </c>
      <c r="AM814" s="1" t="s">
        <v>14893</v>
      </c>
      <c r="AN814" s="1" t="s">
        <v>173</v>
      </c>
      <c r="AO814" s="1" t="s">
        <v>436</v>
      </c>
      <c r="AP814" s="1">
        <v>90.67</v>
      </c>
      <c r="AQ814" s="1"/>
      <c r="AR814" s="1"/>
      <c r="AS814" s="1"/>
      <c r="AT814" s="1"/>
      <c r="AU814" s="1"/>
      <c r="AV814" s="1"/>
      <c r="AW814" s="1"/>
      <c r="AX814" s="1" t="s">
        <v>1024</v>
      </c>
      <c r="AY814" s="1" t="s">
        <v>14894</v>
      </c>
      <c r="AZ814" s="1" t="s">
        <v>897</v>
      </c>
      <c r="BA814" s="1" t="s">
        <v>1714</v>
      </c>
      <c r="BB814" s="1">
        <v>55.3</v>
      </c>
      <c r="BC814" s="1">
        <v>6.28</v>
      </c>
      <c r="BD814" s="1"/>
      <c r="BE814" s="1"/>
      <c r="BF814" s="1"/>
      <c r="BG814" s="1"/>
      <c r="BH814" s="1"/>
      <c r="BI814" s="1"/>
      <c r="BJ814" s="1" t="s">
        <v>364</v>
      </c>
      <c r="BK814" s="1"/>
      <c r="BL814" s="1"/>
      <c r="BM814" s="1" t="s">
        <v>14895</v>
      </c>
      <c r="BN814" s="1">
        <v>8</v>
      </c>
      <c r="BO814" s="1"/>
      <c r="BP814" s="1" t="str">
        <f>HYPERLINK("https://nconnect.nicmar.ac.in/storage/profile/ProfilePhoto_P25702026_459627.jpg","Download")</f>
        <v>0</v>
      </c>
      <c r="BQ814" s="3"/>
      <c r="BR814" s="3"/>
    </row>
    <row r="815" spans="1:70">
      <c r="A815" s="1" t="s">
        <v>441</v>
      </c>
      <c r="B815" s="1" t="s">
        <v>1269</v>
      </c>
      <c r="C815" s="1" t="s">
        <v>14896</v>
      </c>
      <c r="D815" s="1" t="s">
        <v>14897</v>
      </c>
      <c r="E815" s="1" t="s">
        <v>513</v>
      </c>
      <c r="F815" s="1" t="s">
        <v>14898</v>
      </c>
      <c r="G815" s="1" t="s">
        <v>14899</v>
      </c>
      <c r="H815" s="1" t="s">
        <v>14900</v>
      </c>
      <c r="I815" s="1" t="s">
        <v>14901</v>
      </c>
      <c r="J815" s="1">
        <v>6353203996</v>
      </c>
      <c r="K815" s="1" t="s">
        <v>79</v>
      </c>
      <c r="L815" s="1" t="s">
        <v>14902</v>
      </c>
      <c r="M815" s="1" t="s">
        <v>81</v>
      </c>
      <c r="N815" s="1" t="s">
        <v>14903</v>
      </c>
      <c r="O815" s="1"/>
      <c r="P815" s="1" t="s">
        <v>1323</v>
      </c>
      <c r="Q815" s="1" t="s">
        <v>14904</v>
      </c>
      <c r="R815" s="1" t="s">
        <v>14905</v>
      </c>
      <c r="S815" s="1">
        <v>9227222882</v>
      </c>
      <c r="T815" s="1" t="s">
        <v>7676</v>
      </c>
      <c r="U815" s="1" t="s">
        <v>14906</v>
      </c>
      <c r="V815" s="1">
        <v>9104412231</v>
      </c>
      <c r="W815" s="1" t="s">
        <v>651</v>
      </c>
      <c r="X815" s="1" t="s">
        <v>14907</v>
      </c>
      <c r="Y815" s="1" t="s">
        <v>8855</v>
      </c>
      <c r="Z815" s="1" t="s">
        <v>1468</v>
      </c>
      <c r="AA815" s="1" t="s">
        <v>14907</v>
      </c>
      <c r="AB815" s="1" t="s">
        <v>8855</v>
      </c>
      <c r="AC815" s="1" t="s">
        <v>1468</v>
      </c>
      <c r="AD815" s="1">
        <v>7.58</v>
      </c>
      <c r="AE815" s="1" t="s">
        <v>93</v>
      </c>
      <c r="AF815" s="1" t="s">
        <v>14908</v>
      </c>
      <c r="AG815" s="1" t="s">
        <v>14909</v>
      </c>
      <c r="AH815" s="1" t="s">
        <v>1307</v>
      </c>
      <c r="AI815" s="1" t="s">
        <v>409</v>
      </c>
      <c r="AJ815" s="1">
        <v>53.16</v>
      </c>
      <c r="AK815" s="1"/>
      <c r="AL815" s="1" t="s">
        <v>14910</v>
      </c>
      <c r="AM815" s="1" t="s">
        <v>14909</v>
      </c>
      <c r="AN815" s="1" t="s">
        <v>173</v>
      </c>
      <c r="AO815" s="1" t="s">
        <v>1712</v>
      </c>
      <c r="AP815" s="1">
        <v>57.85</v>
      </c>
      <c r="AQ815" s="1"/>
      <c r="AR815" s="1"/>
      <c r="AS815" s="1"/>
      <c r="AT815" s="1"/>
      <c r="AU815" s="1"/>
      <c r="AV815" s="1"/>
      <c r="AW815" s="1"/>
      <c r="AX815" s="1" t="s">
        <v>8858</v>
      </c>
      <c r="AY815" s="1" t="s">
        <v>14911</v>
      </c>
      <c r="AZ815" s="1" t="s">
        <v>1407</v>
      </c>
      <c r="BA815" s="1" t="s">
        <v>1361</v>
      </c>
      <c r="BB815" s="1">
        <v>59.5</v>
      </c>
      <c r="BC815" s="1"/>
      <c r="BD815" s="1"/>
      <c r="BE815" s="1"/>
      <c r="BF815" s="1"/>
      <c r="BG815" s="1"/>
      <c r="BH815" s="1"/>
      <c r="BI815" s="1"/>
      <c r="BJ815" s="1" t="s">
        <v>1383</v>
      </c>
      <c r="BK815" s="1"/>
      <c r="BL815" s="1"/>
      <c r="BM815" s="1" t="s">
        <v>14912</v>
      </c>
      <c r="BN815" s="1">
        <v>22</v>
      </c>
      <c r="BO815" s="1" t="s">
        <v>14913</v>
      </c>
      <c r="BP815" s="1" t="str">
        <f>HYPERLINK("https://nconnect.nicmar.ac.in/storage/profile/ProfilePhoto_P25702027_156924.jpg","Download")</f>
        <v>0</v>
      </c>
      <c r="BQ815" s="3"/>
      <c r="BR815" s="3"/>
    </row>
    <row r="816" spans="1:70">
      <c r="A816" s="1" t="s">
        <v>441</v>
      </c>
      <c r="B816" s="1" t="s">
        <v>1269</v>
      </c>
      <c r="C816" s="1" t="s">
        <v>14914</v>
      </c>
      <c r="D816" s="1" t="s">
        <v>5763</v>
      </c>
      <c r="E816" s="1" t="s">
        <v>14915</v>
      </c>
      <c r="F816" s="1" t="s">
        <v>14916</v>
      </c>
      <c r="G816" s="1" t="s">
        <v>14917</v>
      </c>
      <c r="H816" s="1" t="s">
        <v>14918</v>
      </c>
      <c r="I816" s="1" t="s">
        <v>14919</v>
      </c>
      <c r="J816" s="1">
        <v>7558269151</v>
      </c>
      <c r="K816" s="1" t="s">
        <v>79</v>
      </c>
      <c r="L816" s="1" t="s">
        <v>14920</v>
      </c>
      <c r="M816" s="1" t="s">
        <v>81</v>
      </c>
      <c r="N816" s="1" t="s">
        <v>1418</v>
      </c>
      <c r="O816" s="1"/>
      <c r="P816" s="1" t="s">
        <v>1323</v>
      </c>
      <c r="Q816" s="1" t="s">
        <v>14921</v>
      </c>
      <c r="R816" s="1" t="s">
        <v>14915</v>
      </c>
      <c r="S816" s="1">
        <v>9812887049</v>
      </c>
      <c r="T816" s="1" t="s">
        <v>14922</v>
      </c>
      <c r="U816" s="1" t="s">
        <v>14923</v>
      </c>
      <c r="V816" s="1">
        <v>9112724882</v>
      </c>
      <c r="W816" s="1" t="s">
        <v>156</v>
      </c>
      <c r="X816" s="1" t="s">
        <v>14924</v>
      </c>
      <c r="Y816" s="1" t="s">
        <v>523</v>
      </c>
      <c r="Z816" s="1" t="s">
        <v>92</v>
      </c>
      <c r="AA816" s="1" t="s">
        <v>14924</v>
      </c>
      <c r="AB816" s="1" t="s">
        <v>523</v>
      </c>
      <c r="AC816" s="1" t="s">
        <v>92</v>
      </c>
      <c r="AD816" s="1">
        <v>8.56</v>
      </c>
      <c r="AE816" s="1" t="s">
        <v>93</v>
      </c>
      <c r="AF816" s="1" t="s">
        <v>14925</v>
      </c>
      <c r="AG816" s="1" t="s">
        <v>307</v>
      </c>
      <c r="AH816" s="1" t="s">
        <v>337</v>
      </c>
      <c r="AI816" s="1" t="s">
        <v>279</v>
      </c>
      <c r="AJ816" s="1">
        <v>76</v>
      </c>
      <c r="AK816" s="1">
        <v>8</v>
      </c>
      <c r="AL816" s="1" t="s">
        <v>14926</v>
      </c>
      <c r="AM816" s="1" t="s">
        <v>160</v>
      </c>
      <c r="AN816" s="1" t="s">
        <v>383</v>
      </c>
      <c r="AO816" s="1" t="s">
        <v>1307</v>
      </c>
      <c r="AP816" s="1">
        <v>54.62</v>
      </c>
      <c r="AQ816" s="1"/>
      <c r="AR816" s="1"/>
      <c r="AS816" s="1"/>
      <c r="AT816" s="1"/>
      <c r="AU816" s="1"/>
      <c r="AV816" s="1"/>
      <c r="AW816" s="1"/>
      <c r="AX816" s="1" t="s">
        <v>361</v>
      </c>
      <c r="AY816" s="1" t="s">
        <v>14927</v>
      </c>
      <c r="AZ816" s="1" t="s">
        <v>169</v>
      </c>
      <c r="BA816" s="1" t="s">
        <v>386</v>
      </c>
      <c r="BB816" s="1">
        <v>59.7</v>
      </c>
      <c r="BC816" s="1">
        <v>6.72</v>
      </c>
      <c r="BD816" s="1"/>
      <c r="BE816" s="1"/>
      <c r="BF816" s="1"/>
      <c r="BG816" s="1"/>
      <c r="BH816" s="1"/>
      <c r="BI816" s="1"/>
      <c r="BJ816" s="1" t="s">
        <v>14928</v>
      </c>
      <c r="BK816" s="1" t="s">
        <v>14929</v>
      </c>
      <c r="BL816" s="1" t="s">
        <v>484</v>
      </c>
      <c r="BM816" s="1" t="s">
        <v>14930</v>
      </c>
      <c r="BN816" s="1">
        <v>12</v>
      </c>
      <c r="BO816" s="1" t="s">
        <v>14931</v>
      </c>
      <c r="BP816" s="1" t="str">
        <f>HYPERLINK("https://nconnect.nicmar.ac.in/storage/profile/ProfilePhoto_P25702028_937845.jpg","Download")</f>
        <v>0</v>
      </c>
      <c r="BQ816" s="3"/>
      <c r="BR816" s="3"/>
    </row>
    <row r="817" spans="1:70">
      <c r="A817" s="1" t="s">
        <v>441</v>
      </c>
      <c r="B817" s="1" t="s">
        <v>1269</v>
      </c>
      <c r="C817" s="1" t="s">
        <v>14932</v>
      </c>
      <c r="D817" s="1" t="s">
        <v>14933</v>
      </c>
      <c r="E817" s="1" t="s">
        <v>144</v>
      </c>
      <c r="F817" s="1" t="s">
        <v>14934</v>
      </c>
      <c r="G817" s="1" t="s">
        <v>14935</v>
      </c>
      <c r="H817" s="1" t="s">
        <v>14936</v>
      </c>
      <c r="I817" s="1" t="s">
        <v>14937</v>
      </c>
      <c r="J817" s="1">
        <v>7276167578</v>
      </c>
      <c r="K817" s="1" t="s">
        <v>79</v>
      </c>
      <c r="L817" s="1" t="s">
        <v>3512</v>
      </c>
      <c r="M817" s="1" t="s">
        <v>81</v>
      </c>
      <c r="N817" s="1" t="s">
        <v>2008</v>
      </c>
      <c r="O817" s="1"/>
      <c r="P817" s="1" t="s">
        <v>1323</v>
      </c>
      <c r="Q817" s="1" t="s">
        <v>14938</v>
      </c>
      <c r="R817" s="1" t="s">
        <v>14939</v>
      </c>
      <c r="S817" s="1">
        <v>9423977883</v>
      </c>
      <c r="T817" s="1" t="s">
        <v>763</v>
      </c>
      <c r="U817" s="1" t="s">
        <v>14940</v>
      </c>
      <c r="V817" s="1">
        <v>9511212856</v>
      </c>
      <c r="W817" s="1" t="s">
        <v>156</v>
      </c>
      <c r="X817" s="1" t="s">
        <v>14941</v>
      </c>
      <c r="Y817" s="1" t="s">
        <v>191</v>
      </c>
      <c r="Z817" s="1" t="s">
        <v>92</v>
      </c>
      <c r="AA817" s="1" t="s">
        <v>14941</v>
      </c>
      <c r="AB817" s="1" t="s">
        <v>191</v>
      </c>
      <c r="AC817" s="1" t="s">
        <v>92</v>
      </c>
      <c r="AD817" s="1">
        <v>7.61</v>
      </c>
      <c r="AE817" s="1" t="s">
        <v>93</v>
      </c>
      <c r="AF817" s="1" t="s">
        <v>14942</v>
      </c>
      <c r="AG817" s="1" t="s">
        <v>160</v>
      </c>
      <c r="AH817" s="1" t="s">
        <v>165</v>
      </c>
      <c r="AI817" s="1" t="s">
        <v>281</v>
      </c>
      <c r="AJ817" s="1">
        <v>79</v>
      </c>
      <c r="AK817" s="1"/>
      <c r="AL817" s="1"/>
      <c r="AM817" s="1"/>
      <c r="AN817" s="1"/>
      <c r="AO817" s="1"/>
      <c r="AP817" s="1"/>
      <c r="AQ817" s="1"/>
      <c r="AR817" s="1" t="s">
        <v>98</v>
      </c>
      <c r="AS817" s="1" t="s">
        <v>14943</v>
      </c>
      <c r="AT817" s="1" t="s">
        <v>636</v>
      </c>
      <c r="AU817" s="1" t="s">
        <v>2632</v>
      </c>
      <c r="AV817" s="1">
        <v>69</v>
      </c>
      <c r="AW817" s="1"/>
      <c r="AX817" s="1" t="s">
        <v>361</v>
      </c>
      <c r="AY817" s="1" t="s">
        <v>14944</v>
      </c>
      <c r="AZ817" s="1" t="s">
        <v>2693</v>
      </c>
      <c r="BA817" s="1" t="s">
        <v>6092</v>
      </c>
      <c r="BB817" s="1">
        <v>56.2</v>
      </c>
      <c r="BC817" s="1">
        <v>5.99</v>
      </c>
      <c r="BD817" s="1"/>
      <c r="BE817" s="1"/>
      <c r="BF817" s="1"/>
      <c r="BG817" s="1"/>
      <c r="BH817" s="1"/>
      <c r="BI817" s="1"/>
      <c r="BJ817" s="1" t="s">
        <v>14945</v>
      </c>
      <c r="BK817" s="1"/>
      <c r="BL817" s="1"/>
      <c r="BM817" s="1" t="s">
        <v>14946</v>
      </c>
      <c r="BN817" s="1">
        <v>17</v>
      </c>
      <c r="BO817" s="1" t="s">
        <v>14947</v>
      </c>
      <c r="BP817" s="1" t="str">
        <f>HYPERLINK("https://nconnect.nicmar.ac.in/storage/profile/ProfilePhoto_P25702029_478612.jpg","Download")</f>
        <v>0</v>
      </c>
      <c r="BQ817" s="3"/>
      <c r="BR817" s="3"/>
    </row>
    <row r="818" spans="1:70">
      <c r="A818" s="1" t="s">
        <v>441</v>
      </c>
      <c r="B818" s="1" t="s">
        <v>1269</v>
      </c>
      <c r="C818" s="1" t="s">
        <v>14948</v>
      </c>
      <c r="D818" s="1" t="s">
        <v>1809</v>
      </c>
      <c r="E818" s="1" t="s">
        <v>13698</v>
      </c>
      <c r="F818" s="1" t="s">
        <v>14949</v>
      </c>
      <c r="G818" s="1" t="s">
        <v>14950</v>
      </c>
      <c r="H818" s="1" t="s">
        <v>14951</v>
      </c>
      <c r="I818" s="1" t="s">
        <v>14952</v>
      </c>
      <c r="J818" s="1">
        <v>7517419935</v>
      </c>
      <c r="K818" s="1" t="s">
        <v>148</v>
      </c>
      <c r="L818" s="1" t="s">
        <v>14953</v>
      </c>
      <c r="M818" s="1" t="s">
        <v>81</v>
      </c>
      <c r="N818" s="1" t="s">
        <v>2008</v>
      </c>
      <c r="O818" s="1"/>
      <c r="P818" s="1" t="s">
        <v>1298</v>
      </c>
      <c r="Q818" s="1" t="s">
        <v>14954</v>
      </c>
      <c r="R818" s="1" t="s">
        <v>14955</v>
      </c>
      <c r="S818" s="1">
        <v>9765368537</v>
      </c>
      <c r="T818" s="1" t="s">
        <v>14956</v>
      </c>
      <c r="U818" s="1" t="s">
        <v>14957</v>
      </c>
      <c r="V818" s="1">
        <v>9158047991</v>
      </c>
      <c r="W818" s="1" t="s">
        <v>156</v>
      </c>
      <c r="X818" s="1" t="s">
        <v>14958</v>
      </c>
      <c r="Y818" s="1" t="s">
        <v>219</v>
      </c>
      <c r="Z818" s="1" t="s">
        <v>92</v>
      </c>
      <c r="AA818" s="1" t="s">
        <v>14958</v>
      </c>
      <c r="AB818" s="1" t="s">
        <v>219</v>
      </c>
      <c r="AC818" s="1" t="s">
        <v>92</v>
      </c>
      <c r="AD818" s="1">
        <v>7.42</v>
      </c>
      <c r="AE818" s="1" t="s">
        <v>93</v>
      </c>
      <c r="AF818" s="1" t="s">
        <v>14959</v>
      </c>
      <c r="AG818" s="1" t="s">
        <v>14960</v>
      </c>
      <c r="AH818" s="1" t="s">
        <v>131</v>
      </c>
      <c r="AI818" s="1" t="s">
        <v>456</v>
      </c>
      <c r="AJ818" s="1">
        <v>85</v>
      </c>
      <c r="AK818" s="1"/>
      <c r="AL818" s="1" t="s">
        <v>14961</v>
      </c>
      <c r="AM818" s="1" t="s">
        <v>14960</v>
      </c>
      <c r="AN818" s="1" t="s">
        <v>195</v>
      </c>
      <c r="AO818" s="1" t="s">
        <v>457</v>
      </c>
      <c r="AP818" s="1">
        <v>53.08</v>
      </c>
      <c r="AQ818" s="1"/>
      <c r="AR818" s="1"/>
      <c r="AS818" s="1"/>
      <c r="AT818" s="1"/>
      <c r="AU818" s="1"/>
      <c r="AV818" s="1"/>
      <c r="AW818" s="1"/>
      <c r="AX818" s="1" t="s">
        <v>14962</v>
      </c>
      <c r="AY818" s="1" t="s">
        <v>14963</v>
      </c>
      <c r="AZ818" s="1" t="s">
        <v>169</v>
      </c>
      <c r="BA818" s="1" t="s">
        <v>386</v>
      </c>
      <c r="BB818" s="1">
        <v>69.82</v>
      </c>
      <c r="BC818" s="1">
        <v>7.35</v>
      </c>
      <c r="BD818" s="1"/>
      <c r="BE818" s="1"/>
      <c r="BF818" s="1"/>
      <c r="BG818" s="1"/>
      <c r="BH818" s="1"/>
      <c r="BI818" s="1"/>
      <c r="BJ818" s="1" t="s">
        <v>14964</v>
      </c>
      <c r="BK818" s="1"/>
      <c r="BL818" s="1"/>
      <c r="BM818" s="1" t="s">
        <v>14965</v>
      </c>
      <c r="BN818" s="1">
        <v>33</v>
      </c>
      <c r="BO818" s="1"/>
      <c r="BP818" s="1" t="str">
        <f>HYPERLINK("https://nconnect.nicmar.ac.in/storage/profile/ProfilePhoto_P25702030_594783.jpg","Download")</f>
        <v>0</v>
      </c>
      <c r="BQ818" s="3"/>
      <c r="BR818" s="3"/>
    </row>
    <row r="819" spans="1:70">
      <c r="A819" s="1" t="s">
        <v>441</v>
      </c>
      <c r="B819" s="1" t="s">
        <v>1269</v>
      </c>
      <c r="C819" s="1" t="s">
        <v>14966</v>
      </c>
      <c r="D819" s="1" t="s">
        <v>11187</v>
      </c>
      <c r="E819" s="1" t="s">
        <v>144</v>
      </c>
      <c r="F819" s="1" t="s">
        <v>393</v>
      </c>
      <c r="G819" s="1" t="s">
        <v>14967</v>
      </c>
      <c r="H819" s="1" t="s">
        <v>14968</v>
      </c>
      <c r="I819" s="1" t="s">
        <v>14969</v>
      </c>
      <c r="J819" s="1">
        <v>9529272388</v>
      </c>
      <c r="K819" s="1" t="s">
        <v>79</v>
      </c>
      <c r="L819" s="1" t="s">
        <v>14970</v>
      </c>
      <c r="M819" s="1" t="s">
        <v>81</v>
      </c>
      <c r="N819" s="1" t="s">
        <v>14971</v>
      </c>
      <c r="O819" s="1" t="s">
        <v>14972</v>
      </c>
      <c r="P819" s="1" t="s">
        <v>1278</v>
      </c>
      <c r="Q819" s="1" t="s">
        <v>14973</v>
      </c>
      <c r="R819" s="1" t="s">
        <v>144</v>
      </c>
      <c r="S819" s="1">
        <v>9529272388</v>
      </c>
      <c r="T819" s="1" t="s">
        <v>120</v>
      </c>
      <c r="U819" s="1" t="s">
        <v>14974</v>
      </c>
      <c r="V819" s="1">
        <v>9552555331</v>
      </c>
      <c r="W819" s="1" t="s">
        <v>651</v>
      </c>
      <c r="X819" s="1" t="s">
        <v>14975</v>
      </c>
      <c r="Y819" s="1" t="s">
        <v>405</v>
      </c>
      <c r="Z819" s="1" t="s">
        <v>92</v>
      </c>
      <c r="AA819" s="1" t="s">
        <v>14975</v>
      </c>
      <c r="AB819" s="1" t="s">
        <v>405</v>
      </c>
      <c r="AC819" s="1" t="s">
        <v>92</v>
      </c>
      <c r="AD819" s="1" t="s">
        <v>93</v>
      </c>
      <c r="AE819" s="1" t="s">
        <v>93</v>
      </c>
      <c r="AF819" s="1" t="s">
        <v>3669</v>
      </c>
      <c r="AG819" s="1" t="s">
        <v>476</v>
      </c>
      <c r="AH819" s="1" t="s">
        <v>97</v>
      </c>
      <c r="AI819" s="1" t="s">
        <v>456</v>
      </c>
      <c r="AJ819" s="1">
        <v>80.4</v>
      </c>
      <c r="AK819" s="1"/>
      <c r="AL819" s="1" t="s">
        <v>14976</v>
      </c>
      <c r="AM819" s="1" t="s">
        <v>476</v>
      </c>
      <c r="AN819" s="1" t="s">
        <v>195</v>
      </c>
      <c r="AO819" s="1" t="s">
        <v>281</v>
      </c>
      <c r="AP819" s="1">
        <v>53</v>
      </c>
      <c r="AQ819" s="1"/>
      <c r="AR819" s="1"/>
      <c r="AS819" s="1"/>
      <c r="AT819" s="1"/>
      <c r="AU819" s="1"/>
      <c r="AV819" s="1"/>
      <c r="AW819" s="1"/>
      <c r="AX819" s="1" t="s">
        <v>410</v>
      </c>
      <c r="AY819" s="1" t="s">
        <v>14977</v>
      </c>
      <c r="AZ819" s="1" t="s">
        <v>636</v>
      </c>
      <c r="BA819" s="1" t="s">
        <v>1134</v>
      </c>
      <c r="BB819" s="1">
        <v>56.6</v>
      </c>
      <c r="BC819" s="1">
        <v>6.41</v>
      </c>
      <c r="BD819" s="1"/>
      <c r="BE819" s="1"/>
      <c r="BF819" s="1"/>
      <c r="BG819" s="1"/>
      <c r="BH819" s="1"/>
      <c r="BI819" s="1"/>
      <c r="BJ819" s="1" t="s">
        <v>14978</v>
      </c>
      <c r="BK819" s="1"/>
      <c r="BL819" s="1"/>
      <c r="BM819" s="1" t="s">
        <v>14979</v>
      </c>
      <c r="BN819" s="1">
        <v>2</v>
      </c>
      <c r="BO819" s="1"/>
      <c r="BP819" s="1" t="str">
        <f>HYPERLINK("https://nconnect.nicmar.ac.in/storage/profile/ProfilePhoto_P25702031_539764.jpg","Download")</f>
        <v>0</v>
      </c>
      <c r="BQ819" s="3"/>
      <c r="BR819" s="3"/>
    </row>
    <row r="820" spans="1:70">
      <c r="A820" s="1" t="s">
        <v>441</v>
      </c>
      <c r="B820" s="1" t="s">
        <v>1269</v>
      </c>
      <c r="C820" s="1" t="s">
        <v>14980</v>
      </c>
      <c r="D820" s="1" t="s">
        <v>2167</v>
      </c>
      <c r="E820" s="1"/>
      <c r="F820" s="1" t="s">
        <v>5071</v>
      </c>
      <c r="G820" s="1" t="s">
        <v>14981</v>
      </c>
      <c r="H820" s="1" t="s">
        <v>14982</v>
      </c>
      <c r="I820" s="1" t="s">
        <v>14983</v>
      </c>
      <c r="J820" s="1">
        <v>8138844161</v>
      </c>
      <c r="K820" s="1" t="s">
        <v>79</v>
      </c>
      <c r="L820" s="1" t="s">
        <v>14984</v>
      </c>
      <c r="M820" s="1" t="s">
        <v>81</v>
      </c>
      <c r="N820" s="1" t="s">
        <v>4067</v>
      </c>
      <c r="O820" s="1" t="s">
        <v>14985</v>
      </c>
      <c r="P820" s="1" t="s">
        <v>1278</v>
      </c>
      <c r="Q820" s="1" t="s">
        <v>14986</v>
      </c>
      <c r="R820" s="1" t="s">
        <v>14987</v>
      </c>
      <c r="S820" s="1">
        <v>8086487698</v>
      </c>
      <c r="T820" s="1" t="s">
        <v>842</v>
      </c>
      <c r="U820" s="1" t="s">
        <v>14988</v>
      </c>
      <c r="V820" s="1">
        <v>9037368968</v>
      </c>
      <c r="W820" s="1" t="s">
        <v>89</v>
      </c>
      <c r="X820" s="1" t="s">
        <v>14989</v>
      </c>
      <c r="Y820" s="1" t="s">
        <v>3330</v>
      </c>
      <c r="Z820" s="1" t="s">
        <v>125</v>
      </c>
      <c r="AA820" s="1" t="s">
        <v>14989</v>
      </c>
      <c r="AB820" s="1" t="s">
        <v>3330</v>
      </c>
      <c r="AC820" s="1" t="s">
        <v>125</v>
      </c>
      <c r="AD820" s="1">
        <v>9.32</v>
      </c>
      <c r="AE820" s="1" t="s">
        <v>93</v>
      </c>
      <c r="AF820" s="1" t="s">
        <v>14990</v>
      </c>
      <c r="AG820" s="1" t="s">
        <v>307</v>
      </c>
      <c r="AH820" s="1" t="s">
        <v>162</v>
      </c>
      <c r="AI820" s="1" t="s">
        <v>165</v>
      </c>
      <c r="AJ820" s="1">
        <v>95</v>
      </c>
      <c r="AK820" s="1">
        <v>10</v>
      </c>
      <c r="AL820" s="1" t="s">
        <v>14990</v>
      </c>
      <c r="AM820" s="1" t="s">
        <v>307</v>
      </c>
      <c r="AN820" s="1" t="s">
        <v>166</v>
      </c>
      <c r="AO820" s="1" t="s">
        <v>308</v>
      </c>
      <c r="AP820" s="1">
        <v>91</v>
      </c>
      <c r="AQ820" s="1"/>
      <c r="AR820" s="1"/>
      <c r="AS820" s="1"/>
      <c r="AT820" s="1"/>
      <c r="AU820" s="1"/>
      <c r="AV820" s="1"/>
      <c r="AW820" s="1"/>
      <c r="AX820" s="1" t="s">
        <v>14991</v>
      </c>
      <c r="AY820" s="1" t="s">
        <v>14992</v>
      </c>
      <c r="AZ820" s="1" t="s">
        <v>310</v>
      </c>
      <c r="BA820" s="1" t="s">
        <v>413</v>
      </c>
      <c r="BB820" s="1">
        <v>82.8</v>
      </c>
      <c r="BC820" s="1">
        <v>8.28</v>
      </c>
      <c r="BD820" s="1"/>
      <c r="BE820" s="1"/>
      <c r="BF820" s="1"/>
      <c r="BG820" s="1"/>
      <c r="BH820" s="1"/>
      <c r="BI820" s="1"/>
      <c r="BJ820" s="1" t="s">
        <v>14993</v>
      </c>
      <c r="BK820" s="1" t="s">
        <v>14994</v>
      </c>
      <c r="BL820" s="1" t="s">
        <v>287</v>
      </c>
      <c r="BM820" s="1" t="s">
        <v>14995</v>
      </c>
      <c r="BN820" s="1">
        <v>35</v>
      </c>
      <c r="BO820" s="1" t="s">
        <v>14996</v>
      </c>
      <c r="BP820" s="1" t="str">
        <f>HYPERLINK("https://nconnect.nicmar.ac.in/storage/profile/ProfilePhoto_P25702032_856149.jpg","Download")</f>
        <v>0</v>
      </c>
      <c r="BQ820" s="3"/>
      <c r="BR820" s="3"/>
    </row>
    <row r="821" spans="1:70">
      <c r="A821" s="1" t="s">
        <v>441</v>
      </c>
      <c r="B821" s="1" t="s">
        <v>1269</v>
      </c>
      <c r="C821" s="1" t="s">
        <v>14997</v>
      </c>
      <c r="D821" s="1" t="s">
        <v>14998</v>
      </c>
      <c r="E821" s="1" t="s">
        <v>14999</v>
      </c>
      <c r="F821" s="1" t="s">
        <v>9750</v>
      </c>
      <c r="G821" s="1" t="s">
        <v>15000</v>
      </c>
      <c r="H821" s="1" t="s">
        <v>15001</v>
      </c>
      <c r="I821" s="1" t="s">
        <v>15002</v>
      </c>
      <c r="J821" s="1">
        <v>9370854324</v>
      </c>
      <c r="K821" s="1" t="s">
        <v>79</v>
      </c>
      <c r="L821" s="1" t="s">
        <v>15003</v>
      </c>
      <c r="M821" s="1" t="s">
        <v>81</v>
      </c>
      <c r="N821" s="1" t="s">
        <v>14033</v>
      </c>
      <c r="O821" s="1"/>
      <c r="P821" s="1" t="s">
        <v>1298</v>
      </c>
      <c r="Q821" s="1" t="s">
        <v>15004</v>
      </c>
      <c r="R821" s="1" t="s">
        <v>14999</v>
      </c>
      <c r="S821" s="1">
        <v>9890903862</v>
      </c>
      <c r="T821" s="1" t="s">
        <v>1554</v>
      </c>
      <c r="U821" s="1" t="s">
        <v>15005</v>
      </c>
      <c r="V821" s="1">
        <v>9890903818</v>
      </c>
      <c r="W821" s="1" t="s">
        <v>156</v>
      </c>
      <c r="X821" s="1" t="s">
        <v>15006</v>
      </c>
      <c r="Y821" s="1" t="s">
        <v>5937</v>
      </c>
      <c r="Z821" s="1" t="s">
        <v>92</v>
      </c>
      <c r="AA821" s="1" t="s">
        <v>15007</v>
      </c>
      <c r="AB821" s="1" t="s">
        <v>5937</v>
      </c>
      <c r="AC821" s="1" t="s">
        <v>92</v>
      </c>
      <c r="AD821" s="1">
        <v>7.5</v>
      </c>
      <c r="AE821" s="1" t="s">
        <v>93</v>
      </c>
      <c r="AF821" s="1" t="s">
        <v>15008</v>
      </c>
      <c r="AG821" s="1" t="s">
        <v>15009</v>
      </c>
      <c r="AH821" s="1" t="s">
        <v>101</v>
      </c>
      <c r="AI821" s="1" t="s">
        <v>308</v>
      </c>
      <c r="AJ821" s="1">
        <v>92</v>
      </c>
      <c r="AK821" s="1">
        <v>0</v>
      </c>
      <c r="AL821" s="1" t="s">
        <v>15010</v>
      </c>
      <c r="AM821" s="1" t="s">
        <v>15011</v>
      </c>
      <c r="AN821" s="1" t="s">
        <v>699</v>
      </c>
      <c r="AO821" s="1" t="s">
        <v>2016</v>
      </c>
      <c r="AP821" s="1">
        <v>89.17</v>
      </c>
      <c r="AQ821" s="1">
        <v>0</v>
      </c>
      <c r="AR821" s="1"/>
      <c r="AS821" s="1"/>
      <c r="AT821" s="1"/>
      <c r="AU821" s="1"/>
      <c r="AV821" s="1"/>
      <c r="AW821" s="1"/>
      <c r="AX821" s="1" t="s">
        <v>361</v>
      </c>
      <c r="AY821" s="1" t="s">
        <v>6419</v>
      </c>
      <c r="AZ821" s="1" t="s">
        <v>201</v>
      </c>
      <c r="BA821" s="1" t="s">
        <v>1361</v>
      </c>
      <c r="BB821" s="1">
        <v>71.82</v>
      </c>
      <c r="BC821" s="1">
        <v>7.98</v>
      </c>
      <c r="BD821" s="1"/>
      <c r="BE821" s="1"/>
      <c r="BF821" s="1"/>
      <c r="BG821" s="1"/>
      <c r="BH821" s="1"/>
      <c r="BI821" s="1"/>
      <c r="BJ821" s="1" t="s">
        <v>364</v>
      </c>
      <c r="BK821" s="1"/>
      <c r="BL821" s="1"/>
      <c r="BM821" s="1" t="s">
        <v>15012</v>
      </c>
      <c r="BN821" s="1">
        <v>9</v>
      </c>
      <c r="BO821" s="1"/>
      <c r="BP821" s="1" t="str">
        <f>HYPERLINK("https://nconnect.nicmar.ac.in/storage/profile/ProfilePhoto_P25702033_792583.jpg","Download")</f>
        <v>0</v>
      </c>
      <c r="BQ821" s="3"/>
      <c r="BR821" s="3"/>
    </row>
    <row r="822" spans="1:70">
      <c r="A822" s="1" t="s">
        <v>441</v>
      </c>
      <c r="B822" s="1" t="s">
        <v>1269</v>
      </c>
      <c r="C822" s="1" t="s">
        <v>15013</v>
      </c>
      <c r="D822" s="1" t="s">
        <v>9831</v>
      </c>
      <c r="E822" s="1"/>
      <c r="F822" s="1" t="s">
        <v>15014</v>
      </c>
      <c r="G822" s="1" t="s">
        <v>15015</v>
      </c>
      <c r="H822" s="1" t="s">
        <v>15016</v>
      </c>
      <c r="I822" s="1" t="s">
        <v>15017</v>
      </c>
      <c r="J822" s="1">
        <v>8639120440</v>
      </c>
      <c r="K822" s="1" t="s">
        <v>79</v>
      </c>
      <c r="L822" s="1" t="s">
        <v>6953</v>
      </c>
      <c r="M822" s="1" t="s">
        <v>81</v>
      </c>
      <c r="N822" s="1" t="s">
        <v>5603</v>
      </c>
      <c r="O822" s="1"/>
      <c r="P822" s="1" t="s">
        <v>1323</v>
      </c>
      <c r="Q822" s="1" t="s">
        <v>15018</v>
      </c>
      <c r="R822" s="1" t="s">
        <v>15019</v>
      </c>
      <c r="S822" s="1">
        <v>9393939971</v>
      </c>
      <c r="T822" s="1" t="s">
        <v>15020</v>
      </c>
      <c r="U822" s="1" t="s">
        <v>15021</v>
      </c>
      <c r="V822" s="1">
        <v>9652398801</v>
      </c>
      <c r="W822" s="1" t="s">
        <v>273</v>
      </c>
      <c r="X822" s="1" t="s">
        <v>15022</v>
      </c>
      <c r="Y822" s="1" t="s">
        <v>2727</v>
      </c>
      <c r="Z822" s="1" t="s">
        <v>276</v>
      </c>
      <c r="AA822" s="1" t="s">
        <v>15023</v>
      </c>
      <c r="AB822" s="1" t="s">
        <v>2727</v>
      </c>
      <c r="AC822" s="1" t="s">
        <v>276</v>
      </c>
      <c r="AD822" s="1" t="s">
        <v>93</v>
      </c>
      <c r="AE822" s="1" t="s">
        <v>93</v>
      </c>
      <c r="AF822" s="1" t="s">
        <v>2264</v>
      </c>
      <c r="AG822" s="1" t="s">
        <v>15024</v>
      </c>
      <c r="AH822" s="1" t="s">
        <v>678</v>
      </c>
      <c r="AI822" s="1" t="s">
        <v>1307</v>
      </c>
      <c r="AJ822" s="1">
        <v>93</v>
      </c>
      <c r="AK822" s="1"/>
      <c r="AL822" s="1" t="s">
        <v>1153</v>
      </c>
      <c r="AM822" s="1" t="s">
        <v>15025</v>
      </c>
      <c r="AN822" s="1" t="s">
        <v>101</v>
      </c>
      <c r="AO822" s="1" t="s">
        <v>699</v>
      </c>
      <c r="AP822" s="1">
        <v>62.5</v>
      </c>
      <c r="AQ822" s="1">
        <v>6.25</v>
      </c>
      <c r="AR822" s="1"/>
      <c r="AS822" s="1"/>
      <c r="AT822" s="1"/>
      <c r="AU822" s="1"/>
      <c r="AV822" s="1"/>
      <c r="AW822" s="1"/>
      <c r="AX822" s="1" t="s">
        <v>15026</v>
      </c>
      <c r="AY822" s="1" t="s">
        <v>15027</v>
      </c>
      <c r="AZ822" s="1" t="s">
        <v>699</v>
      </c>
      <c r="BA822" s="1" t="s">
        <v>202</v>
      </c>
      <c r="BB822" s="1">
        <v>63.93</v>
      </c>
      <c r="BC822" s="1">
        <v>7.75</v>
      </c>
      <c r="BD822" s="1"/>
      <c r="BE822" s="1"/>
      <c r="BF822" s="1"/>
      <c r="BG822" s="1"/>
      <c r="BH822" s="1"/>
      <c r="BI822" s="1"/>
      <c r="BJ822" s="1" t="s">
        <v>15028</v>
      </c>
      <c r="BK822" s="1"/>
      <c r="BL822" s="1"/>
      <c r="BM822" s="1" t="s">
        <v>15029</v>
      </c>
      <c r="BN822" s="1">
        <v>9</v>
      </c>
      <c r="BO822" s="1"/>
      <c r="BP822" s="1" t="str">
        <f>HYPERLINK("https://nconnect.nicmar.ac.in/storage/profile/ProfilePhoto_P25702034_732194.jpg","Download")</f>
        <v>0</v>
      </c>
      <c r="BQ822" s="3"/>
      <c r="BR822" s="3"/>
    </row>
    <row r="823" spans="1:70">
      <c r="A823" s="1" t="s">
        <v>441</v>
      </c>
      <c r="B823" s="1" t="s">
        <v>1269</v>
      </c>
      <c r="C823" s="1" t="s">
        <v>15030</v>
      </c>
      <c r="D823" s="1" t="s">
        <v>14768</v>
      </c>
      <c r="E823" s="1" t="s">
        <v>5088</v>
      </c>
      <c r="F823" s="1" t="s">
        <v>7794</v>
      </c>
      <c r="G823" s="1" t="s">
        <v>15031</v>
      </c>
      <c r="H823" s="1" t="s">
        <v>15032</v>
      </c>
      <c r="I823" s="1" t="s">
        <v>15033</v>
      </c>
      <c r="J823" s="1">
        <v>8856058919</v>
      </c>
      <c r="K823" s="1" t="s">
        <v>148</v>
      </c>
      <c r="L823" s="1" t="s">
        <v>15034</v>
      </c>
      <c r="M823" s="1" t="s">
        <v>81</v>
      </c>
      <c r="N823" s="1" t="s">
        <v>860</v>
      </c>
      <c r="O823" s="1" t="s">
        <v>15035</v>
      </c>
      <c r="P823" s="1" t="s">
        <v>1323</v>
      </c>
      <c r="Q823" s="1" t="s">
        <v>15036</v>
      </c>
      <c r="R823" s="1" t="s">
        <v>5088</v>
      </c>
      <c r="S823" s="1">
        <v>8551899461</v>
      </c>
      <c r="T823" s="1" t="s">
        <v>976</v>
      </c>
      <c r="U823" s="1" t="s">
        <v>10060</v>
      </c>
      <c r="V823" s="1">
        <v>9112199461</v>
      </c>
      <c r="W823" s="1" t="s">
        <v>156</v>
      </c>
      <c r="X823" s="1" t="s">
        <v>15037</v>
      </c>
      <c r="Y823" s="1" t="s">
        <v>6399</v>
      </c>
      <c r="Z823" s="1" t="s">
        <v>92</v>
      </c>
      <c r="AA823" s="1" t="s">
        <v>15037</v>
      </c>
      <c r="AB823" s="1" t="s">
        <v>6399</v>
      </c>
      <c r="AC823" s="1" t="s">
        <v>92</v>
      </c>
      <c r="AD823" s="1" t="s">
        <v>93</v>
      </c>
      <c r="AE823" s="1" t="s">
        <v>93</v>
      </c>
      <c r="AF823" s="1" t="s">
        <v>15038</v>
      </c>
      <c r="AG823" s="1" t="s">
        <v>15039</v>
      </c>
      <c r="AH823" s="1" t="s">
        <v>162</v>
      </c>
      <c r="AI823" s="1" t="s">
        <v>195</v>
      </c>
      <c r="AJ823" s="1">
        <v>57.4</v>
      </c>
      <c r="AK823" s="1"/>
      <c r="AL823" s="1" t="s">
        <v>15040</v>
      </c>
      <c r="AM823" s="1" t="s">
        <v>15041</v>
      </c>
      <c r="AN823" s="1" t="s">
        <v>101</v>
      </c>
      <c r="AO823" s="1" t="s">
        <v>198</v>
      </c>
      <c r="AP823" s="1">
        <v>66.46</v>
      </c>
      <c r="AQ823" s="1"/>
      <c r="AR823" s="1"/>
      <c r="AS823" s="1"/>
      <c r="AT823" s="1"/>
      <c r="AU823" s="1"/>
      <c r="AV823" s="1"/>
      <c r="AW823" s="1"/>
      <c r="AX823" s="1" t="s">
        <v>361</v>
      </c>
      <c r="AY823" s="1" t="s">
        <v>15042</v>
      </c>
      <c r="AZ823" s="1" t="s">
        <v>201</v>
      </c>
      <c r="BA823" s="1" t="s">
        <v>174</v>
      </c>
      <c r="BB823" s="1">
        <v>65.4</v>
      </c>
      <c r="BC823" s="1">
        <v>7.35</v>
      </c>
      <c r="BD823" s="1"/>
      <c r="BE823" s="1"/>
      <c r="BF823" s="1"/>
      <c r="BG823" s="1"/>
      <c r="BH823" s="1"/>
      <c r="BI823" s="1"/>
      <c r="BJ823" s="1" t="s">
        <v>1940</v>
      </c>
      <c r="BK823" s="1"/>
      <c r="BL823" s="1"/>
      <c r="BM823" s="1" t="s">
        <v>15043</v>
      </c>
      <c r="BN823" s="1">
        <v>26</v>
      </c>
      <c r="BO823" s="1" t="s">
        <v>15044</v>
      </c>
      <c r="BP823" s="1" t="str">
        <f>HYPERLINK("https://nconnect.nicmar.ac.in/storage/profile/ProfilePhoto_P25702035_359426.jpg","Download")</f>
        <v>0</v>
      </c>
      <c r="BQ823" s="3"/>
      <c r="BR823" s="3"/>
    </row>
    <row r="824" spans="1:70">
      <c r="A824" s="1" t="s">
        <v>441</v>
      </c>
      <c r="B824" s="1" t="s">
        <v>1269</v>
      </c>
      <c r="C824" s="1" t="s">
        <v>15045</v>
      </c>
      <c r="D824" s="1" t="s">
        <v>15046</v>
      </c>
      <c r="E824" s="1" t="s">
        <v>15047</v>
      </c>
      <c r="F824" s="1" t="s">
        <v>15048</v>
      </c>
      <c r="G824" s="1" t="s">
        <v>15049</v>
      </c>
      <c r="H824" s="1" t="s">
        <v>15050</v>
      </c>
      <c r="I824" s="1" t="s">
        <v>15051</v>
      </c>
      <c r="J824" s="1">
        <v>8855949360</v>
      </c>
      <c r="K824" s="1" t="s">
        <v>79</v>
      </c>
      <c r="L824" s="1" t="s">
        <v>15052</v>
      </c>
      <c r="M824" s="1" t="s">
        <v>81</v>
      </c>
      <c r="N824" s="1" t="s">
        <v>1418</v>
      </c>
      <c r="O824" s="1"/>
      <c r="P824" s="1" t="s">
        <v>1323</v>
      </c>
      <c r="Q824" s="1" t="s">
        <v>15053</v>
      </c>
      <c r="R824" s="1" t="s">
        <v>15054</v>
      </c>
      <c r="S824" s="1">
        <v>9403353266</v>
      </c>
      <c r="T824" s="1" t="s">
        <v>15055</v>
      </c>
      <c r="U824" s="1" t="s">
        <v>1621</v>
      </c>
      <c r="V824" s="1">
        <v>9403353266</v>
      </c>
      <c r="W824" s="1" t="s">
        <v>93</v>
      </c>
      <c r="X824" s="1" t="s">
        <v>15056</v>
      </c>
      <c r="Y824" s="1" t="s">
        <v>6857</v>
      </c>
      <c r="Z824" s="1" t="s">
        <v>92</v>
      </c>
      <c r="AA824" s="1" t="s">
        <v>15056</v>
      </c>
      <c r="AB824" s="1" t="s">
        <v>6857</v>
      </c>
      <c r="AC824" s="1" t="s">
        <v>92</v>
      </c>
      <c r="AD824" s="1">
        <v>7.43</v>
      </c>
      <c r="AE824" s="1" t="s">
        <v>93</v>
      </c>
      <c r="AF824" s="1" t="s">
        <v>15057</v>
      </c>
      <c r="AG824" s="1" t="s">
        <v>544</v>
      </c>
      <c r="AH824" s="1" t="s">
        <v>162</v>
      </c>
      <c r="AI824" s="1" t="s">
        <v>195</v>
      </c>
      <c r="AJ824" s="1">
        <v>89.6</v>
      </c>
      <c r="AK824" s="1"/>
      <c r="AL824" s="1" t="s">
        <v>15058</v>
      </c>
      <c r="AM824" s="1" t="s">
        <v>544</v>
      </c>
      <c r="AN824" s="1" t="s">
        <v>101</v>
      </c>
      <c r="AO824" s="1" t="s">
        <v>198</v>
      </c>
      <c r="AP824" s="1">
        <v>57.69</v>
      </c>
      <c r="AQ824" s="1"/>
      <c r="AR824" s="1"/>
      <c r="AS824" s="1"/>
      <c r="AT824" s="1"/>
      <c r="AU824" s="1"/>
      <c r="AV824" s="1"/>
      <c r="AW824" s="1"/>
      <c r="AX824" s="1" t="s">
        <v>3070</v>
      </c>
      <c r="AY824" s="1" t="s">
        <v>15059</v>
      </c>
      <c r="AZ824" s="1" t="s">
        <v>201</v>
      </c>
      <c r="BA824" s="1" t="s">
        <v>174</v>
      </c>
      <c r="BB824" s="1">
        <v>67.81</v>
      </c>
      <c r="BC824" s="1">
        <v>7.62</v>
      </c>
      <c r="BD824" s="1"/>
      <c r="BE824" s="1"/>
      <c r="BF824" s="1"/>
      <c r="BG824" s="1"/>
      <c r="BH824" s="1"/>
      <c r="BI824" s="1"/>
      <c r="BJ824" s="1" t="s">
        <v>15060</v>
      </c>
      <c r="BK824" s="1"/>
      <c r="BL824" s="1"/>
      <c r="BM824" s="1" t="s">
        <v>15061</v>
      </c>
      <c r="BN824" s="1">
        <v>7</v>
      </c>
      <c r="BO824" s="1"/>
      <c r="BP824" s="1" t="str">
        <f>HYPERLINK("https://nconnect.nicmar.ac.in/storage/profile/ProfilePhoto_P25702036_658941.jpg","Download")</f>
        <v>0</v>
      </c>
      <c r="BQ824" s="3"/>
      <c r="BR824" s="3"/>
    </row>
    <row r="825" spans="1:70">
      <c r="A825" s="1" t="s">
        <v>441</v>
      </c>
      <c r="B825" s="1" t="s">
        <v>1269</v>
      </c>
      <c r="C825" s="1" t="s">
        <v>15062</v>
      </c>
      <c r="D825" s="1" t="s">
        <v>15063</v>
      </c>
      <c r="E825" s="1" t="s">
        <v>15064</v>
      </c>
      <c r="F825" s="1" t="s">
        <v>924</v>
      </c>
      <c r="G825" s="1" t="s">
        <v>15065</v>
      </c>
      <c r="H825" s="1" t="s">
        <v>15066</v>
      </c>
      <c r="I825" s="1" t="s">
        <v>15067</v>
      </c>
      <c r="J825" s="1">
        <v>7021314511</v>
      </c>
      <c r="K825" s="1" t="s">
        <v>79</v>
      </c>
      <c r="L825" s="1" t="s">
        <v>15068</v>
      </c>
      <c r="M825" s="1" t="s">
        <v>81</v>
      </c>
      <c r="N825" s="1" t="s">
        <v>860</v>
      </c>
      <c r="O825" s="1"/>
      <c r="P825" s="1" t="s">
        <v>1278</v>
      </c>
      <c r="Q825" s="1" t="s">
        <v>15069</v>
      </c>
      <c r="R825" s="1" t="s">
        <v>15070</v>
      </c>
      <c r="S825" s="1">
        <v>9892544733</v>
      </c>
      <c r="T825" s="1" t="s">
        <v>5459</v>
      </c>
      <c r="U825" s="1" t="s">
        <v>15071</v>
      </c>
      <c r="V825" s="1">
        <v>7021898208</v>
      </c>
      <c r="W825" s="1" t="s">
        <v>89</v>
      </c>
      <c r="X825" s="1" t="s">
        <v>15072</v>
      </c>
      <c r="Y825" s="1" t="s">
        <v>1623</v>
      </c>
      <c r="Z825" s="1" t="s">
        <v>92</v>
      </c>
      <c r="AA825" s="1" t="s">
        <v>15072</v>
      </c>
      <c r="AB825" s="1" t="s">
        <v>1623</v>
      </c>
      <c r="AC825" s="1" t="s">
        <v>92</v>
      </c>
      <c r="AD825" s="1">
        <v>8.29</v>
      </c>
      <c r="AE825" s="1" t="s">
        <v>93</v>
      </c>
      <c r="AF825" s="1" t="s">
        <v>15073</v>
      </c>
      <c r="AG825" s="1" t="s">
        <v>15074</v>
      </c>
      <c r="AH825" s="1" t="s">
        <v>527</v>
      </c>
      <c r="AI825" s="1" t="s">
        <v>195</v>
      </c>
      <c r="AJ825" s="1">
        <v>83.8</v>
      </c>
      <c r="AK825" s="1"/>
      <c r="AL825" s="1" t="s">
        <v>3048</v>
      </c>
      <c r="AM825" s="1" t="s">
        <v>15074</v>
      </c>
      <c r="AN825" s="1" t="s">
        <v>165</v>
      </c>
      <c r="AO825" s="1" t="s">
        <v>198</v>
      </c>
      <c r="AP825" s="1">
        <v>58</v>
      </c>
      <c r="AQ825" s="1"/>
      <c r="AR825" s="1"/>
      <c r="AS825" s="1"/>
      <c r="AT825" s="1"/>
      <c r="AU825" s="1"/>
      <c r="AV825" s="1"/>
      <c r="AW825" s="1"/>
      <c r="AX825" s="1" t="s">
        <v>1024</v>
      </c>
      <c r="AY825" s="1" t="s">
        <v>15075</v>
      </c>
      <c r="AZ825" s="1" t="s">
        <v>310</v>
      </c>
      <c r="BA825" s="1" t="s">
        <v>174</v>
      </c>
      <c r="BB825" s="1">
        <v>74.21</v>
      </c>
      <c r="BC825" s="1">
        <v>8.34</v>
      </c>
      <c r="BD825" s="1"/>
      <c r="BE825" s="1"/>
      <c r="BF825" s="1"/>
      <c r="BG825" s="1"/>
      <c r="BH825" s="1"/>
      <c r="BI825" s="1"/>
      <c r="BJ825" s="1" t="s">
        <v>15076</v>
      </c>
      <c r="BK825" s="1"/>
      <c r="BL825" s="1"/>
      <c r="BM825" s="1" t="s">
        <v>15077</v>
      </c>
      <c r="BN825" s="1">
        <v>39</v>
      </c>
      <c r="BO825" s="1"/>
      <c r="BP825" s="1" t="str">
        <f>HYPERLINK("https://nconnect.nicmar.ac.in/storage/profile/ProfilePhoto_P25702037_783451.jpg","Download")</f>
        <v>0</v>
      </c>
      <c r="BQ825" s="3"/>
      <c r="BR825" s="3"/>
    </row>
    <row r="826" spans="1:70">
      <c r="A826" s="1" t="s">
        <v>441</v>
      </c>
      <c r="B826" s="1" t="s">
        <v>1269</v>
      </c>
      <c r="C826" s="1" t="s">
        <v>15078</v>
      </c>
      <c r="D826" s="1" t="s">
        <v>901</v>
      </c>
      <c r="E826" s="1" t="s">
        <v>15079</v>
      </c>
      <c r="F826" s="1" t="s">
        <v>15080</v>
      </c>
      <c r="G826" s="1" t="s">
        <v>15081</v>
      </c>
      <c r="H826" s="1" t="s">
        <v>15082</v>
      </c>
      <c r="I826" s="1" t="s">
        <v>15083</v>
      </c>
      <c r="J826" s="1">
        <v>7620345159</v>
      </c>
      <c r="K826" s="1" t="s">
        <v>79</v>
      </c>
      <c r="L826" s="1" t="s">
        <v>690</v>
      </c>
      <c r="M826" s="1" t="s">
        <v>81</v>
      </c>
      <c r="N826" s="1" t="s">
        <v>14033</v>
      </c>
      <c r="O826" s="1"/>
      <c r="P826" s="1" t="s">
        <v>1298</v>
      </c>
      <c r="Q826" s="1" t="s">
        <v>15084</v>
      </c>
      <c r="R826" s="1" t="s">
        <v>15085</v>
      </c>
      <c r="S826" s="1">
        <v>9359439569</v>
      </c>
      <c r="T826" s="1" t="s">
        <v>15086</v>
      </c>
      <c r="U826" s="1" t="s">
        <v>15087</v>
      </c>
      <c r="V826" s="1">
        <v>9673071898</v>
      </c>
      <c r="W826" s="1" t="s">
        <v>156</v>
      </c>
      <c r="X826" s="1" t="s">
        <v>15088</v>
      </c>
      <c r="Y826" s="1" t="s">
        <v>405</v>
      </c>
      <c r="Z826" s="1" t="s">
        <v>92</v>
      </c>
      <c r="AA826" s="1" t="s">
        <v>15088</v>
      </c>
      <c r="AB826" s="1" t="s">
        <v>405</v>
      </c>
      <c r="AC826" s="1" t="s">
        <v>92</v>
      </c>
      <c r="AD826" s="1">
        <v>7.21</v>
      </c>
      <c r="AE826" s="1" t="s">
        <v>93</v>
      </c>
      <c r="AF826" s="1" t="s">
        <v>15089</v>
      </c>
      <c r="AG826" s="1" t="s">
        <v>15090</v>
      </c>
      <c r="AH826" s="1" t="s">
        <v>97</v>
      </c>
      <c r="AI826" s="1" t="s">
        <v>279</v>
      </c>
      <c r="AJ826" s="1">
        <v>80</v>
      </c>
      <c r="AK826" s="1">
        <v>0</v>
      </c>
      <c r="AL826" s="1" t="s">
        <v>15091</v>
      </c>
      <c r="AM826" s="1" t="s">
        <v>15092</v>
      </c>
      <c r="AN826" s="1" t="s">
        <v>733</v>
      </c>
      <c r="AO826" s="1" t="s">
        <v>101</v>
      </c>
      <c r="AP826" s="1">
        <v>64.77</v>
      </c>
      <c r="AQ826" s="1">
        <v>0</v>
      </c>
      <c r="AR826" s="1"/>
      <c r="AS826" s="1"/>
      <c r="AT826" s="1"/>
      <c r="AU826" s="1"/>
      <c r="AV826" s="1"/>
      <c r="AW826" s="1"/>
      <c r="AX826" s="1" t="s">
        <v>410</v>
      </c>
      <c r="AY826" s="1" t="s">
        <v>15093</v>
      </c>
      <c r="AZ826" s="1" t="s">
        <v>169</v>
      </c>
      <c r="BA826" s="1" t="s">
        <v>481</v>
      </c>
      <c r="BB826" s="1">
        <v>85.8</v>
      </c>
      <c r="BC826" s="1">
        <v>9.33</v>
      </c>
      <c r="BD826" s="1"/>
      <c r="BE826" s="1"/>
      <c r="BF826" s="1"/>
      <c r="BG826" s="1"/>
      <c r="BH826" s="1"/>
      <c r="BI826" s="1"/>
      <c r="BJ826" s="1" t="s">
        <v>2080</v>
      </c>
      <c r="BK826" s="1" t="s">
        <v>15094</v>
      </c>
      <c r="BL826" s="1" t="s">
        <v>5645</v>
      </c>
      <c r="BM826" s="1" t="s">
        <v>15095</v>
      </c>
      <c r="BN826" s="1">
        <v>8</v>
      </c>
      <c r="BO826" s="1" t="s">
        <v>4739</v>
      </c>
      <c r="BP826" s="1" t="str">
        <f>HYPERLINK("https://nconnect.nicmar.ac.in/storage/profile/ProfilePhoto_P25702038_746298.jpg","Download")</f>
        <v>0</v>
      </c>
      <c r="BQ826" s="3"/>
      <c r="BR826" s="3"/>
    </row>
    <row r="827" spans="1:70">
      <c r="A827" s="1" t="s">
        <v>441</v>
      </c>
      <c r="B827" s="1" t="s">
        <v>1269</v>
      </c>
      <c r="C827" s="1" t="s">
        <v>15096</v>
      </c>
      <c r="D827" s="1" t="s">
        <v>15097</v>
      </c>
      <c r="E827" s="1"/>
      <c r="F827" s="1" t="s">
        <v>4699</v>
      </c>
      <c r="G827" s="1" t="s">
        <v>15098</v>
      </c>
      <c r="H827" s="1" t="s">
        <v>15099</v>
      </c>
      <c r="I827" s="1" t="s">
        <v>15100</v>
      </c>
      <c r="J827" s="1">
        <v>8866454994</v>
      </c>
      <c r="K827" s="1" t="s">
        <v>148</v>
      </c>
      <c r="L827" s="1" t="s">
        <v>6268</v>
      </c>
      <c r="M827" s="1" t="s">
        <v>81</v>
      </c>
      <c r="N827" s="1" t="s">
        <v>5517</v>
      </c>
      <c r="O827" s="1"/>
      <c r="P827" s="1" t="s">
        <v>1323</v>
      </c>
      <c r="Q827" s="1" t="s">
        <v>15101</v>
      </c>
      <c r="R827" s="1" t="s">
        <v>15102</v>
      </c>
      <c r="S827" s="1">
        <v>9511724606</v>
      </c>
      <c r="T827" s="1" t="s">
        <v>15103</v>
      </c>
      <c r="U827" s="1" t="s">
        <v>15104</v>
      </c>
      <c r="V827" s="1">
        <v>7046356347</v>
      </c>
      <c r="W827" s="1" t="s">
        <v>15105</v>
      </c>
      <c r="X827" s="1" t="s">
        <v>15106</v>
      </c>
      <c r="Y827" s="1" t="s">
        <v>7266</v>
      </c>
      <c r="Z827" s="1" t="s">
        <v>500</v>
      </c>
      <c r="AA827" s="1" t="s">
        <v>15106</v>
      </c>
      <c r="AB827" s="1" t="s">
        <v>7266</v>
      </c>
      <c r="AC827" s="1" t="s">
        <v>500</v>
      </c>
      <c r="AD827" s="1">
        <v>8.19</v>
      </c>
      <c r="AE827" s="1" t="s">
        <v>93</v>
      </c>
      <c r="AF827" s="1" t="s">
        <v>15107</v>
      </c>
      <c r="AG827" s="1" t="s">
        <v>15108</v>
      </c>
      <c r="AH827" s="1" t="s">
        <v>998</v>
      </c>
      <c r="AI827" s="1" t="s">
        <v>162</v>
      </c>
      <c r="AJ827" s="1">
        <v>92.5</v>
      </c>
      <c r="AK827" s="1"/>
      <c r="AL827" s="1" t="s">
        <v>15109</v>
      </c>
      <c r="AM827" s="1" t="s">
        <v>15110</v>
      </c>
      <c r="AN827" s="1" t="s">
        <v>733</v>
      </c>
      <c r="AO827" s="1" t="s">
        <v>101</v>
      </c>
      <c r="AP827" s="1">
        <v>62.5</v>
      </c>
      <c r="AQ827" s="1"/>
      <c r="AR827" s="1"/>
      <c r="AS827" s="1"/>
      <c r="AT827" s="1"/>
      <c r="AU827" s="1"/>
      <c r="AV827" s="1"/>
      <c r="AW827" s="1"/>
      <c r="AX827" s="1" t="s">
        <v>8858</v>
      </c>
      <c r="AY827" s="1" t="s">
        <v>15111</v>
      </c>
      <c r="AZ827" s="1" t="s">
        <v>636</v>
      </c>
      <c r="BA827" s="1" t="s">
        <v>105</v>
      </c>
      <c r="BB827" s="1">
        <v>73.9</v>
      </c>
      <c r="BC827" s="1"/>
      <c r="BD827" s="1"/>
      <c r="BE827" s="1"/>
      <c r="BF827" s="1"/>
      <c r="BG827" s="1"/>
      <c r="BH827" s="1"/>
      <c r="BI827" s="1"/>
      <c r="BJ827" s="1" t="s">
        <v>15112</v>
      </c>
      <c r="BK827" s="1" t="s">
        <v>15113</v>
      </c>
      <c r="BL827" s="1" t="s">
        <v>1475</v>
      </c>
      <c r="BM827" s="1" t="s">
        <v>15114</v>
      </c>
      <c r="BN827" s="1">
        <v>19</v>
      </c>
      <c r="BO827" s="1" t="s">
        <v>15115</v>
      </c>
      <c r="BP827" s="1" t="str">
        <f>HYPERLINK("https://nconnect.nicmar.ac.in/storage/profile/ProfilePhoto_P25702039_538214.jpg","Download")</f>
        <v>0</v>
      </c>
      <c r="BQ827" s="3"/>
      <c r="BR827" s="3"/>
    </row>
    <row r="828" spans="1:70">
      <c r="A828" s="1" t="s">
        <v>441</v>
      </c>
      <c r="B828" s="1" t="s">
        <v>1269</v>
      </c>
      <c r="C828" s="1" t="s">
        <v>15116</v>
      </c>
      <c r="D828" s="1" t="s">
        <v>1781</v>
      </c>
      <c r="E828" s="1"/>
      <c r="F828" s="1" t="s">
        <v>1781</v>
      </c>
      <c r="G828" s="1" t="s">
        <v>15117</v>
      </c>
      <c r="H828" s="1" t="s">
        <v>15118</v>
      </c>
      <c r="I828" s="1" t="s">
        <v>15119</v>
      </c>
      <c r="J828" s="1">
        <v>8307704369</v>
      </c>
      <c r="K828" s="1" t="s">
        <v>79</v>
      </c>
      <c r="L828" s="1" t="s">
        <v>15120</v>
      </c>
      <c r="M828" s="1" t="s">
        <v>81</v>
      </c>
      <c r="N828" s="1" t="s">
        <v>82</v>
      </c>
      <c r="O828" s="1"/>
      <c r="P828" s="1" t="s">
        <v>1278</v>
      </c>
      <c r="Q828" s="1" t="s">
        <v>15121</v>
      </c>
      <c r="R828" s="1" t="s">
        <v>15122</v>
      </c>
      <c r="S828" s="1">
        <v>7082711109</v>
      </c>
      <c r="T828" s="1" t="s">
        <v>120</v>
      </c>
      <c r="U828" s="1" t="s">
        <v>15123</v>
      </c>
      <c r="V828" s="1">
        <v>9896370990</v>
      </c>
      <c r="W828" s="1" t="s">
        <v>156</v>
      </c>
      <c r="X828" s="1" t="s">
        <v>15124</v>
      </c>
      <c r="Y828" s="1" t="s">
        <v>15125</v>
      </c>
      <c r="Z828" s="1" t="s">
        <v>719</v>
      </c>
      <c r="AA828" s="1" t="s">
        <v>15124</v>
      </c>
      <c r="AB828" s="1" t="s">
        <v>15125</v>
      </c>
      <c r="AC828" s="1" t="s">
        <v>719</v>
      </c>
      <c r="AD828" s="1">
        <v>9.29</v>
      </c>
      <c r="AE828" s="1" t="s">
        <v>93</v>
      </c>
      <c r="AF828" s="1" t="s">
        <v>15126</v>
      </c>
      <c r="AG828" s="1" t="s">
        <v>15127</v>
      </c>
      <c r="AH828" s="1" t="s">
        <v>678</v>
      </c>
      <c r="AI828" s="1" t="s">
        <v>166</v>
      </c>
      <c r="AJ828" s="1">
        <v>77.8</v>
      </c>
      <c r="AK828" s="1"/>
      <c r="AL828" s="1" t="s">
        <v>15126</v>
      </c>
      <c r="AM828" s="1" t="s">
        <v>15128</v>
      </c>
      <c r="AN828" s="1" t="s">
        <v>1065</v>
      </c>
      <c r="AO828" s="1" t="s">
        <v>699</v>
      </c>
      <c r="AP828" s="1">
        <v>92.8</v>
      </c>
      <c r="AQ828" s="1"/>
      <c r="AR828" s="1"/>
      <c r="AS828" s="1"/>
      <c r="AT828" s="1"/>
      <c r="AU828" s="1"/>
      <c r="AV828" s="1"/>
      <c r="AW828" s="1"/>
      <c r="AX828" s="1" t="s">
        <v>15129</v>
      </c>
      <c r="AY828" s="1" t="s">
        <v>15130</v>
      </c>
      <c r="AZ828" s="1" t="s">
        <v>2463</v>
      </c>
      <c r="BA828" s="1" t="s">
        <v>386</v>
      </c>
      <c r="BB828" s="1">
        <v>73.82</v>
      </c>
      <c r="BC828" s="1">
        <v>7.77</v>
      </c>
      <c r="BD828" s="1"/>
      <c r="BE828" s="1"/>
      <c r="BF828" s="1"/>
      <c r="BG828" s="1"/>
      <c r="BH828" s="1"/>
      <c r="BI828" s="1"/>
      <c r="BJ828" s="1" t="s">
        <v>15131</v>
      </c>
      <c r="BK828" s="1" t="s">
        <v>15132</v>
      </c>
      <c r="BL828" s="1" t="s">
        <v>1543</v>
      </c>
      <c r="BM828" s="1" t="s">
        <v>15133</v>
      </c>
      <c r="BN828" s="1">
        <v>28</v>
      </c>
      <c r="BO828" s="1" t="s">
        <v>15134</v>
      </c>
      <c r="BP828" s="1" t="str">
        <f>HYPERLINK("https://nconnect.nicmar.ac.in/storage/profile/ProfilePhoto_P25702040_591438.jpg","Download")</f>
        <v>0</v>
      </c>
      <c r="BQ828" s="3"/>
      <c r="BR828" s="3"/>
    </row>
    <row r="829" spans="1:70">
      <c r="A829" s="1" t="s">
        <v>441</v>
      </c>
      <c r="B829" s="1" t="s">
        <v>1269</v>
      </c>
      <c r="C829" s="1" t="s">
        <v>15135</v>
      </c>
      <c r="D829" s="1" t="s">
        <v>10957</v>
      </c>
      <c r="E829" s="1" t="s">
        <v>465</v>
      </c>
      <c r="F829" s="1" t="s">
        <v>15136</v>
      </c>
      <c r="G829" s="1" t="s">
        <v>15137</v>
      </c>
      <c r="H829" s="1" t="s">
        <v>15138</v>
      </c>
      <c r="I829" s="1" t="s">
        <v>15139</v>
      </c>
      <c r="J829" s="1">
        <v>8446459475</v>
      </c>
      <c r="K829" s="1" t="s">
        <v>79</v>
      </c>
      <c r="L829" s="1" t="s">
        <v>15140</v>
      </c>
      <c r="M829" s="1" t="s">
        <v>81</v>
      </c>
      <c r="N829" s="1" t="s">
        <v>15141</v>
      </c>
      <c r="O829" s="1"/>
      <c r="P829" s="1" t="s">
        <v>1766</v>
      </c>
      <c r="Q829" s="1" t="s">
        <v>15142</v>
      </c>
      <c r="R829" s="1" t="s">
        <v>465</v>
      </c>
      <c r="S829" s="1">
        <v>9822680767</v>
      </c>
      <c r="T829" s="1" t="s">
        <v>15143</v>
      </c>
      <c r="U829" s="1" t="s">
        <v>9874</v>
      </c>
      <c r="V829" s="1">
        <v>9527545975</v>
      </c>
      <c r="W829" s="1" t="s">
        <v>156</v>
      </c>
      <c r="X829" s="1" t="s">
        <v>15144</v>
      </c>
      <c r="Y829" s="1" t="s">
        <v>2790</v>
      </c>
      <c r="Z829" s="1" t="s">
        <v>92</v>
      </c>
      <c r="AA829" s="1" t="s">
        <v>15144</v>
      </c>
      <c r="AB829" s="1" t="s">
        <v>2790</v>
      </c>
      <c r="AC829" s="1" t="s">
        <v>92</v>
      </c>
      <c r="AD829" s="1">
        <v>8.37</v>
      </c>
      <c r="AE829" s="1" t="s">
        <v>93</v>
      </c>
      <c r="AF829" s="1" t="s">
        <v>15145</v>
      </c>
      <c r="AG829" s="1" t="s">
        <v>160</v>
      </c>
      <c r="AH829" s="1" t="s">
        <v>281</v>
      </c>
      <c r="AI829" s="1" t="s">
        <v>409</v>
      </c>
      <c r="AJ829" s="1">
        <v>85.8</v>
      </c>
      <c r="AK829" s="1"/>
      <c r="AL829" s="1" t="s">
        <v>15146</v>
      </c>
      <c r="AM829" s="1" t="s">
        <v>160</v>
      </c>
      <c r="AN829" s="1" t="s">
        <v>941</v>
      </c>
      <c r="AO829" s="1" t="s">
        <v>504</v>
      </c>
      <c r="AP829" s="1">
        <v>77.17</v>
      </c>
      <c r="AQ829" s="1"/>
      <c r="AR829" s="1"/>
      <c r="AS829" s="1"/>
      <c r="AT829" s="1"/>
      <c r="AU829" s="1"/>
      <c r="AV829" s="1"/>
      <c r="AW829" s="1"/>
      <c r="AX829" s="1" t="s">
        <v>361</v>
      </c>
      <c r="AY829" s="1" t="s">
        <v>3316</v>
      </c>
      <c r="AZ829" s="1" t="s">
        <v>897</v>
      </c>
      <c r="BA829" s="1" t="s">
        <v>1408</v>
      </c>
      <c r="BB829" s="1">
        <v>61.47</v>
      </c>
      <c r="BC829" s="1">
        <v>6.47</v>
      </c>
      <c r="BD829" s="1"/>
      <c r="BE829" s="1"/>
      <c r="BF829" s="1"/>
      <c r="BG829" s="1"/>
      <c r="BH829" s="1"/>
      <c r="BI829" s="1"/>
      <c r="BJ829" s="1" t="s">
        <v>15147</v>
      </c>
      <c r="BK829" s="1"/>
      <c r="BL829" s="1"/>
      <c r="BM829" s="1" t="s">
        <v>15148</v>
      </c>
      <c r="BN829" s="1">
        <v>4</v>
      </c>
      <c r="BO829" s="1" t="s">
        <v>15149</v>
      </c>
      <c r="BP829" s="1" t="str">
        <f>HYPERLINK("https://nconnect.nicmar.ac.in/storage/profile/ProfilePhoto_P25702041_289157.jpg","Download")</f>
        <v>0</v>
      </c>
      <c r="BQ829" s="3"/>
      <c r="BR829" s="3"/>
    </row>
    <row r="830" spans="1:70">
      <c r="A830" s="1" t="s">
        <v>441</v>
      </c>
      <c r="B830" s="1" t="s">
        <v>1269</v>
      </c>
      <c r="C830" s="1" t="s">
        <v>15150</v>
      </c>
      <c r="D830" s="1" t="s">
        <v>15151</v>
      </c>
      <c r="E830" s="1"/>
      <c r="F830" s="1" t="s">
        <v>1653</v>
      </c>
      <c r="G830" s="1" t="s">
        <v>15152</v>
      </c>
      <c r="H830" s="1" t="s">
        <v>15153</v>
      </c>
      <c r="I830" s="1" t="s">
        <v>15154</v>
      </c>
      <c r="J830" s="1">
        <v>7739897579</v>
      </c>
      <c r="K830" s="1" t="s">
        <v>79</v>
      </c>
      <c r="L830" s="1" t="s">
        <v>15155</v>
      </c>
      <c r="M830" s="1" t="s">
        <v>81</v>
      </c>
      <c r="N830" s="1" t="s">
        <v>82</v>
      </c>
      <c r="O830" s="1"/>
      <c r="P830" s="1" t="s">
        <v>1323</v>
      </c>
      <c r="Q830" s="1" t="s">
        <v>15156</v>
      </c>
      <c r="R830" s="1" t="s">
        <v>713</v>
      </c>
      <c r="S830" s="1">
        <v>9472696942</v>
      </c>
      <c r="T830" s="1" t="s">
        <v>11231</v>
      </c>
      <c r="U830" s="1" t="s">
        <v>15157</v>
      </c>
      <c r="V830" s="1">
        <v>7979718965</v>
      </c>
      <c r="W830" s="1" t="s">
        <v>15158</v>
      </c>
      <c r="X830" s="1" t="s">
        <v>15159</v>
      </c>
      <c r="Y830" s="1" t="s">
        <v>15160</v>
      </c>
      <c r="Z830" s="1" t="s">
        <v>846</v>
      </c>
      <c r="AA830" s="1" t="s">
        <v>15159</v>
      </c>
      <c r="AB830" s="1" t="s">
        <v>15160</v>
      </c>
      <c r="AC830" s="1" t="s">
        <v>846</v>
      </c>
      <c r="AD830" s="1">
        <v>7.87</v>
      </c>
      <c r="AE830" s="1" t="s">
        <v>93</v>
      </c>
      <c r="AF830" s="1" t="s">
        <v>15161</v>
      </c>
      <c r="AG830" s="1" t="s">
        <v>15162</v>
      </c>
      <c r="AH830" s="1" t="s">
        <v>281</v>
      </c>
      <c r="AI830" s="1" t="s">
        <v>409</v>
      </c>
      <c r="AJ830" s="1">
        <v>61.6</v>
      </c>
      <c r="AK830" s="1"/>
      <c r="AL830" s="1" t="s">
        <v>15161</v>
      </c>
      <c r="AM830" s="1" t="s">
        <v>15162</v>
      </c>
      <c r="AN830" s="1" t="s">
        <v>409</v>
      </c>
      <c r="AO830" s="1" t="s">
        <v>504</v>
      </c>
      <c r="AP830" s="1">
        <v>63.6</v>
      </c>
      <c r="AQ830" s="1"/>
      <c r="AR830" s="1"/>
      <c r="AS830" s="1"/>
      <c r="AT830" s="1"/>
      <c r="AU830" s="1"/>
      <c r="AV830" s="1"/>
      <c r="AW830" s="1"/>
      <c r="AX830" s="1" t="s">
        <v>15163</v>
      </c>
      <c r="AY830" s="1" t="s">
        <v>15164</v>
      </c>
      <c r="AZ830" s="1" t="s">
        <v>897</v>
      </c>
      <c r="BA830" s="1" t="s">
        <v>1361</v>
      </c>
      <c r="BB830" s="1">
        <v>62.3</v>
      </c>
      <c r="BC830" s="1"/>
      <c r="BD830" s="1"/>
      <c r="BE830" s="1"/>
      <c r="BF830" s="1"/>
      <c r="BG830" s="1"/>
      <c r="BH830" s="1"/>
      <c r="BI830" s="1"/>
      <c r="BJ830" s="1" t="s">
        <v>15165</v>
      </c>
      <c r="BK830" s="1"/>
      <c r="BL830" s="1"/>
      <c r="BM830" s="1" t="s">
        <v>15166</v>
      </c>
      <c r="BN830" s="1">
        <v>8</v>
      </c>
      <c r="BO830" s="1" t="s">
        <v>15167</v>
      </c>
      <c r="BP830" s="1" t="str">
        <f>HYPERLINK("https://nconnect.nicmar.ac.in/storage/profile/ProfilePhoto_P25702042_592748.jpg","Download")</f>
        <v>0</v>
      </c>
      <c r="BQ830" s="3"/>
      <c r="BR830" s="3"/>
    </row>
    <row r="831" spans="1:70">
      <c r="A831" s="1" t="s">
        <v>441</v>
      </c>
      <c r="B831" s="1" t="s">
        <v>1269</v>
      </c>
      <c r="C831" s="1" t="s">
        <v>15168</v>
      </c>
      <c r="D831" s="1" t="s">
        <v>533</v>
      </c>
      <c r="E831" s="1" t="s">
        <v>444</v>
      </c>
      <c r="F831" s="1" t="s">
        <v>4460</v>
      </c>
      <c r="G831" s="1" t="s">
        <v>15169</v>
      </c>
      <c r="H831" s="1" t="s">
        <v>15170</v>
      </c>
      <c r="I831" s="1" t="s">
        <v>15171</v>
      </c>
      <c r="J831" s="1">
        <v>9975547234</v>
      </c>
      <c r="K831" s="1" t="s">
        <v>79</v>
      </c>
      <c r="L831" s="1" t="s">
        <v>15172</v>
      </c>
      <c r="M831" s="1" t="s">
        <v>81</v>
      </c>
      <c r="N831" s="1" t="s">
        <v>151</v>
      </c>
      <c r="O831" s="1"/>
      <c r="P831" s="1" t="s">
        <v>1298</v>
      </c>
      <c r="Q831" s="1" t="s">
        <v>15173</v>
      </c>
      <c r="R831" s="1" t="s">
        <v>15174</v>
      </c>
      <c r="S831" s="1">
        <v>8275837726</v>
      </c>
      <c r="T831" s="1" t="s">
        <v>154</v>
      </c>
      <c r="U831" s="1" t="s">
        <v>6026</v>
      </c>
      <c r="V831" s="1">
        <v>9423611488</v>
      </c>
      <c r="W831" s="1" t="s">
        <v>156</v>
      </c>
      <c r="X831" s="1" t="s">
        <v>15175</v>
      </c>
      <c r="Y831" s="1" t="s">
        <v>2906</v>
      </c>
      <c r="Z831" s="1" t="s">
        <v>92</v>
      </c>
      <c r="AA831" s="1" t="s">
        <v>15175</v>
      </c>
      <c r="AB831" s="1" t="s">
        <v>2906</v>
      </c>
      <c r="AC831" s="1" t="s">
        <v>92</v>
      </c>
      <c r="AD831" s="1">
        <v>6.21</v>
      </c>
      <c r="AE831" s="1" t="s">
        <v>93</v>
      </c>
      <c r="AF831" s="1" t="s">
        <v>15176</v>
      </c>
      <c r="AG831" s="1" t="s">
        <v>3862</v>
      </c>
      <c r="AH831" s="1" t="s">
        <v>162</v>
      </c>
      <c r="AI831" s="1" t="s">
        <v>195</v>
      </c>
      <c r="AJ831" s="1">
        <v>71.4</v>
      </c>
      <c r="AK831" s="1"/>
      <c r="AL831" s="1"/>
      <c r="AM831" s="1"/>
      <c r="AN831" s="1"/>
      <c r="AO831" s="1"/>
      <c r="AP831" s="1"/>
      <c r="AQ831" s="1"/>
      <c r="AR831" s="1" t="s">
        <v>434</v>
      </c>
      <c r="AS831" s="1" t="s">
        <v>15177</v>
      </c>
      <c r="AT831" s="1" t="s">
        <v>225</v>
      </c>
      <c r="AU831" s="1" t="s">
        <v>170</v>
      </c>
      <c r="AV831" s="1">
        <v>72.26</v>
      </c>
      <c r="AW831" s="1"/>
      <c r="AX831" s="1" t="s">
        <v>335</v>
      </c>
      <c r="AY831" s="1" t="s">
        <v>15178</v>
      </c>
      <c r="AZ831" s="1" t="s">
        <v>2016</v>
      </c>
      <c r="BA831" s="1" t="s">
        <v>229</v>
      </c>
      <c r="BB831" s="1">
        <v>57.18</v>
      </c>
      <c r="BC831" s="1">
        <v>6.12</v>
      </c>
      <c r="BD831" s="1"/>
      <c r="BE831" s="1"/>
      <c r="BF831" s="1"/>
      <c r="BG831" s="1"/>
      <c r="BH831" s="1"/>
      <c r="BI831" s="1"/>
      <c r="BJ831" s="1" t="s">
        <v>364</v>
      </c>
      <c r="BK831" s="1"/>
      <c r="BL831" s="1"/>
      <c r="BM831" s="1" t="s">
        <v>15179</v>
      </c>
      <c r="BN831" s="1">
        <v>20</v>
      </c>
      <c r="BO831" s="1" t="s">
        <v>15180</v>
      </c>
      <c r="BP831" s="1" t="str">
        <f>HYPERLINK("https://nconnect.nicmar.ac.in/storage/profile/ProfilePhoto_P25702043_481923.jpg","Download")</f>
        <v>0</v>
      </c>
      <c r="BQ831" s="3"/>
      <c r="BR831" s="3"/>
    </row>
    <row r="832" spans="1:70">
      <c r="A832" s="1" t="s">
        <v>441</v>
      </c>
      <c r="B832" s="1" t="s">
        <v>1269</v>
      </c>
      <c r="C832" s="1" t="s">
        <v>15181</v>
      </c>
      <c r="D832" s="1" t="s">
        <v>15182</v>
      </c>
      <c r="E832" s="1"/>
      <c r="F832" s="1" t="s">
        <v>15183</v>
      </c>
      <c r="G832" s="1" t="s">
        <v>15184</v>
      </c>
      <c r="H832" s="1" t="s">
        <v>15185</v>
      </c>
      <c r="I832" s="1" t="s">
        <v>15186</v>
      </c>
      <c r="J832" s="1">
        <v>9944949008</v>
      </c>
      <c r="K832" s="1" t="s">
        <v>79</v>
      </c>
      <c r="L832" s="1" t="s">
        <v>15187</v>
      </c>
      <c r="M832" s="1" t="s">
        <v>81</v>
      </c>
      <c r="N832" s="1" t="s">
        <v>15188</v>
      </c>
      <c r="O832" s="1"/>
      <c r="P832" s="1" t="s">
        <v>1298</v>
      </c>
      <c r="Q832" s="1" t="s">
        <v>15189</v>
      </c>
      <c r="R832" s="1" t="s">
        <v>15190</v>
      </c>
      <c r="S832" s="1">
        <v>9842206959</v>
      </c>
      <c r="T832" s="1" t="s">
        <v>496</v>
      </c>
      <c r="U832" s="1" t="s">
        <v>15191</v>
      </c>
      <c r="V832" s="1">
        <v>9629535515</v>
      </c>
      <c r="W832" s="1" t="s">
        <v>651</v>
      </c>
      <c r="X832" s="1" t="s">
        <v>15192</v>
      </c>
      <c r="Y832" s="1" t="s">
        <v>2929</v>
      </c>
      <c r="Z832" s="1" t="s">
        <v>1377</v>
      </c>
      <c r="AA832" s="1" t="s">
        <v>15192</v>
      </c>
      <c r="AB832" s="1" t="s">
        <v>2929</v>
      </c>
      <c r="AC832" s="1" t="s">
        <v>1377</v>
      </c>
      <c r="AD832" s="1">
        <v>7.22</v>
      </c>
      <c r="AE832" s="1" t="s">
        <v>93</v>
      </c>
      <c r="AF832" s="1" t="s">
        <v>15193</v>
      </c>
      <c r="AG832" s="1" t="s">
        <v>15194</v>
      </c>
      <c r="AH832" s="1" t="s">
        <v>165</v>
      </c>
      <c r="AI832" s="1" t="s">
        <v>281</v>
      </c>
      <c r="AJ832" s="1">
        <v>78.2</v>
      </c>
      <c r="AK832" s="1"/>
      <c r="AL832" s="1" t="s">
        <v>15193</v>
      </c>
      <c r="AM832" s="1" t="s">
        <v>15194</v>
      </c>
      <c r="AN832" s="1" t="s">
        <v>433</v>
      </c>
      <c r="AO832" s="1" t="s">
        <v>941</v>
      </c>
      <c r="AP832" s="1">
        <v>62</v>
      </c>
      <c r="AQ832" s="1"/>
      <c r="AR832" s="1"/>
      <c r="AS832" s="1"/>
      <c r="AT832" s="1"/>
      <c r="AU832" s="1"/>
      <c r="AV832" s="1"/>
      <c r="AW832" s="1"/>
      <c r="AX832" s="1" t="s">
        <v>15195</v>
      </c>
      <c r="AY832" s="1" t="s">
        <v>15196</v>
      </c>
      <c r="AZ832" s="1" t="s">
        <v>699</v>
      </c>
      <c r="BA832" s="1" t="s">
        <v>682</v>
      </c>
      <c r="BB832" s="1">
        <v>70.49</v>
      </c>
      <c r="BC832" s="1">
        <v>7.42</v>
      </c>
      <c r="BD832" s="1"/>
      <c r="BE832" s="1"/>
      <c r="BF832" s="1"/>
      <c r="BG832" s="1"/>
      <c r="BH832" s="1"/>
      <c r="BI832" s="1"/>
      <c r="BJ832" s="1" t="s">
        <v>4112</v>
      </c>
      <c r="BK832" s="1"/>
      <c r="BL832" s="1"/>
      <c r="BM832" s="1" t="s">
        <v>15197</v>
      </c>
      <c r="BN832" s="1">
        <v>11</v>
      </c>
      <c r="BO832" s="1" t="s">
        <v>15198</v>
      </c>
      <c r="BP832" s="1" t="str">
        <f>HYPERLINK("https://nconnect.nicmar.ac.in/storage/profile/ProfilePhoto_P25702044_783125.jpg","Download")</f>
        <v>0</v>
      </c>
      <c r="BQ832" s="3"/>
      <c r="BR832" s="3"/>
    </row>
    <row r="833" spans="1:70">
      <c r="A833" s="1" t="s">
        <v>441</v>
      </c>
      <c r="B833" s="1" t="s">
        <v>1269</v>
      </c>
      <c r="C833" s="1" t="s">
        <v>15199</v>
      </c>
      <c r="D833" s="1" t="s">
        <v>15200</v>
      </c>
      <c r="E833" s="1"/>
      <c r="F833" s="1" t="s">
        <v>4294</v>
      </c>
      <c r="G833" s="1" t="s">
        <v>15201</v>
      </c>
      <c r="H833" s="1" t="s">
        <v>15202</v>
      </c>
      <c r="I833" s="1" t="s">
        <v>15203</v>
      </c>
      <c r="J833" s="1">
        <v>7560825115</v>
      </c>
      <c r="K833" s="1" t="s">
        <v>148</v>
      </c>
      <c r="L833" s="1" t="s">
        <v>2172</v>
      </c>
      <c r="M833" s="1" t="s">
        <v>81</v>
      </c>
      <c r="N833" s="1" t="s">
        <v>5950</v>
      </c>
      <c r="O833" s="1"/>
      <c r="P833" s="1" t="s">
        <v>1298</v>
      </c>
      <c r="Q833" s="1" t="s">
        <v>15204</v>
      </c>
      <c r="R833" s="1" t="s">
        <v>15205</v>
      </c>
      <c r="S833" s="1">
        <v>9847916345</v>
      </c>
      <c r="T833" s="1" t="s">
        <v>15206</v>
      </c>
      <c r="U833" s="1" t="s">
        <v>15207</v>
      </c>
      <c r="V833" s="1">
        <v>9895076345</v>
      </c>
      <c r="W833" s="1" t="s">
        <v>271</v>
      </c>
      <c r="X833" s="1" t="s">
        <v>15208</v>
      </c>
      <c r="Y833" s="1" t="s">
        <v>1491</v>
      </c>
      <c r="Z833" s="1" t="s">
        <v>125</v>
      </c>
      <c r="AA833" s="1" t="s">
        <v>15208</v>
      </c>
      <c r="AB833" s="1" t="s">
        <v>1491</v>
      </c>
      <c r="AC833" s="1" t="s">
        <v>125</v>
      </c>
      <c r="AD833" s="1">
        <v>7.84</v>
      </c>
      <c r="AE833" s="1" t="s">
        <v>93</v>
      </c>
      <c r="AF833" s="1" t="s">
        <v>15209</v>
      </c>
      <c r="AG833" s="1" t="s">
        <v>15210</v>
      </c>
      <c r="AH833" s="1" t="s">
        <v>161</v>
      </c>
      <c r="AI833" s="1" t="s">
        <v>527</v>
      </c>
      <c r="AJ833" s="1">
        <v>85.5</v>
      </c>
      <c r="AK833" s="1">
        <v>9</v>
      </c>
      <c r="AL833" s="1" t="s">
        <v>15209</v>
      </c>
      <c r="AM833" s="1" t="s">
        <v>15210</v>
      </c>
      <c r="AN833" s="1" t="s">
        <v>165</v>
      </c>
      <c r="AO833" s="1" t="s">
        <v>166</v>
      </c>
      <c r="AP833" s="1">
        <v>81.2</v>
      </c>
      <c r="AQ833" s="1">
        <v>8.5</v>
      </c>
      <c r="AR833" s="1"/>
      <c r="AS833" s="1"/>
      <c r="AT833" s="1"/>
      <c r="AU833" s="1"/>
      <c r="AV833" s="1"/>
      <c r="AW833" s="1"/>
      <c r="AX833" s="1" t="s">
        <v>15211</v>
      </c>
      <c r="AY833" s="1" t="s">
        <v>15212</v>
      </c>
      <c r="AZ833" s="1" t="s">
        <v>636</v>
      </c>
      <c r="BA833" s="1" t="s">
        <v>174</v>
      </c>
      <c r="BB833" s="1">
        <v>68</v>
      </c>
      <c r="BC833" s="1">
        <v>6.91</v>
      </c>
      <c r="BD833" s="1"/>
      <c r="BE833" s="1"/>
      <c r="BF833" s="1"/>
      <c r="BG833" s="1"/>
      <c r="BH833" s="1"/>
      <c r="BI833" s="1"/>
      <c r="BJ833" s="1" t="s">
        <v>15213</v>
      </c>
      <c r="BK833" s="1" t="s">
        <v>15214</v>
      </c>
      <c r="BL833" s="1" t="s">
        <v>2019</v>
      </c>
      <c r="BM833" s="1" t="s">
        <v>15215</v>
      </c>
      <c r="BN833" s="1">
        <v>25</v>
      </c>
      <c r="BO833" s="1"/>
      <c r="BP833" s="1" t="str">
        <f>HYPERLINK("https://nconnect.nicmar.ac.in/storage/profile/ProfilePhoto_P25702045_132689.jpg","Download")</f>
        <v>0</v>
      </c>
      <c r="BQ833" s="3"/>
      <c r="BR833" s="3"/>
    </row>
    <row r="834" spans="1:70">
      <c r="A834" s="1" t="s">
        <v>441</v>
      </c>
      <c r="B834" s="1" t="s">
        <v>1269</v>
      </c>
      <c r="C834" s="1" t="s">
        <v>15216</v>
      </c>
      <c r="D834" s="1" t="s">
        <v>15217</v>
      </c>
      <c r="E834" s="1" t="s">
        <v>15218</v>
      </c>
      <c r="F834" s="1" t="s">
        <v>15219</v>
      </c>
      <c r="G834" s="1" t="s">
        <v>15220</v>
      </c>
      <c r="H834" s="1" t="s">
        <v>15221</v>
      </c>
      <c r="I834" s="1" t="s">
        <v>15222</v>
      </c>
      <c r="J834" s="1">
        <v>8433616226</v>
      </c>
      <c r="K834" s="1" t="s">
        <v>148</v>
      </c>
      <c r="L834" s="1" t="s">
        <v>15223</v>
      </c>
      <c r="M834" s="1" t="s">
        <v>81</v>
      </c>
      <c r="N834" s="1" t="s">
        <v>15224</v>
      </c>
      <c r="O834" s="1"/>
      <c r="P834" s="1" t="s">
        <v>1323</v>
      </c>
      <c r="Q834" s="1" t="s">
        <v>15225</v>
      </c>
      <c r="R834" s="1" t="s">
        <v>15218</v>
      </c>
      <c r="S834" s="1">
        <v>9920935656</v>
      </c>
      <c r="T834" s="1" t="s">
        <v>5260</v>
      </c>
      <c r="U834" s="1" t="s">
        <v>15226</v>
      </c>
      <c r="V834" s="1">
        <v>9819357451</v>
      </c>
      <c r="W834" s="1" t="s">
        <v>156</v>
      </c>
      <c r="X834" s="1" t="s">
        <v>15227</v>
      </c>
      <c r="Y834" s="1" t="s">
        <v>766</v>
      </c>
      <c r="Z834" s="1" t="s">
        <v>92</v>
      </c>
      <c r="AA834" s="1" t="s">
        <v>15227</v>
      </c>
      <c r="AB834" s="1" t="s">
        <v>766</v>
      </c>
      <c r="AC834" s="1" t="s">
        <v>92</v>
      </c>
      <c r="AD834" s="1">
        <v>8.37</v>
      </c>
      <c r="AE834" s="1" t="s">
        <v>93</v>
      </c>
      <c r="AF834" s="1" t="s">
        <v>15228</v>
      </c>
      <c r="AG834" s="1" t="s">
        <v>15229</v>
      </c>
      <c r="AH834" s="1" t="s">
        <v>3595</v>
      </c>
      <c r="AI834" s="1" t="s">
        <v>195</v>
      </c>
      <c r="AJ834" s="1">
        <v>91.2</v>
      </c>
      <c r="AK834" s="1">
        <v>9.6</v>
      </c>
      <c r="AL834" s="1" t="s">
        <v>15230</v>
      </c>
      <c r="AM834" s="1" t="s">
        <v>15231</v>
      </c>
      <c r="AN834" s="1" t="s">
        <v>383</v>
      </c>
      <c r="AO834" s="1" t="s">
        <v>198</v>
      </c>
      <c r="AP834" s="1">
        <v>66.92</v>
      </c>
      <c r="AQ834" s="1">
        <v>0</v>
      </c>
      <c r="AR834" s="1"/>
      <c r="AS834" s="1"/>
      <c r="AT834" s="1"/>
      <c r="AU834" s="1"/>
      <c r="AV834" s="1"/>
      <c r="AW834" s="1"/>
      <c r="AX834" s="1" t="s">
        <v>1024</v>
      </c>
      <c r="AY834" s="1" t="s">
        <v>15232</v>
      </c>
      <c r="AZ834" s="1" t="s">
        <v>201</v>
      </c>
      <c r="BA834" s="1" t="s">
        <v>702</v>
      </c>
      <c r="BB834" s="1">
        <v>75.56</v>
      </c>
      <c r="BC834" s="1">
        <v>8.59</v>
      </c>
      <c r="BD834" s="1"/>
      <c r="BE834" s="1"/>
      <c r="BF834" s="1"/>
      <c r="BG834" s="1"/>
      <c r="BH834" s="1"/>
      <c r="BI834" s="1"/>
      <c r="BJ834" s="1" t="s">
        <v>15233</v>
      </c>
      <c r="BK834" s="1" t="s">
        <v>15234</v>
      </c>
      <c r="BL834" s="1" t="s">
        <v>1289</v>
      </c>
      <c r="BM834" s="1" t="s">
        <v>15235</v>
      </c>
      <c r="BN834" s="1">
        <v>71</v>
      </c>
      <c r="BO834" s="1"/>
      <c r="BP834" s="1" t="str">
        <f>HYPERLINK("https://nconnect.nicmar.ac.in/storage/profile/ProfilePhoto_P25702046_835946.jpg","Download")</f>
        <v>0</v>
      </c>
      <c r="BQ834" s="3"/>
      <c r="BR834" s="3"/>
    </row>
    <row r="835" spans="1:70">
      <c r="A835" s="1" t="s">
        <v>441</v>
      </c>
      <c r="B835" s="1" t="s">
        <v>1269</v>
      </c>
      <c r="C835" s="1" t="s">
        <v>15236</v>
      </c>
      <c r="D835" s="1" t="s">
        <v>643</v>
      </c>
      <c r="E835" s="1" t="s">
        <v>15237</v>
      </c>
      <c r="F835" s="1" t="s">
        <v>13940</v>
      </c>
      <c r="G835" s="1" t="s">
        <v>15238</v>
      </c>
      <c r="H835" s="1" t="s">
        <v>15239</v>
      </c>
      <c r="I835" s="1" t="s">
        <v>15240</v>
      </c>
      <c r="J835" s="1">
        <v>9867010382</v>
      </c>
      <c r="K835" s="1" t="s">
        <v>79</v>
      </c>
      <c r="L835" s="1" t="s">
        <v>15241</v>
      </c>
      <c r="M835" s="1" t="s">
        <v>81</v>
      </c>
      <c r="N835" s="1" t="s">
        <v>1847</v>
      </c>
      <c r="O835" s="1" t="s">
        <v>15242</v>
      </c>
      <c r="P835" s="1" t="s">
        <v>117</v>
      </c>
      <c r="Q835" s="1" t="s">
        <v>15243</v>
      </c>
      <c r="R835" s="1" t="s">
        <v>15244</v>
      </c>
      <c r="S835" s="1">
        <v>7710831848</v>
      </c>
      <c r="T835" s="1" t="s">
        <v>7286</v>
      </c>
      <c r="U835" s="1" t="s">
        <v>15245</v>
      </c>
      <c r="V835" s="1">
        <v>7710831848</v>
      </c>
      <c r="W835" s="1" t="s">
        <v>156</v>
      </c>
      <c r="X835" s="1" t="s">
        <v>15246</v>
      </c>
      <c r="Y835" s="1" t="s">
        <v>1623</v>
      </c>
      <c r="Z835" s="1" t="s">
        <v>92</v>
      </c>
      <c r="AA835" s="1" t="s">
        <v>15247</v>
      </c>
      <c r="AB835" s="1" t="s">
        <v>191</v>
      </c>
      <c r="AC835" s="1" t="s">
        <v>92</v>
      </c>
      <c r="AD835" s="1">
        <v>8.64</v>
      </c>
      <c r="AE835" s="1" t="s">
        <v>93</v>
      </c>
      <c r="AF835" s="1" t="s">
        <v>15248</v>
      </c>
      <c r="AG835" s="1" t="s">
        <v>15249</v>
      </c>
      <c r="AH835" s="1" t="s">
        <v>162</v>
      </c>
      <c r="AI835" s="1" t="s">
        <v>195</v>
      </c>
      <c r="AJ835" s="1">
        <v>74</v>
      </c>
      <c r="AK835" s="1"/>
      <c r="AL835" s="1"/>
      <c r="AM835" s="1"/>
      <c r="AN835" s="1"/>
      <c r="AO835" s="1"/>
      <c r="AP835" s="1"/>
      <c r="AQ835" s="1"/>
      <c r="AR835" s="1" t="s">
        <v>15250</v>
      </c>
      <c r="AS835" s="1" t="s">
        <v>15251</v>
      </c>
      <c r="AT835" s="1" t="s">
        <v>225</v>
      </c>
      <c r="AU835" s="1" t="s">
        <v>170</v>
      </c>
      <c r="AV835" s="1">
        <v>85.58</v>
      </c>
      <c r="AW835" s="1"/>
      <c r="AX835" s="1" t="s">
        <v>253</v>
      </c>
      <c r="AY835" s="1" t="s">
        <v>15252</v>
      </c>
      <c r="AZ835" s="1" t="s">
        <v>363</v>
      </c>
      <c r="BA835" s="1" t="s">
        <v>682</v>
      </c>
      <c r="BB835" s="1">
        <v>75.67</v>
      </c>
      <c r="BC835" s="1">
        <v>8.52</v>
      </c>
      <c r="BD835" s="1"/>
      <c r="BE835" s="1"/>
      <c r="BF835" s="1"/>
      <c r="BG835" s="1"/>
      <c r="BH835" s="1"/>
      <c r="BI835" s="1"/>
      <c r="BJ835" s="1" t="s">
        <v>15253</v>
      </c>
      <c r="BK835" s="1" t="s">
        <v>15254</v>
      </c>
      <c r="BL835" s="1" t="s">
        <v>1385</v>
      </c>
      <c r="BM835" s="1" t="s">
        <v>15255</v>
      </c>
      <c r="BN835" s="1">
        <v>14</v>
      </c>
      <c r="BO835" s="1" t="s">
        <v>15256</v>
      </c>
      <c r="BP835" s="1" t="str">
        <f>HYPERLINK("https://nconnect.nicmar.ac.in/storage/profile/ProfilePhoto_P25702048_294635.jpg","Download")</f>
        <v>0</v>
      </c>
      <c r="BQ835" s="3"/>
      <c r="BR835" s="3"/>
    </row>
    <row r="836" spans="1:70">
      <c r="A836" s="1" t="s">
        <v>441</v>
      </c>
      <c r="B836" s="1" t="s">
        <v>1269</v>
      </c>
      <c r="C836" s="1" t="s">
        <v>15257</v>
      </c>
      <c r="D836" s="1" t="s">
        <v>15258</v>
      </c>
      <c r="E836" s="1" t="s">
        <v>443</v>
      </c>
      <c r="F836" s="1" t="s">
        <v>15259</v>
      </c>
      <c r="G836" s="1" t="s">
        <v>15260</v>
      </c>
      <c r="H836" s="1" t="s">
        <v>15261</v>
      </c>
      <c r="I836" s="1" t="s">
        <v>15262</v>
      </c>
      <c r="J836" s="1">
        <v>8200991002</v>
      </c>
      <c r="K836" s="1" t="s">
        <v>79</v>
      </c>
      <c r="L836" s="1" t="s">
        <v>15263</v>
      </c>
      <c r="M836" s="1" t="s">
        <v>81</v>
      </c>
      <c r="N836" s="1" t="s">
        <v>15264</v>
      </c>
      <c r="O836" s="1"/>
      <c r="P836" s="1" t="s">
        <v>1766</v>
      </c>
      <c r="Q836" s="1" t="s">
        <v>15265</v>
      </c>
      <c r="R836" s="1" t="s">
        <v>15266</v>
      </c>
      <c r="S836" s="1">
        <v>9825472657</v>
      </c>
      <c r="T836" s="1" t="s">
        <v>8410</v>
      </c>
      <c r="U836" s="1" t="s">
        <v>15267</v>
      </c>
      <c r="V836" s="1">
        <v>9687259762</v>
      </c>
      <c r="W836" s="1" t="s">
        <v>156</v>
      </c>
      <c r="X836" s="1" t="s">
        <v>15268</v>
      </c>
      <c r="Y836" s="1" t="s">
        <v>15269</v>
      </c>
      <c r="Z836" s="1" t="s">
        <v>1468</v>
      </c>
      <c r="AA836" s="1" t="s">
        <v>15268</v>
      </c>
      <c r="AB836" s="1" t="s">
        <v>15269</v>
      </c>
      <c r="AC836" s="1" t="s">
        <v>1468</v>
      </c>
      <c r="AD836" s="1">
        <v>7.71</v>
      </c>
      <c r="AE836" s="1" t="s">
        <v>93</v>
      </c>
      <c r="AF836" s="1" t="s">
        <v>15270</v>
      </c>
      <c r="AG836" s="1" t="s">
        <v>3691</v>
      </c>
      <c r="AH836" s="1" t="s">
        <v>733</v>
      </c>
      <c r="AI836" s="1" t="s">
        <v>195</v>
      </c>
      <c r="AJ836" s="1">
        <v>63.3</v>
      </c>
      <c r="AK836" s="1"/>
      <c r="AL836" s="1" t="s">
        <v>15271</v>
      </c>
      <c r="AM836" s="1" t="s">
        <v>3691</v>
      </c>
      <c r="AN836" s="1" t="s">
        <v>169</v>
      </c>
      <c r="AO836" s="1" t="s">
        <v>941</v>
      </c>
      <c r="AP836" s="1">
        <v>45</v>
      </c>
      <c r="AQ836" s="1"/>
      <c r="AR836" s="1" t="s">
        <v>434</v>
      </c>
      <c r="AS836" s="1" t="s">
        <v>15272</v>
      </c>
      <c r="AT836" s="1" t="s">
        <v>310</v>
      </c>
      <c r="AU836" s="1" t="s">
        <v>1003</v>
      </c>
      <c r="AV836" s="1">
        <v>87.2</v>
      </c>
      <c r="AW836" s="1">
        <v>9.22</v>
      </c>
      <c r="AX836" s="1" t="s">
        <v>15273</v>
      </c>
      <c r="AY836" s="1" t="s">
        <v>15274</v>
      </c>
      <c r="AZ836" s="1" t="s">
        <v>105</v>
      </c>
      <c r="BA836" s="1" t="s">
        <v>1408</v>
      </c>
      <c r="BB836" s="1">
        <v>61.4</v>
      </c>
      <c r="BC836" s="1">
        <v>6.89</v>
      </c>
      <c r="BD836" s="1"/>
      <c r="BE836" s="1"/>
      <c r="BF836" s="1"/>
      <c r="BG836" s="1"/>
      <c r="BH836" s="1"/>
      <c r="BI836" s="1"/>
      <c r="BJ836" s="1" t="s">
        <v>2146</v>
      </c>
      <c r="BK836" s="1"/>
      <c r="BL836" s="1"/>
      <c r="BM836" s="1" t="s">
        <v>15275</v>
      </c>
      <c r="BN836" s="1">
        <v>68</v>
      </c>
      <c r="BO836" s="1"/>
      <c r="BP836" s="1" t="str">
        <f>HYPERLINK("https://nconnect.nicmar.ac.in/storage/profile/ProfilePhoto_P25702049_725163.jpg","Download")</f>
        <v>0</v>
      </c>
      <c r="BQ836" s="3"/>
      <c r="BR836" s="3"/>
    </row>
    <row r="837" spans="1:70">
      <c r="A837" s="1" t="s">
        <v>441</v>
      </c>
      <c r="B837" s="1" t="s">
        <v>1269</v>
      </c>
      <c r="C837" s="1" t="s">
        <v>15276</v>
      </c>
      <c r="D837" s="1" t="s">
        <v>15277</v>
      </c>
      <c r="E837" s="1"/>
      <c r="F837" s="1" t="s">
        <v>15278</v>
      </c>
      <c r="G837" s="1" t="s">
        <v>15279</v>
      </c>
      <c r="H837" s="1" t="s">
        <v>15280</v>
      </c>
      <c r="I837" s="1" t="s">
        <v>15281</v>
      </c>
      <c r="J837" s="1">
        <v>9039533353</v>
      </c>
      <c r="K837" s="1" t="s">
        <v>79</v>
      </c>
      <c r="L837" s="1" t="s">
        <v>15282</v>
      </c>
      <c r="M837" s="1" t="s">
        <v>81</v>
      </c>
      <c r="N837" s="1" t="s">
        <v>860</v>
      </c>
      <c r="O837" s="1" t="s">
        <v>15283</v>
      </c>
      <c r="P837" s="1" t="s">
        <v>1298</v>
      </c>
      <c r="Q837" s="1" t="s">
        <v>15284</v>
      </c>
      <c r="R837" s="1" t="s">
        <v>15285</v>
      </c>
      <c r="S837" s="1">
        <v>9893167353</v>
      </c>
      <c r="T837" s="1" t="s">
        <v>1351</v>
      </c>
      <c r="U837" s="1" t="s">
        <v>15286</v>
      </c>
      <c r="V837" s="1">
        <v>7389255534</v>
      </c>
      <c r="W837" s="1" t="s">
        <v>496</v>
      </c>
      <c r="X837" s="1" t="s">
        <v>15287</v>
      </c>
      <c r="Y837" s="1" t="s">
        <v>6382</v>
      </c>
      <c r="Z837" s="1" t="s">
        <v>936</v>
      </c>
      <c r="AA837" s="1" t="s">
        <v>15287</v>
      </c>
      <c r="AB837" s="1" t="s">
        <v>6382</v>
      </c>
      <c r="AC837" s="1" t="s">
        <v>936</v>
      </c>
      <c r="AD837" s="1">
        <v>7.63</v>
      </c>
      <c r="AE837" s="1" t="s">
        <v>93</v>
      </c>
      <c r="AF837" s="1" t="s">
        <v>15288</v>
      </c>
      <c r="AG837" s="1" t="s">
        <v>6467</v>
      </c>
      <c r="AH837" s="1" t="s">
        <v>165</v>
      </c>
      <c r="AI837" s="1" t="s">
        <v>281</v>
      </c>
      <c r="AJ837" s="1">
        <v>50.4</v>
      </c>
      <c r="AK837" s="1">
        <v>0</v>
      </c>
      <c r="AL837" s="1"/>
      <c r="AM837" s="1"/>
      <c r="AN837" s="1"/>
      <c r="AO837" s="1"/>
      <c r="AP837" s="1"/>
      <c r="AQ837" s="1"/>
      <c r="AR837" s="1" t="s">
        <v>7965</v>
      </c>
      <c r="AS837" s="1" t="s">
        <v>15289</v>
      </c>
      <c r="AT837" s="1" t="s">
        <v>101</v>
      </c>
      <c r="AU837" s="1" t="s">
        <v>1712</v>
      </c>
      <c r="AV837" s="1">
        <v>73.5</v>
      </c>
      <c r="AW837" s="1">
        <v>7.35</v>
      </c>
      <c r="AX837" s="1" t="s">
        <v>15290</v>
      </c>
      <c r="AY837" s="1" t="s">
        <v>15291</v>
      </c>
      <c r="AZ837" s="1" t="s">
        <v>1051</v>
      </c>
      <c r="BA837" s="1" t="s">
        <v>6033</v>
      </c>
      <c r="BB837" s="1">
        <v>69.6</v>
      </c>
      <c r="BC837" s="1">
        <v>6.96</v>
      </c>
      <c r="BD837" s="1"/>
      <c r="BE837" s="1"/>
      <c r="BF837" s="1"/>
      <c r="BG837" s="1"/>
      <c r="BH837" s="1"/>
      <c r="BI837" s="1"/>
      <c r="BJ837" s="1" t="s">
        <v>15292</v>
      </c>
      <c r="BK837" s="1"/>
      <c r="BL837" s="1"/>
      <c r="BM837" s="1" t="s">
        <v>15293</v>
      </c>
      <c r="BN837" s="1">
        <v>73</v>
      </c>
      <c r="BO837" s="1"/>
      <c r="BP837" s="1" t="str">
        <f>HYPERLINK("https://nconnect.nicmar.ac.in/storage/profile/ProfilePhoto_P25702050_734158.jpg","Download")</f>
        <v>0</v>
      </c>
      <c r="BQ837" s="3"/>
      <c r="BR837" s="3"/>
    </row>
    <row r="838" spans="1:70">
      <c r="A838" s="1" t="s">
        <v>441</v>
      </c>
      <c r="B838" s="1" t="s">
        <v>1269</v>
      </c>
      <c r="C838" s="1" t="s">
        <v>15294</v>
      </c>
      <c r="D838" s="1" t="s">
        <v>15295</v>
      </c>
      <c r="E838" s="1"/>
      <c r="F838" s="1" t="s">
        <v>15296</v>
      </c>
      <c r="G838" s="1" t="s">
        <v>15297</v>
      </c>
      <c r="H838" s="1" t="s">
        <v>15298</v>
      </c>
      <c r="I838" s="1" t="s">
        <v>15299</v>
      </c>
      <c r="J838" s="1">
        <v>7013366449</v>
      </c>
      <c r="K838" s="1" t="s">
        <v>79</v>
      </c>
      <c r="L838" s="1" t="s">
        <v>15300</v>
      </c>
      <c r="M838" s="1" t="s">
        <v>81</v>
      </c>
      <c r="N838" s="1" t="s">
        <v>15301</v>
      </c>
      <c r="O838" s="1" t="s">
        <v>15302</v>
      </c>
      <c r="P838" s="1" t="s">
        <v>1278</v>
      </c>
      <c r="Q838" s="1" t="s">
        <v>15303</v>
      </c>
      <c r="R838" s="1" t="s">
        <v>15304</v>
      </c>
      <c r="S838" s="1">
        <v>8179118550</v>
      </c>
      <c r="T838" s="1" t="s">
        <v>496</v>
      </c>
      <c r="U838" s="1" t="s">
        <v>15305</v>
      </c>
      <c r="V838" s="1">
        <v>8179118550</v>
      </c>
      <c r="W838" s="1" t="s">
        <v>273</v>
      </c>
      <c r="X838" s="1" t="s">
        <v>15306</v>
      </c>
      <c r="Y838" s="1" t="s">
        <v>1513</v>
      </c>
      <c r="Z838" s="1" t="s">
        <v>276</v>
      </c>
      <c r="AA838" s="1" t="s">
        <v>15307</v>
      </c>
      <c r="AB838" s="1" t="s">
        <v>1513</v>
      </c>
      <c r="AC838" s="1" t="s">
        <v>276</v>
      </c>
      <c r="AD838" s="1">
        <v>8.08</v>
      </c>
      <c r="AE838" s="1" t="s">
        <v>93</v>
      </c>
      <c r="AF838" s="1" t="s">
        <v>15308</v>
      </c>
      <c r="AG838" s="1" t="s">
        <v>15309</v>
      </c>
      <c r="AH838" s="1" t="s">
        <v>162</v>
      </c>
      <c r="AI838" s="1" t="s">
        <v>195</v>
      </c>
      <c r="AJ838" s="1">
        <v>97.1</v>
      </c>
      <c r="AK838" s="1">
        <v>9.7</v>
      </c>
      <c r="AL838" s="1" t="s">
        <v>15310</v>
      </c>
      <c r="AM838" s="1" t="s">
        <v>1154</v>
      </c>
      <c r="AN838" s="1" t="s">
        <v>165</v>
      </c>
      <c r="AO838" s="1" t="s">
        <v>409</v>
      </c>
      <c r="AP838" s="1">
        <v>93.4</v>
      </c>
      <c r="AQ838" s="1">
        <v>9.34</v>
      </c>
      <c r="AR838" s="1"/>
      <c r="AS838" s="1"/>
      <c r="AT838" s="1"/>
      <c r="AU838" s="1"/>
      <c r="AV838" s="1"/>
      <c r="AW838" s="1"/>
      <c r="AX838" s="1" t="s">
        <v>3127</v>
      </c>
      <c r="AY838" s="1" t="s">
        <v>15311</v>
      </c>
      <c r="AZ838" s="1" t="s">
        <v>310</v>
      </c>
      <c r="BA838" s="1" t="s">
        <v>8085</v>
      </c>
      <c r="BB838" s="1">
        <v>52.9</v>
      </c>
      <c r="BC838" s="1">
        <v>5.79</v>
      </c>
      <c r="BD838" s="1"/>
      <c r="BE838" s="1"/>
      <c r="BF838" s="1"/>
      <c r="BG838" s="1"/>
      <c r="BH838" s="1"/>
      <c r="BI838" s="1"/>
      <c r="BJ838" s="1" t="s">
        <v>1383</v>
      </c>
      <c r="BK838" s="1" t="s">
        <v>15312</v>
      </c>
      <c r="BL838" s="1" t="s">
        <v>2384</v>
      </c>
      <c r="BM838" s="1"/>
      <c r="BN838" s="1"/>
      <c r="BO838" s="1"/>
      <c r="BP838" s="1" t="str">
        <f>HYPERLINK("https://nconnect.nicmar.ac.in/storage/profile/ProfilePhoto_P25702051_167852.jpg","Download")</f>
        <v>0</v>
      </c>
      <c r="BQ838" s="3"/>
      <c r="BR838" s="3"/>
    </row>
    <row r="839" spans="1:70">
      <c r="A839" s="1" t="s">
        <v>441</v>
      </c>
      <c r="B839" s="1" t="s">
        <v>1269</v>
      </c>
      <c r="C839" s="1" t="s">
        <v>15313</v>
      </c>
      <c r="D839" s="1" t="s">
        <v>1740</v>
      </c>
      <c r="E839" s="1" t="s">
        <v>1546</v>
      </c>
      <c r="F839" s="1" t="s">
        <v>2677</v>
      </c>
      <c r="G839" s="1" t="s">
        <v>15314</v>
      </c>
      <c r="H839" s="1" t="s">
        <v>15315</v>
      </c>
      <c r="I839" s="1" t="s">
        <v>15316</v>
      </c>
      <c r="J839" s="1">
        <v>9096857500</v>
      </c>
      <c r="K839" s="1" t="s">
        <v>79</v>
      </c>
      <c r="L839" s="1" t="s">
        <v>15317</v>
      </c>
      <c r="M839" s="1" t="s">
        <v>81</v>
      </c>
      <c r="N839" s="1" t="s">
        <v>3194</v>
      </c>
      <c r="O839" s="1"/>
      <c r="P839" s="1" t="s">
        <v>1298</v>
      </c>
      <c r="Q839" s="1" t="s">
        <v>15318</v>
      </c>
      <c r="R839" s="1" t="s">
        <v>15319</v>
      </c>
      <c r="S839" s="1">
        <v>9096857500</v>
      </c>
      <c r="T839" s="1" t="s">
        <v>763</v>
      </c>
      <c r="U839" s="1" t="s">
        <v>15320</v>
      </c>
      <c r="V839" s="1">
        <v>9970173799</v>
      </c>
      <c r="W839" s="1" t="s">
        <v>15321</v>
      </c>
      <c r="X839" s="1" t="s">
        <v>15322</v>
      </c>
      <c r="Y839" s="1" t="s">
        <v>1887</v>
      </c>
      <c r="Z839" s="1" t="s">
        <v>92</v>
      </c>
      <c r="AA839" s="1" t="s">
        <v>15322</v>
      </c>
      <c r="AB839" s="1" t="s">
        <v>1887</v>
      </c>
      <c r="AC839" s="1" t="s">
        <v>92</v>
      </c>
      <c r="AD839" s="1">
        <v>7.66</v>
      </c>
      <c r="AE839" s="1" t="s">
        <v>93</v>
      </c>
      <c r="AF839" s="1" t="s">
        <v>6840</v>
      </c>
      <c r="AG839" s="1" t="s">
        <v>307</v>
      </c>
      <c r="AH839" s="1" t="s">
        <v>162</v>
      </c>
      <c r="AI839" s="1" t="s">
        <v>678</v>
      </c>
      <c r="AJ839" s="1">
        <v>53.2</v>
      </c>
      <c r="AK839" s="1">
        <v>5.6</v>
      </c>
      <c r="AL839" s="1" t="s">
        <v>15323</v>
      </c>
      <c r="AM839" s="1" t="s">
        <v>160</v>
      </c>
      <c r="AN839" s="1" t="s">
        <v>101</v>
      </c>
      <c r="AO839" s="1" t="s">
        <v>409</v>
      </c>
      <c r="AP839" s="1">
        <v>52.77</v>
      </c>
      <c r="AQ839" s="1">
        <v>5.55</v>
      </c>
      <c r="AR839" s="1"/>
      <c r="AS839" s="1"/>
      <c r="AT839" s="1"/>
      <c r="AU839" s="1"/>
      <c r="AV839" s="1"/>
      <c r="AW839" s="1"/>
      <c r="AX839" s="1" t="s">
        <v>4506</v>
      </c>
      <c r="AY839" s="1" t="s">
        <v>15324</v>
      </c>
      <c r="AZ839" s="1" t="s">
        <v>201</v>
      </c>
      <c r="BA839" s="1" t="s">
        <v>6033</v>
      </c>
      <c r="BB839" s="1">
        <v>56.9</v>
      </c>
      <c r="BC839" s="1">
        <v>6.44</v>
      </c>
      <c r="BD839" s="1"/>
      <c r="BE839" s="1"/>
      <c r="BF839" s="1"/>
      <c r="BG839" s="1"/>
      <c r="BH839" s="1"/>
      <c r="BI839" s="1"/>
      <c r="BJ839" s="1" t="s">
        <v>255</v>
      </c>
      <c r="BK839" s="1"/>
      <c r="BL839" s="1"/>
      <c r="BM839" s="1" t="s">
        <v>15325</v>
      </c>
      <c r="BN839" s="1">
        <v>28</v>
      </c>
      <c r="BO839" s="1" t="s">
        <v>15326</v>
      </c>
      <c r="BP839" s="1" t="str">
        <f>HYPERLINK("https://nconnect.nicmar.ac.in/storage/profile/ProfilePhoto_P25702052_983415.jpg","Download")</f>
        <v>0</v>
      </c>
      <c r="BQ839" s="3"/>
      <c r="BR839" s="3"/>
    </row>
    <row r="840" spans="1:70">
      <c r="A840" s="1" t="s">
        <v>441</v>
      </c>
      <c r="B840" s="1" t="s">
        <v>1269</v>
      </c>
      <c r="C840" s="1" t="s">
        <v>15327</v>
      </c>
      <c r="D840" s="1" t="s">
        <v>3269</v>
      </c>
      <c r="E840" s="1" t="s">
        <v>15328</v>
      </c>
      <c r="F840" s="1" t="s">
        <v>1072</v>
      </c>
      <c r="G840" s="1" t="s">
        <v>15329</v>
      </c>
      <c r="H840" s="1" t="s">
        <v>15330</v>
      </c>
      <c r="I840" s="1" t="s">
        <v>15331</v>
      </c>
      <c r="J840" s="1">
        <v>8329927069</v>
      </c>
      <c r="K840" s="1" t="s">
        <v>79</v>
      </c>
      <c r="L840" s="1" t="s">
        <v>14871</v>
      </c>
      <c r="M840" s="1" t="s">
        <v>81</v>
      </c>
      <c r="N840" s="1" t="s">
        <v>15332</v>
      </c>
      <c r="O840" s="1" t="s">
        <v>15333</v>
      </c>
      <c r="P840" s="1" t="s">
        <v>1278</v>
      </c>
      <c r="Q840" s="1" t="s">
        <v>15334</v>
      </c>
      <c r="R840" s="1" t="s">
        <v>15335</v>
      </c>
      <c r="S840" s="1">
        <v>9822899383</v>
      </c>
      <c r="T840" s="1" t="s">
        <v>9454</v>
      </c>
      <c r="U840" s="1" t="s">
        <v>15336</v>
      </c>
      <c r="V840" s="1">
        <v>9673936696</v>
      </c>
      <c r="W840" s="1" t="s">
        <v>156</v>
      </c>
      <c r="X840" s="1" t="s">
        <v>15337</v>
      </c>
      <c r="Y840" s="1" t="s">
        <v>91</v>
      </c>
      <c r="Z840" s="1" t="s">
        <v>92</v>
      </c>
      <c r="AA840" s="1" t="s">
        <v>15337</v>
      </c>
      <c r="AB840" s="1" t="s">
        <v>91</v>
      </c>
      <c r="AC840" s="1" t="s">
        <v>92</v>
      </c>
      <c r="AD840" s="1">
        <v>7.53</v>
      </c>
      <c r="AE840" s="1" t="s">
        <v>93</v>
      </c>
      <c r="AF840" s="1" t="s">
        <v>15338</v>
      </c>
      <c r="AG840" s="1" t="s">
        <v>15339</v>
      </c>
      <c r="AH840" s="1" t="s">
        <v>97</v>
      </c>
      <c r="AI840" s="1" t="s">
        <v>195</v>
      </c>
      <c r="AJ840" s="1">
        <v>91</v>
      </c>
      <c r="AK840" s="1">
        <v>0</v>
      </c>
      <c r="AL840" s="1" t="s">
        <v>8659</v>
      </c>
      <c r="AM840" s="1" t="s">
        <v>15339</v>
      </c>
      <c r="AN840" s="1" t="s">
        <v>225</v>
      </c>
      <c r="AO840" s="1" t="s">
        <v>198</v>
      </c>
      <c r="AP840" s="1">
        <v>65</v>
      </c>
      <c r="AQ840" s="1">
        <v>0</v>
      </c>
      <c r="AR840" s="1"/>
      <c r="AS840" s="1"/>
      <c r="AT840" s="1"/>
      <c r="AU840" s="1"/>
      <c r="AV840" s="1"/>
      <c r="AW840" s="1"/>
      <c r="AX840" s="1" t="s">
        <v>361</v>
      </c>
      <c r="AY840" s="1" t="s">
        <v>15340</v>
      </c>
      <c r="AZ840" s="1" t="s">
        <v>201</v>
      </c>
      <c r="BA840" s="1" t="s">
        <v>413</v>
      </c>
      <c r="BB840" s="1">
        <v>58</v>
      </c>
      <c r="BC840" s="1">
        <v>6.53</v>
      </c>
      <c r="BD840" s="1"/>
      <c r="BE840" s="1"/>
      <c r="BF840" s="1"/>
      <c r="BG840" s="1"/>
      <c r="BH840" s="1"/>
      <c r="BI840" s="1"/>
      <c r="BJ840" s="1" t="s">
        <v>15341</v>
      </c>
      <c r="BK840" s="1"/>
      <c r="BL840" s="1"/>
      <c r="BM840" s="1" t="s">
        <v>15342</v>
      </c>
      <c r="BN840" s="1">
        <v>17</v>
      </c>
      <c r="BO840" s="1"/>
      <c r="BP840" s="1" t="str">
        <f>HYPERLINK("https://nconnect.nicmar.ac.in/storage/profile/ProfilePhoto_P25702053_548217.jpg","Download")</f>
        <v>0</v>
      </c>
      <c r="BQ840" s="3"/>
      <c r="BR840" s="3"/>
    </row>
    <row r="841" spans="1:70">
      <c r="A841" s="1" t="s">
        <v>441</v>
      </c>
      <c r="B841" s="1" t="s">
        <v>1269</v>
      </c>
      <c r="C841" s="1" t="s">
        <v>15343</v>
      </c>
      <c r="D841" s="1" t="s">
        <v>533</v>
      </c>
      <c r="E841" s="1" t="s">
        <v>5088</v>
      </c>
      <c r="F841" s="1" t="s">
        <v>15344</v>
      </c>
      <c r="G841" s="1" t="s">
        <v>15345</v>
      </c>
      <c r="H841" s="1" t="s">
        <v>15346</v>
      </c>
      <c r="I841" s="1" t="s">
        <v>15347</v>
      </c>
      <c r="J841" s="1">
        <v>7021276625</v>
      </c>
      <c r="K841" s="1" t="s">
        <v>79</v>
      </c>
      <c r="L841" s="1" t="s">
        <v>15348</v>
      </c>
      <c r="M841" s="1" t="s">
        <v>81</v>
      </c>
      <c r="N841" s="1" t="s">
        <v>15349</v>
      </c>
      <c r="O841" s="1"/>
      <c r="P841" s="1" t="s">
        <v>1298</v>
      </c>
      <c r="Q841" s="1" t="s">
        <v>15350</v>
      </c>
      <c r="R841" s="1" t="s">
        <v>15351</v>
      </c>
      <c r="S841" s="1">
        <v>9833719279</v>
      </c>
      <c r="T841" s="1" t="s">
        <v>496</v>
      </c>
      <c r="U841" s="1" t="s">
        <v>15352</v>
      </c>
      <c r="V841" s="1">
        <v>9869120731</v>
      </c>
      <c r="W841" s="1" t="s">
        <v>273</v>
      </c>
      <c r="X841" s="1" t="s">
        <v>15353</v>
      </c>
      <c r="Y841" s="1" t="s">
        <v>1623</v>
      </c>
      <c r="Z841" s="1" t="s">
        <v>92</v>
      </c>
      <c r="AA841" s="1" t="s">
        <v>15353</v>
      </c>
      <c r="AB841" s="1" t="s">
        <v>1623</v>
      </c>
      <c r="AC841" s="1" t="s">
        <v>92</v>
      </c>
      <c r="AD841" s="1">
        <v>8.08</v>
      </c>
      <c r="AE841" s="1" t="s">
        <v>93</v>
      </c>
      <c r="AF841" s="1" t="s">
        <v>15354</v>
      </c>
      <c r="AG841" s="1" t="s">
        <v>15355</v>
      </c>
      <c r="AH841" s="1" t="s">
        <v>162</v>
      </c>
      <c r="AI841" s="1" t="s">
        <v>195</v>
      </c>
      <c r="AJ841" s="1">
        <v>62.2</v>
      </c>
      <c r="AK841" s="1">
        <v>0</v>
      </c>
      <c r="AL841" s="1" t="s">
        <v>15356</v>
      </c>
      <c r="AM841" s="1" t="s">
        <v>15355</v>
      </c>
      <c r="AN841" s="1" t="s">
        <v>101</v>
      </c>
      <c r="AO841" s="1" t="s">
        <v>310</v>
      </c>
      <c r="AP841" s="1">
        <v>48.77</v>
      </c>
      <c r="AQ841" s="1">
        <v>0</v>
      </c>
      <c r="AR841" s="1" t="s">
        <v>434</v>
      </c>
      <c r="AS841" s="1" t="s">
        <v>15357</v>
      </c>
      <c r="AT841" s="1" t="s">
        <v>201</v>
      </c>
      <c r="AU841" s="1" t="s">
        <v>436</v>
      </c>
      <c r="AV841" s="1">
        <v>78.53</v>
      </c>
      <c r="AW841" s="1">
        <v>0</v>
      </c>
      <c r="AX841" s="1" t="s">
        <v>253</v>
      </c>
      <c r="AY841" s="1" t="s">
        <v>15358</v>
      </c>
      <c r="AZ841" s="1" t="s">
        <v>436</v>
      </c>
      <c r="BA841" s="1" t="s">
        <v>1939</v>
      </c>
      <c r="BB841" s="1">
        <v>58.45</v>
      </c>
      <c r="BC841" s="1">
        <v>6.36</v>
      </c>
      <c r="BD841" s="1"/>
      <c r="BE841" s="1"/>
      <c r="BF841" s="1"/>
      <c r="BG841" s="1"/>
      <c r="BH841" s="1"/>
      <c r="BI841" s="1"/>
      <c r="BJ841" s="1" t="s">
        <v>15359</v>
      </c>
      <c r="BK841" s="1" t="s">
        <v>15360</v>
      </c>
      <c r="BL841" s="1" t="s">
        <v>1896</v>
      </c>
      <c r="BM841" s="1" t="s">
        <v>15361</v>
      </c>
      <c r="BN841" s="1">
        <v>8</v>
      </c>
      <c r="BO841" s="1" t="s">
        <v>15362</v>
      </c>
      <c r="BP841" s="1" t="str">
        <f>HYPERLINK("https://nconnect.nicmar.ac.in/storage/profile/ProfilePhoto_P25702054_231546.jpg","Download")</f>
        <v>0</v>
      </c>
      <c r="BQ841" s="3"/>
      <c r="BR841" s="3"/>
    </row>
    <row r="842" spans="1:70">
      <c r="A842" s="1" t="s">
        <v>441</v>
      </c>
      <c r="B842" s="1" t="s">
        <v>1269</v>
      </c>
      <c r="C842" s="1" t="s">
        <v>15363</v>
      </c>
      <c r="D842" s="1" t="s">
        <v>473</v>
      </c>
      <c r="E842" s="1" t="s">
        <v>8242</v>
      </c>
      <c r="F842" s="1" t="s">
        <v>15364</v>
      </c>
      <c r="G842" s="1" t="s">
        <v>15365</v>
      </c>
      <c r="H842" s="1" t="s">
        <v>15366</v>
      </c>
      <c r="I842" s="1" t="s">
        <v>15367</v>
      </c>
      <c r="J842" s="1">
        <v>7841819174</v>
      </c>
      <c r="K842" s="1" t="s">
        <v>148</v>
      </c>
      <c r="L842" s="1" t="s">
        <v>1460</v>
      </c>
      <c r="M842" s="1" t="s">
        <v>81</v>
      </c>
      <c r="N842" s="1" t="s">
        <v>2008</v>
      </c>
      <c r="O842" s="1"/>
      <c r="P842" s="1" t="s">
        <v>1323</v>
      </c>
      <c r="Q842" s="1" t="s">
        <v>15368</v>
      </c>
      <c r="R842" s="1" t="s">
        <v>15369</v>
      </c>
      <c r="S842" s="1">
        <v>9822575650</v>
      </c>
      <c r="T842" s="1" t="s">
        <v>120</v>
      </c>
      <c r="U842" s="1" t="s">
        <v>15370</v>
      </c>
      <c r="V842" s="1">
        <v>9423636268</v>
      </c>
      <c r="W842" s="1" t="s">
        <v>120</v>
      </c>
      <c r="X842" s="1" t="s">
        <v>15371</v>
      </c>
      <c r="Y842" s="1" t="s">
        <v>191</v>
      </c>
      <c r="Z842" s="1" t="s">
        <v>92</v>
      </c>
      <c r="AA842" s="1" t="s">
        <v>15372</v>
      </c>
      <c r="AB842" s="1" t="s">
        <v>405</v>
      </c>
      <c r="AC842" s="1" t="s">
        <v>92</v>
      </c>
      <c r="AD842" s="1">
        <v>6.95</v>
      </c>
      <c r="AE842" s="1" t="s">
        <v>93</v>
      </c>
      <c r="AF842" s="1" t="s">
        <v>15373</v>
      </c>
      <c r="AG842" s="1" t="s">
        <v>160</v>
      </c>
      <c r="AH842" s="1" t="s">
        <v>279</v>
      </c>
      <c r="AI842" s="1" t="s">
        <v>165</v>
      </c>
      <c r="AJ842" s="1">
        <v>66.2</v>
      </c>
      <c r="AK842" s="1">
        <v>6.97</v>
      </c>
      <c r="AL842" s="1"/>
      <c r="AM842" s="1"/>
      <c r="AN842" s="1"/>
      <c r="AO842" s="1"/>
      <c r="AP842" s="1"/>
      <c r="AQ842" s="1"/>
      <c r="AR842" s="1" t="s">
        <v>15374</v>
      </c>
      <c r="AS842" s="1" t="s">
        <v>15375</v>
      </c>
      <c r="AT842" s="1" t="s">
        <v>225</v>
      </c>
      <c r="AU842" s="1" t="s">
        <v>1051</v>
      </c>
      <c r="AV842" s="1">
        <v>82.58</v>
      </c>
      <c r="AW842" s="1">
        <v>8.29</v>
      </c>
      <c r="AX842" s="1" t="s">
        <v>15376</v>
      </c>
      <c r="AY842" s="1" t="s">
        <v>15377</v>
      </c>
      <c r="AZ842" s="1" t="s">
        <v>897</v>
      </c>
      <c r="BA842" s="1" t="s">
        <v>1939</v>
      </c>
      <c r="BB842" s="1">
        <v>58.7</v>
      </c>
      <c r="BC842" s="1">
        <v>6.62</v>
      </c>
      <c r="BD842" s="1"/>
      <c r="BE842" s="1"/>
      <c r="BF842" s="1"/>
      <c r="BG842" s="1"/>
      <c r="BH842" s="1"/>
      <c r="BI842" s="1"/>
      <c r="BJ842" s="1" t="s">
        <v>364</v>
      </c>
      <c r="BK842" s="1"/>
      <c r="BL842" s="1"/>
      <c r="BM842" s="1" t="s">
        <v>15378</v>
      </c>
      <c r="BN842" s="1">
        <v>31</v>
      </c>
      <c r="BO842" s="1" t="s">
        <v>15379</v>
      </c>
      <c r="BP842" s="1" t="str">
        <f>HYPERLINK("https://nconnect.nicmar.ac.in/storage/profile/ProfilePhoto_P25702055_726958.jpg","Download")</f>
        <v>0</v>
      </c>
      <c r="BQ842" s="3"/>
      <c r="BR842" s="3"/>
    </row>
    <row r="843" spans="1:70">
      <c r="A843" s="1" t="s">
        <v>441</v>
      </c>
      <c r="B843" s="1" t="s">
        <v>1269</v>
      </c>
      <c r="C843" s="1" t="s">
        <v>15380</v>
      </c>
      <c r="D843" s="1" t="s">
        <v>15381</v>
      </c>
      <c r="E843" s="1" t="s">
        <v>15382</v>
      </c>
      <c r="F843" s="1" t="s">
        <v>1680</v>
      </c>
      <c r="G843" s="1" t="s">
        <v>15383</v>
      </c>
      <c r="H843" s="1" t="s">
        <v>15384</v>
      </c>
      <c r="I843" s="1" t="s">
        <v>15385</v>
      </c>
      <c r="J843" s="1">
        <v>6382585010</v>
      </c>
      <c r="K843" s="1" t="s">
        <v>79</v>
      </c>
      <c r="L843" s="1" t="s">
        <v>15386</v>
      </c>
      <c r="M843" s="1" t="s">
        <v>81</v>
      </c>
      <c r="N843" s="1" t="s">
        <v>15387</v>
      </c>
      <c r="O843" s="1"/>
      <c r="P843" s="1" t="s">
        <v>1278</v>
      </c>
      <c r="Q843" s="1" t="s">
        <v>15388</v>
      </c>
      <c r="R843" s="1" t="s">
        <v>15389</v>
      </c>
      <c r="S843" s="1">
        <v>9698163134</v>
      </c>
      <c r="T843" s="1" t="s">
        <v>496</v>
      </c>
      <c r="U843" s="1" t="s">
        <v>15390</v>
      </c>
      <c r="V843" s="1">
        <v>9360526996</v>
      </c>
      <c r="W843" s="1" t="s">
        <v>89</v>
      </c>
      <c r="X843" s="1" t="s">
        <v>15391</v>
      </c>
      <c r="Y843" s="1" t="s">
        <v>15392</v>
      </c>
      <c r="Z843" s="1" t="s">
        <v>1377</v>
      </c>
      <c r="AA843" s="1" t="s">
        <v>15391</v>
      </c>
      <c r="AB843" s="1" t="s">
        <v>15392</v>
      </c>
      <c r="AC843" s="1" t="s">
        <v>1377</v>
      </c>
      <c r="AD843" s="1" t="s">
        <v>93</v>
      </c>
      <c r="AE843" s="1" t="s">
        <v>93</v>
      </c>
      <c r="AF843" s="1" t="s">
        <v>15393</v>
      </c>
      <c r="AG843" s="1" t="s">
        <v>15394</v>
      </c>
      <c r="AH843" s="1" t="s">
        <v>96</v>
      </c>
      <c r="AI843" s="1" t="s">
        <v>279</v>
      </c>
      <c r="AJ843" s="1">
        <v>88.4</v>
      </c>
      <c r="AK843" s="1"/>
      <c r="AL843" s="1" t="s">
        <v>15393</v>
      </c>
      <c r="AM843" s="1" t="s">
        <v>15395</v>
      </c>
      <c r="AN843" s="1" t="s">
        <v>165</v>
      </c>
      <c r="AO843" s="1" t="s">
        <v>1307</v>
      </c>
      <c r="AP843" s="1">
        <v>75.5</v>
      </c>
      <c r="AQ843" s="1"/>
      <c r="AR843" s="1"/>
      <c r="AS843" s="1"/>
      <c r="AT843" s="1"/>
      <c r="AU843" s="1"/>
      <c r="AV843" s="1"/>
      <c r="AW843" s="1"/>
      <c r="AX843" s="1" t="s">
        <v>3432</v>
      </c>
      <c r="AY843" s="1" t="s">
        <v>15396</v>
      </c>
      <c r="AZ843" s="1" t="s">
        <v>169</v>
      </c>
      <c r="BA843" s="1" t="s">
        <v>682</v>
      </c>
      <c r="BB843" s="1">
        <v>56.4</v>
      </c>
      <c r="BC843" s="1">
        <v>5.64</v>
      </c>
      <c r="BD843" s="1"/>
      <c r="BE843" s="1"/>
      <c r="BF843" s="1"/>
      <c r="BG843" s="1"/>
      <c r="BH843" s="1"/>
      <c r="BI843" s="1"/>
      <c r="BJ843" s="1" t="s">
        <v>15397</v>
      </c>
      <c r="BK843" s="1" t="s">
        <v>15398</v>
      </c>
      <c r="BL843" s="1" t="s">
        <v>484</v>
      </c>
      <c r="BM843" s="1" t="s">
        <v>15399</v>
      </c>
      <c r="BN843" s="1">
        <v>14</v>
      </c>
      <c r="BO843" s="1"/>
      <c r="BP843" s="1" t="str">
        <f>HYPERLINK("https://nconnect.nicmar.ac.in/storage/profile/ProfilePhoto_P25702056_163759.jpg","Download")</f>
        <v>0</v>
      </c>
      <c r="BQ843" s="3"/>
      <c r="BR843" s="3"/>
    </row>
    <row r="844" spans="1:70">
      <c r="A844" s="1" t="s">
        <v>441</v>
      </c>
      <c r="B844" s="1" t="s">
        <v>1269</v>
      </c>
      <c r="C844" s="1" t="s">
        <v>15400</v>
      </c>
      <c r="D844" s="1" t="s">
        <v>8454</v>
      </c>
      <c r="E844" s="1" t="s">
        <v>5413</v>
      </c>
      <c r="F844" s="1" t="s">
        <v>15401</v>
      </c>
      <c r="G844" s="1" t="s">
        <v>15402</v>
      </c>
      <c r="H844" s="1" t="s">
        <v>15403</v>
      </c>
      <c r="I844" s="1" t="s">
        <v>15404</v>
      </c>
      <c r="J844" s="1">
        <v>9307865578</v>
      </c>
      <c r="K844" s="1" t="s">
        <v>79</v>
      </c>
      <c r="L844" s="1" t="s">
        <v>15405</v>
      </c>
      <c r="M844" s="1" t="s">
        <v>81</v>
      </c>
      <c r="N844" s="1" t="s">
        <v>15406</v>
      </c>
      <c r="O844" s="1"/>
      <c r="P844" s="1" t="s">
        <v>1278</v>
      </c>
      <c r="Q844" s="1" t="s">
        <v>15407</v>
      </c>
      <c r="R844" s="1" t="s">
        <v>15408</v>
      </c>
      <c r="S844" s="1">
        <v>8329082119</v>
      </c>
      <c r="T844" s="1" t="s">
        <v>976</v>
      </c>
      <c r="U844" s="1" t="s">
        <v>15409</v>
      </c>
      <c r="V844" s="1">
        <v>9359906515</v>
      </c>
      <c r="W844" s="1" t="s">
        <v>89</v>
      </c>
      <c r="X844" s="1" t="s">
        <v>15410</v>
      </c>
      <c r="Y844" s="1" t="s">
        <v>191</v>
      </c>
      <c r="Z844" s="1" t="s">
        <v>92</v>
      </c>
      <c r="AA844" s="1" t="s">
        <v>15411</v>
      </c>
      <c r="AB844" s="1" t="s">
        <v>7943</v>
      </c>
      <c r="AC844" s="1" t="s">
        <v>92</v>
      </c>
      <c r="AD844" s="1">
        <v>8.16</v>
      </c>
      <c r="AE844" s="1" t="s">
        <v>93</v>
      </c>
      <c r="AF844" s="1" t="s">
        <v>15412</v>
      </c>
      <c r="AG844" s="1" t="s">
        <v>15413</v>
      </c>
      <c r="AH844" s="1" t="s">
        <v>162</v>
      </c>
      <c r="AI844" s="1" t="s">
        <v>165</v>
      </c>
      <c r="AJ844" s="1">
        <v>90.8</v>
      </c>
      <c r="AK844" s="1">
        <v>9.8</v>
      </c>
      <c r="AL844" s="1" t="s">
        <v>15412</v>
      </c>
      <c r="AM844" s="1" t="s">
        <v>15413</v>
      </c>
      <c r="AN844" s="1" t="s">
        <v>101</v>
      </c>
      <c r="AO844" s="1" t="s">
        <v>433</v>
      </c>
      <c r="AP844" s="1">
        <v>57.2</v>
      </c>
      <c r="AQ844" s="1"/>
      <c r="AR844" s="1"/>
      <c r="AS844" s="1"/>
      <c r="AT844" s="1"/>
      <c r="AU844" s="1"/>
      <c r="AV844" s="1"/>
      <c r="AW844" s="1"/>
      <c r="AX844" s="1" t="s">
        <v>1853</v>
      </c>
      <c r="AY844" s="1" t="s">
        <v>15414</v>
      </c>
      <c r="AZ844" s="1" t="s">
        <v>310</v>
      </c>
      <c r="BA844" s="1" t="s">
        <v>174</v>
      </c>
      <c r="BB844" s="1">
        <v>56.4</v>
      </c>
      <c r="BC844" s="1">
        <v>6.39</v>
      </c>
      <c r="BD844" s="1"/>
      <c r="BE844" s="1"/>
      <c r="BF844" s="1"/>
      <c r="BG844" s="1"/>
      <c r="BH844" s="1"/>
      <c r="BI844" s="1"/>
      <c r="BJ844" s="1" t="s">
        <v>1715</v>
      </c>
      <c r="BK844" s="1"/>
      <c r="BL844" s="1"/>
      <c r="BM844" s="1" t="s">
        <v>15415</v>
      </c>
      <c r="BN844" s="1">
        <v>43</v>
      </c>
      <c r="BO844" s="1" t="s">
        <v>15416</v>
      </c>
      <c r="BP844" s="1" t="str">
        <f>HYPERLINK("https://nconnect.nicmar.ac.in/storage/profile/ProfilePhoto_P25702057_789125.jpg","Download")</f>
        <v>0</v>
      </c>
      <c r="BQ844" s="3"/>
      <c r="BR844" s="3"/>
    </row>
    <row r="845" spans="1:70">
      <c r="A845" s="1" t="s">
        <v>441</v>
      </c>
      <c r="B845" s="1" t="s">
        <v>1269</v>
      </c>
      <c r="C845" s="1" t="s">
        <v>15417</v>
      </c>
      <c r="D845" s="1" t="s">
        <v>15418</v>
      </c>
      <c r="E845" s="1"/>
      <c r="F845" s="1" t="s">
        <v>15419</v>
      </c>
      <c r="G845" s="1" t="s">
        <v>15420</v>
      </c>
      <c r="H845" s="1" t="s">
        <v>15421</v>
      </c>
      <c r="I845" s="1" t="s">
        <v>15422</v>
      </c>
      <c r="J845" s="1">
        <v>9875625081</v>
      </c>
      <c r="K845" s="1" t="s">
        <v>79</v>
      </c>
      <c r="L845" s="1" t="s">
        <v>15423</v>
      </c>
      <c r="M845" s="1" t="s">
        <v>81</v>
      </c>
      <c r="N845" s="1" t="s">
        <v>15424</v>
      </c>
      <c r="O845" s="1"/>
      <c r="P845" s="1" t="s">
        <v>1323</v>
      </c>
      <c r="Q845" s="1" t="s">
        <v>15425</v>
      </c>
      <c r="R845" s="1" t="s">
        <v>15426</v>
      </c>
      <c r="S845" s="1">
        <v>9831082721</v>
      </c>
      <c r="T845" s="1" t="s">
        <v>763</v>
      </c>
      <c r="U845" s="1" t="s">
        <v>15427</v>
      </c>
      <c r="V845" s="1">
        <v>9831082721</v>
      </c>
      <c r="W845" s="1" t="s">
        <v>89</v>
      </c>
      <c r="X845" s="1" t="s">
        <v>15428</v>
      </c>
      <c r="Y845" s="1" t="s">
        <v>4088</v>
      </c>
      <c r="Z845" s="1" t="s">
        <v>783</v>
      </c>
      <c r="AA845" s="1" t="s">
        <v>15428</v>
      </c>
      <c r="AB845" s="1" t="s">
        <v>4088</v>
      </c>
      <c r="AC845" s="1" t="s">
        <v>783</v>
      </c>
      <c r="AD845" s="1" t="s">
        <v>93</v>
      </c>
      <c r="AE845" s="1" t="s">
        <v>93</v>
      </c>
      <c r="AF845" s="1" t="s">
        <v>15429</v>
      </c>
      <c r="AG845" s="1" t="s">
        <v>1152</v>
      </c>
      <c r="AH845" s="1" t="s">
        <v>527</v>
      </c>
      <c r="AI845" s="1" t="s">
        <v>479</v>
      </c>
      <c r="AJ845" s="1">
        <v>91.33</v>
      </c>
      <c r="AK845" s="1"/>
      <c r="AL845" s="1" t="s">
        <v>15429</v>
      </c>
      <c r="AM845" s="1" t="s">
        <v>1152</v>
      </c>
      <c r="AN845" s="1" t="s">
        <v>166</v>
      </c>
      <c r="AO845" s="1" t="s">
        <v>308</v>
      </c>
      <c r="AP845" s="1">
        <v>68.33</v>
      </c>
      <c r="AQ845" s="1"/>
      <c r="AR845" s="1"/>
      <c r="AS845" s="1"/>
      <c r="AT845" s="1"/>
      <c r="AU845" s="1"/>
      <c r="AV845" s="1"/>
      <c r="AW845" s="1"/>
      <c r="AX845" s="1" t="s">
        <v>5863</v>
      </c>
      <c r="AY845" s="1" t="s">
        <v>15430</v>
      </c>
      <c r="AZ845" s="1" t="s">
        <v>310</v>
      </c>
      <c r="BA845" s="1" t="s">
        <v>1939</v>
      </c>
      <c r="BB845" s="1">
        <v>80.9</v>
      </c>
      <c r="BC845" s="1">
        <v>8.9</v>
      </c>
      <c r="BD845" s="1"/>
      <c r="BE845" s="1"/>
      <c r="BF845" s="1"/>
      <c r="BG845" s="1"/>
      <c r="BH845" s="1"/>
      <c r="BI845" s="1"/>
      <c r="BJ845" s="1" t="s">
        <v>15431</v>
      </c>
      <c r="BK845" s="1"/>
      <c r="BL845" s="1"/>
      <c r="BM845" s="1" t="s">
        <v>15432</v>
      </c>
      <c r="BN845" s="1">
        <v>9</v>
      </c>
      <c r="BO845" s="1"/>
      <c r="BP845" s="1" t="str">
        <f>HYPERLINK("https://nconnect.nicmar.ac.in/storage/profile/ProfilePhoto_P25702058_624583.jpg","Download")</f>
        <v>0</v>
      </c>
      <c r="BQ845" s="3"/>
      <c r="BR845" s="3"/>
    </row>
    <row r="846" spans="1:70">
      <c r="A846" s="1" t="s">
        <v>441</v>
      </c>
      <c r="B846" s="1" t="s">
        <v>1269</v>
      </c>
      <c r="C846" s="1" t="s">
        <v>15433</v>
      </c>
      <c r="D846" s="1" t="s">
        <v>15434</v>
      </c>
      <c r="E846" s="1" t="s">
        <v>2485</v>
      </c>
      <c r="F846" s="1" t="s">
        <v>3852</v>
      </c>
      <c r="G846" s="1" t="s">
        <v>15435</v>
      </c>
      <c r="H846" s="1" t="s">
        <v>15436</v>
      </c>
      <c r="I846" s="1" t="s">
        <v>15437</v>
      </c>
      <c r="J846" s="1">
        <v>9987068565</v>
      </c>
      <c r="K846" s="1" t="s">
        <v>148</v>
      </c>
      <c r="L846" s="1" t="s">
        <v>15438</v>
      </c>
      <c r="M846" s="1" t="s">
        <v>81</v>
      </c>
      <c r="N846" s="1" t="s">
        <v>15439</v>
      </c>
      <c r="O846" s="1"/>
      <c r="P846" s="1" t="s">
        <v>1323</v>
      </c>
      <c r="Q846" s="1" t="s">
        <v>15440</v>
      </c>
      <c r="R846" s="1" t="s">
        <v>2485</v>
      </c>
      <c r="S846" s="1">
        <v>9324401690</v>
      </c>
      <c r="T846" s="1" t="s">
        <v>120</v>
      </c>
      <c r="U846" s="1" t="s">
        <v>15441</v>
      </c>
      <c r="V846" s="1">
        <v>9594553014</v>
      </c>
      <c r="W846" s="1" t="s">
        <v>89</v>
      </c>
      <c r="X846" s="1" t="s">
        <v>15442</v>
      </c>
      <c r="Y846" s="1" t="s">
        <v>766</v>
      </c>
      <c r="Z846" s="1" t="s">
        <v>92</v>
      </c>
      <c r="AA846" s="1" t="s">
        <v>15442</v>
      </c>
      <c r="AB846" s="1" t="s">
        <v>766</v>
      </c>
      <c r="AC846" s="1" t="s">
        <v>92</v>
      </c>
      <c r="AD846" s="1">
        <v>7.32</v>
      </c>
      <c r="AE846" s="1" t="s">
        <v>93</v>
      </c>
      <c r="AF846" s="1" t="s">
        <v>15443</v>
      </c>
      <c r="AG846" s="1" t="s">
        <v>15444</v>
      </c>
      <c r="AH846" s="1" t="s">
        <v>96</v>
      </c>
      <c r="AI846" s="1" t="s">
        <v>97</v>
      </c>
      <c r="AJ846" s="1">
        <v>81.6</v>
      </c>
      <c r="AK846" s="1"/>
      <c r="AL846" s="1" t="s">
        <v>15445</v>
      </c>
      <c r="AM846" s="1" t="s">
        <v>15444</v>
      </c>
      <c r="AN846" s="1" t="s">
        <v>162</v>
      </c>
      <c r="AO846" s="1" t="s">
        <v>1332</v>
      </c>
      <c r="AP846" s="1">
        <v>55.69</v>
      </c>
      <c r="AQ846" s="1"/>
      <c r="AR846" s="1"/>
      <c r="AS846" s="1"/>
      <c r="AT846" s="1"/>
      <c r="AU846" s="1"/>
      <c r="AV846" s="1"/>
      <c r="AW846" s="1"/>
      <c r="AX846" s="1" t="s">
        <v>253</v>
      </c>
      <c r="AY846" s="1" t="s">
        <v>15446</v>
      </c>
      <c r="AZ846" s="1" t="s">
        <v>225</v>
      </c>
      <c r="BA846" s="1" t="s">
        <v>284</v>
      </c>
      <c r="BB846" s="1">
        <v>57.01</v>
      </c>
      <c r="BC846" s="1">
        <v>6.34</v>
      </c>
      <c r="BD846" s="1"/>
      <c r="BE846" s="1"/>
      <c r="BF846" s="1"/>
      <c r="BG846" s="1"/>
      <c r="BH846" s="1"/>
      <c r="BI846" s="1"/>
      <c r="BJ846" s="1" t="s">
        <v>15447</v>
      </c>
      <c r="BK846" s="1" t="s">
        <v>15448</v>
      </c>
      <c r="BL846" s="1" t="s">
        <v>8345</v>
      </c>
      <c r="BM846" s="1" t="s">
        <v>15449</v>
      </c>
      <c r="BN846" s="1">
        <v>26</v>
      </c>
      <c r="BO846" s="1"/>
      <c r="BP846" s="1" t="str">
        <f>HYPERLINK("https://nconnect.nicmar.ac.in/storage/profile/ProfilePhoto_P25702059_864359.jpg","Download")</f>
        <v>0</v>
      </c>
      <c r="BQ846" s="3"/>
      <c r="BR846" s="3"/>
    </row>
    <row r="847" spans="1:70">
      <c r="A847" s="1" t="s">
        <v>441</v>
      </c>
      <c r="B847" s="1" t="s">
        <v>1269</v>
      </c>
      <c r="C847" s="1" t="s">
        <v>15450</v>
      </c>
      <c r="D847" s="1" t="s">
        <v>2085</v>
      </c>
      <c r="E847" s="1"/>
      <c r="F847" s="1" t="s">
        <v>15451</v>
      </c>
      <c r="G847" s="1" t="s">
        <v>15452</v>
      </c>
      <c r="H847" s="1" t="s">
        <v>15453</v>
      </c>
      <c r="I847" s="1" t="s">
        <v>15454</v>
      </c>
      <c r="J847" s="1">
        <v>7846834615</v>
      </c>
      <c r="K847" s="1" t="s">
        <v>79</v>
      </c>
      <c r="L847" s="1" t="s">
        <v>928</v>
      </c>
      <c r="M847" s="1" t="s">
        <v>81</v>
      </c>
      <c r="N847" s="1" t="s">
        <v>1724</v>
      </c>
      <c r="O847" s="1" t="s">
        <v>15455</v>
      </c>
      <c r="P847" s="1" t="s">
        <v>1298</v>
      </c>
      <c r="Q847" s="1" t="s">
        <v>15456</v>
      </c>
      <c r="R847" s="1" t="s">
        <v>15457</v>
      </c>
      <c r="S847" s="1">
        <v>9337219992</v>
      </c>
      <c r="T847" s="1" t="s">
        <v>15458</v>
      </c>
      <c r="U847" s="1" t="s">
        <v>15459</v>
      </c>
      <c r="V847" s="1">
        <v>9438629300</v>
      </c>
      <c r="W847" s="1" t="s">
        <v>15460</v>
      </c>
      <c r="X847" s="1" t="s">
        <v>15461</v>
      </c>
      <c r="Y847" s="1" t="s">
        <v>2096</v>
      </c>
      <c r="Z847" s="1" t="s">
        <v>1731</v>
      </c>
      <c r="AA847" s="1" t="s">
        <v>15461</v>
      </c>
      <c r="AB847" s="1" t="s">
        <v>2096</v>
      </c>
      <c r="AC847" s="1" t="s">
        <v>1731</v>
      </c>
      <c r="AD847" s="1">
        <v>7.24</v>
      </c>
      <c r="AE847" s="1" t="s">
        <v>93</v>
      </c>
      <c r="AF847" s="1" t="s">
        <v>15462</v>
      </c>
      <c r="AG847" s="1" t="s">
        <v>15463</v>
      </c>
      <c r="AH847" s="1" t="s">
        <v>165</v>
      </c>
      <c r="AI847" s="1" t="s">
        <v>166</v>
      </c>
      <c r="AJ847" s="1">
        <v>70.8</v>
      </c>
      <c r="AK847" s="1">
        <v>0</v>
      </c>
      <c r="AL847" s="1" t="s">
        <v>15464</v>
      </c>
      <c r="AM847" s="1" t="s">
        <v>15463</v>
      </c>
      <c r="AN847" s="1" t="s">
        <v>101</v>
      </c>
      <c r="AO847" s="1" t="s">
        <v>173</v>
      </c>
      <c r="AP847" s="1">
        <v>66.8</v>
      </c>
      <c r="AQ847" s="1"/>
      <c r="AR847" s="1"/>
      <c r="AS847" s="1"/>
      <c r="AT847" s="1"/>
      <c r="AU847" s="1"/>
      <c r="AV847" s="1"/>
      <c r="AW847" s="1"/>
      <c r="AX847" s="1" t="s">
        <v>15465</v>
      </c>
      <c r="AY847" s="1" t="s">
        <v>15465</v>
      </c>
      <c r="AZ847" s="1" t="s">
        <v>897</v>
      </c>
      <c r="BA847" s="1" t="s">
        <v>1714</v>
      </c>
      <c r="BB847" s="1">
        <v>57.7</v>
      </c>
      <c r="BC847" s="1">
        <v>6.27</v>
      </c>
      <c r="BD847" s="1"/>
      <c r="BE847" s="1"/>
      <c r="BF847" s="1"/>
      <c r="BG847" s="1"/>
      <c r="BH847" s="1"/>
      <c r="BI847" s="1"/>
      <c r="BJ847" s="1" t="s">
        <v>2733</v>
      </c>
      <c r="BK847" s="1"/>
      <c r="BL847" s="1"/>
      <c r="BM847" s="1" t="s">
        <v>15466</v>
      </c>
      <c r="BN847" s="1">
        <v>11</v>
      </c>
      <c r="BO847" s="1" t="s">
        <v>15467</v>
      </c>
      <c r="BP847" s="1" t="str">
        <f>HYPERLINK("https://nconnect.nicmar.ac.in/storage/profile/ProfilePhoto_P25702060_829173.jpg","Download")</f>
        <v>0</v>
      </c>
      <c r="BQ847" s="3"/>
      <c r="BR847" s="3"/>
    </row>
    <row r="848" spans="1:70">
      <c r="A848" s="1" t="s">
        <v>441</v>
      </c>
      <c r="B848" s="1" t="s">
        <v>1269</v>
      </c>
      <c r="C848" s="1" t="s">
        <v>15468</v>
      </c>
      <c r="D848" s="1" t="s">
        <v>15469</v>
      </c>
      <c r="E848" s="1" t="s">
        <v>3438</v>
      </c>
      <c r="F848" s="1" t="s">
        <v>15470</v>
      </c>
      <c r="G848" s="1" t="s">
        <v>15471</v>
      </c>
      <c r="H848" s="1" t="s">
        <v>15472</v>
      </c>
      <c r="I848" s="1" t="s">
        <v>15473</v>
      </c>
      <c r="J848" s="1">
        <v>9594111227</v>
      </c>
      <c r="K848" s="1" t="s">
        <v>79</v>
      </c>
      <c r="L848" s="1" t="s">
        <v>15474</v>
      </c>
      <c r="M848" s="1" t="s">
        <v>81</v>
      </c>
      <c r="N848" s="1" t="s">
        <v>15475</v>
      </c>
      <c r="O848" s="1"/>
      <c r="P848" s="1" t="s">
        <v>1323</v>
      </c>
      <c r="Q848" s="1" t="s">
        <v>15476</v>
      </c>
      <c r="R848" s="1" t="s">
        <v>3438</v>
      </c>
      <c r="S848" s="1">
        <v>9594111230</v>
      </c>
      <c r="T848" s="1" t="s">
        <v>496</v>
      </c>
      <c r="U848" s="1" t="s">
        <v>992</v>
      </c>
      <c r="V848" s="1">
        <v>9594111229</v>
      </c>
      <c r="W848" s="1" t="s">
        <v>89</v>
      </c>
      <c r="X848" s="1" t="s">
        <v>15477</v>
      </c>
      <c r="Y848" s="1" t="s">
        <v>1623</v>
      </c>
      <c r="Z848" s="1" t="s">
        <v>92</v>
      </c>
      <c r="AA848" s="1" t="s">
        <v>15477</v>
      </c>
      <c r="AB848" s="1" t="s">
        <v>1623</v>
      </c>
      <c r="AC848" s="1" t="s">
        <v>92</v>
      </c>
      <c r="AD848" s="1">
        <v>7.9</v>
      </c>
      <c r="AE848" s="1" t="s">
        <v>93</v>
      </c>
      <c r="AF848" s="1" t="s">
        <v>15478</v>
      </c>
      <c r="AG848" s="1" t="s">
        <v>160</v>
      </c>
      <c r="AH848" s="1" t="s">
        <v>383</v>
      </c>
      <c r="AI848" s="1" t="s">
        <v>281</v>
      </c>
      <c r="AJ848" s="1">
        <v>80.2</v>
      </c>
      <c r="AK848" s="1"/>
      <c r="AL848" s="1" t="s">
        <v>15479</v>
      </c>
      <c r="AM848" s="1" t="s">
        <v>160</v>
      </c>
      <c r="AN848" s="1" t="s">
        <v>433</v>
      </c>
      <c r="AO848" s="1" t="s">
        <v>360</v>
      </c>
      <c r="AP848" s="1">
        <v>53.23</v>
      </c>
      <c r="AQ848" s="1"/>
      <c r="AR848" s="1"/>
      <c r="AS848" s="1"/>
      <c r="AT848" s="1"/>
      <c r="AU848" s="1"/>
      <c r="AV848" s="1"/>
      <c r="AW848" s="1"/>
      <c r="AX848" s="1" t="s">
        <v>253</v>
      </c>
      <c r="AY848" s="1" t="s">
        <v>15480</v>
      </c>
      <c r="AZ848" s="1" t="s">
        <v>173</v>
      </c>
      <c r="BA848" s="1" t="s">
        <v>3165</v>
      </c>
      <c r="BB848" s="1">
        <v>64.17</v>
      </c>
      <c r="BC848" s="1">
        <v>7.11</v>
      </c>
      <c r="BD848" s="1"/>
      <c r="BE848" s="1"/>
      <c r="BF848" s="1"/>
      <c r="BG848" s="1"/>
      <c r="BH848" s="1"/>
      <c r="BI848" s="1"/>
      <c r="BJ848" s="1" t="s">
        <v>15481</v>
      </c>
      <c r="BK848" s="1"/>
      <c r="BL848" s="1"/>
      <c r="BM848" s="1" t="s">
        <v>15482</v>
      </c>
      <c r="BN848" s="1">
        <v>17</v>
      </c>
      <c r="BO848" s="1" t="s">
        <v>15483</v>
      </c>
      <c r="BP848" s="1" t="str">
        <f>HYPERLINK("https://nconnect.nicmar.ac.in/storage/profile/ProfilePhoto_P25702061_731829.jpg","Download")</f>
        <v>0</v>
      </c>
      <c r="BQ848" s="3"/>
      <c r="BR848" s="3"/>
    </row>
    <row r="849" spans="1:70">
      <c r="A849" s="1" t="s">
        <v>441</v>
      </c>
      <c r="B849" s="1" t="s">
        <v>1269</v>
      </c>
      <c r="C849" s="1" t="s">
        <v>15484</v>
      </c>
      <c r="D849" s="1" t="s">
        <v>15485</v>
      </c>
      <c r="E849" s="1" t="s">
        <v>15486</v>
      </c>
      <c r="F849" s="1" t="s">
        <v>15487</v>
      </c>
      <c r="G849" s="1" t="s">
        <v>15488</v>
      </c>
      <c r="H849" s="1" t="s">
        <v>15489</v>
      </c>
      <c r="I849" s="1" t="s">
        <v>15490</v>
      </c>
      <c r="J849" s="1">
        <v>7741939823</v>
      </c>
      <c r="K849" s="1" t="s">
        <v>79</v>
      </c>
      <c r="L849" s="1" t="s">
        <v>15491</v>
      </c>
      <c r="M849" s="1" t="s">
        <v>81</v>
      </c>
      <c r="N849" s="1" t="s">
        <v>2008</v>
      </c>
      <c r="O849" s="1"/>
      <c r="P849" s="1" t="s">
        <v>1278</v>
      </c>
      <c r="Q849" s="1" t="s">
        <v>15492</v>
      </c>
      <c r="R849" s="1" t="s">
        <v>15493</v>
      </c>
      <c r="S849" s="1">
        <v>9503069376</v>
      </c>
      <c r="T849" s="1" t="s">
        <v>2335</v>
      </c>
      <c r="U849" s="1" t="s">
        <v>15494</v>
      </c>
      <c r="V849" s="1">
        <v>8698852057</v>
      </c>
      <c r="W849" s="1" t="s">
        <v>273</v>
      </c>
      <c r="X849" s="1" t="s">
        <v>15495</v>
      </c>
      <c r="Y849" s="1" t="s">
        <v>379</v>
      </c>
      <c r="Z849" s="1" t="s">
        <v>92</v>
      </c>
      <c r="AA849" s="1" t="s">
        <v>15495</v>
      </c>
      <c r="AB849" s="1" t="s">
        <v>379</v>
      </c>
      <c r="AC849" s="1" t="s">
        <v>92</v>
      </c>
      <c r="AD849" s="1" t="s">
        <v>93</v>
      </c>
      <c r="AE849" s="1" t="s">
        <v>93</v>
      </c>
      <c r="AF849" s="1" t="s">
        <v>15496</v>
      </c>
      <c r="AG849" s="1" t="s">
        <v>15497</v>
      </c>
      <c r="AH849" s="1" t="s">
        <v>161</v>
      </c>
      <c r="AI849" s="1" t="s">
        <v>456</v>
      </c>
      <c r="AJ849" s="1">
        <v>69.8</v>
      </c>
      <c r="AK849" s="1"/>
      <c r="AL849" s="1" t="s">
        <v>15498</v>
      </c>
      <c r="AM849" s="1" t="s">
        <v>15497</v>
      </c>
      <c r="AN849" s="1" t="s">
        <v>165</v>
      </c>
      <c r="AO849" s="1" t="s">
        <v>457</v>
      </c>
      <c r="AP849" s="1">
        <v>54.15</v>
      </c>
      <c r="AQ849" s="1"/>
      <c r="AR849" s="1"/>
      <c r="AS849" s="1"/>
      <c r="AT849" s="1"/>
      <c r="AU849" s="1"/>
      <c r="AV849" s="1"/>
      <c r="AW849" s="1"/>
      <c r="AX849" s="1" t="s">
        <v>15499</v>
      </c>
      <c r="AY849" s="1" t="s">
        <v>15500</v>
      </c>
      <c r="AZ849" s="1" t="s">
        <v>169</v>
      </c>
      <c r="BA849" s="1" t="s">
        <v>105</v>
      </c>
      <c r="BB849" s="1">
        <v>71.8</v>
      </c>
      <c r="BC849" s="1">
        <v>7.68</v>
      </c>
      <c r="BD849" s="1"/>
      <c r="BE849" s="1"/>
      <c r="BF849" s="1"/>
      <c r="BG849" s="1"/>
      <c r="BH849" s="1"/>
      <c r="BI849" s="1"/>
      <c r="BJ849" s="1" t="s">
        <v>15501</v>
      </c>
      <c r="BK849" s="1" t="s">
        <v>15502</v>
      </c>
      <c r="BL849" s="1" t="s">
        <v>9536</v>
      </c>
      <c r="BM849" s="1" t="s">
        <v>15503</v>
      </c>
      <c r="BN849" s="1">
        <v>26</v>
      </c>
      <c r="BO849" s="1"/>
      <c r="BP849" s="1" t="str">
        <f>HYPERLINK("https://nconnect.nicmar.ac.in/storage/profile/ProfilePhoto_P25702062_861492.jpg","Download")</f>
        <v>0</v>
      </c>
      <c r="BQ849" s="3"/>
      <c r="BR849" s="3"/>
    </row>
    <row r="850" spans="1:70">
      <c r="A850" s="1" t="s">
        <v>441</v>
      </c>
      <c r="B850" s="1" t="s">
        <v>1269</v>
      </c>
      <c r="C850" s="1" t="s">
        <v>15504</v>
      </c>
      <c r="D850" s="1" t="s">
        <v>15505</v>
      </c>
      <c r="E850" s="1" t="s">
        <v>444</v>
      </c>
      <c r="F850" s="1" t="s">
        <v>15506</v>
      </c>
      <c r="G850" s="1" t="s">
        <v>15507</v>
      </c>
      <c r="H850" s="1" t="s">
        <v>15508</v>
      </c>
      <c r="I850" s="1" t="s">
        <v>15509</v>
      </c>
      <c r="J850" s="1">
        <v>7218330499</v>
      </c>
      <c r="K850" s="1" t="s">
        <v>148</v>
      </c>
      <c r="L850" s="1" t="s">
        <v>15510</v>
      </c>
      <c r="M850" s="1" t="s">
        <v>81</v>
      </c>
      <c r="N850" s="1" t="s">
        <v>3214</v>
      </c>
      <c r="O850" s="1"/>
      <c r="P850" s="1" t="s">
        <v>1323</v>
      </c>
      <c r="Q850" s="1" t="s">
        <v>15511</v>
      </c>
      <c r="R850" s="1" t="s">
        <v>15512</v>
      </c>
      <c r="S850" s="1">
        <v>9921856587</v>
      </c>
      <c r="T850" s="1" t="s">
        <v>976</v>
      </c>
      <c r="U850" s="1" t="s">
        <v>15513</v>
      </c>
      <c r="V850" s="1">
        <v>8788336890</v>
      </c>
      <c r="W850" s="1" t="s">
        <v>156</v>
      </c>
      <c r="X850" s="1" t="s">
        <v>15514</v>
      </c>
      <c r="Y850" s="1" t="s">
        <v>219</v>
      </c>
      <c r="Z850" s="1" t="s">
        <v>92</v>
      </c>
      <c r="AA850" s="1" t="s">
        <v>15514</v>
      </c>
      <c r="AB850" s="1" t="s">
        <v>219</v>
      </c>
      <c r="AC850" s="1" t="s">
        <v>92</v>
      </c>
      <c r="AD850" s="1">
        <v>8.03</v>
      </c>
      <c r="AE850" s="1" t="s">
        <v>93</v>
      </c>
      <c r="AF850" s="1" t="s">
        <v>15515</v>
      </c>
      <c r="AG850" s="1" t="s">
        <v>7732</v>
      </c>
      <c r="AH850" s="1" t="s">
        <v>12104</v>
      </c>
      <c r="AI850" s="1" t="s">
        <v>456</v>
      </c>
      <c r="AJ850" s="1">
        <v>82.6</v>
      </c>
      <c r="AK850" s="1"/>
      <c r="AL850" s="1" t="s">
        <v>15516</v>
      </c>
      <c r="AM850" s="1" t="s">
        <v>7732</v>
      </c>
      <c r="AN850" s="1" t="s">
        <v>162</v>
      </c>
      <c r="AO850" s="1" t="s">
        <v>457</v>
      </c>
      <c r="AP850" s="1">
        <v>66.46</v>
      </c>
      <c r="AQ850" s="1"/>
      <c r="AR850" s="1"/>
      <c r="AS850" s="1"/>
      <c r="AT850" s="1"/>
      <c r="AU850" s="1"/>
      <c r="AV850" s="1"/>
      <c r="AW850" s="1"/>
      <c r="AX850" s="1" t="s">
        <v>13865</v>
      </c>
      <c r="AY850" s="1" t="s">
        <v>15517</v>
      </c>
      <c r="AZ850" s="1" t="s">
        <v>169</v>
      </c>
      <c r="BA850" s="1" t="s">
        <v>590</v>
      </c>
      <c r="BB850" s="1">
        <v>64.73</v>
      </c>
      <c r="BC850" s="1">
        <v>6.81</v>
      </c>
      <c r="BD850" s="1"/>
      <c r="BE850" s="1"/>
      <c r="BF850" s="1"/>
      <c r="BG850" s="1"/>
      <c r="BH850" s="1"/>
      <c r="BI850" s="1"/>
      <c r="BJ850" s="1" t="s">
        <v>15518</v>
      </c>
      <c r="BK850" s="1"/>
      <c r="BL850" s="1"/>
      <c r="BM850" s="1" t="s">
        <v>15519</v>
      </c>
      <c r="BN850" s="1">
        <v>26</v>
      </c>
      <c r="BO850" s="1"/>
      <c r="BP850" s="1" t="str">
        <f>HYPERLINK("https://nconnect.nicmar.ac.in/storage/profile/ProfilePhoto_P25702063_125638.jpg","Download")</f>
        <v>0</v>
      </c>
      <c r="BQ850" s="3"/>
      <c r="BR850" s="3"/>
    </row>
    <row r="851" spans="1:70">
      <c r="A851" s="1" t="s">
        <v>441</v>
      </c>
      <c r="B851" s="1" t="s">
        <v>1269</v>
      </c>
      <c r="C851" s="1" t="s">
        <v>15520</v>
      </c>
      <c r="D851" s="1" t="s">
        <v>15521</v>
      </c>
      <c r="E851" s="1"/>
      <c r="F851" s="1" t="s">
        <v>15522</v>
      </c>
      <c r="G851" s="1" t="s">
        <v>15523</v>
      </c>
      <c r="H851" s="1" t="s">
        <v>15524</v>
      </c>
      <c r="I851" s="1" t="s">
        <v>15525</v>
      </c>
      <c r="J851" s="1">
        <v>7032052925</v>
      </c>
      <c r="K851" s="1" t="s">
        <v>79</v>
      </c>
      <c r="L851" s="1" t="s">
        <v>583</v>
      </c>
      <c r="M851" s="1" t="s">
        <v>81</v>
      </c>
      <c r="N851" s="1" t="s">
        <v>3842</v>
      </c>
      <c r="O851" s="1"/>
      <c r="P851" s="1" t="s">
        <v>1323</v>
      </c>
      <c r="Q851" s="1" t="s">
        <v>15526</v>
      </c>
      <c r="R851" s="1" t="s">
        <v>15527</v>
      </c>
      <c r="S851" s="1">
        <v>9848070745</v>
      </c>
      <c r="T851" s="1" t="s">
        <v>5823</v>
      </c>
      <c r="U851" s="1" t="s">
        <v>15528</v>
      </c>
      <c r="V851" s="1">
        <v>9949035359</v>
      </c>
      <c r="W851" s="1" t="s">
        <v>89</v>
      </c>
      <c r="X851" s="1" t="s">
        <v>15529</v>
      </c>
      <c r="Y851" s="1" t="s">
        <v>11933</v>
      </c>
      <c r="Z851" s="1" t="s">
        <v>276</v>
      </c>
      <c r="AA851" s="1" t="s">
        <v>15529</v>
      </c>
      <c r="AB851" s="1" t="s">
        <v>11933</v>
      </c>
      <c r="AC851" s="1" t="s">
        <v>276</v>
      </c>
      <c r="AD851" s="1">
        <v>7.82</v>
      </c>
      <c r="AE851" s="1" t="s">
        <v>93</v>
      </c>
      <c r="AF851" s="1" t="s">
        <v>15530</v>
      </c>
      <c r="AG851" s="1" t="s">
        <v>15531</v>
      </c>
      <c r="AH851" s="1" t="s">
        <v>162</v>
      </c>
      <c r="AI851" s="1" t="s">
        <v>678</v>
      </c>
      <c r="AJ851" s="1">
        <v>74.1</v>
      </c>
      <c r="AK851" s="1">
        <v>7.8</v>
      </c>
      <c r="AL851" s="1" t="s">
        <v>2421</v>
      </c>
      <c r="AM851" s="1" t="s">
        <v>6347</v>
      </c>
      <c r="AN851" s="1" t="s">
        <v>165</v>
      </c>
      <c r="AO851" s="1" t="s">
        <v>1065</v>
      </c>
      <c r="AP851" s="1">
        <v>80.6</v>
      </c>
      <c r="AQ851" s="1">
        <v>0</v>
      </c>
      <c r="AR851" s="1"/>
      <c r="AS851" s="1"/>
      <c r="AT851" s="1"/>
      <c r="AU851" s="1"/>
      <c r="AV851" s="1"/>
      <c r="AW851" s="1"/>
      <c r="AX851" s="1" t="s">
        <v>282</v>
      </c>
      <c r="AY851" s="1" t="s">
        <v>15532</v>
      </c>
      <c r="AZ851" s="1" t="s">
        <v>433</v>
      </c>
      <c r="BA851" s="1" t="s">
        <v>3165</v>
      </c>
      <c r="BB851" s="1">
        <v>57.8</v>
      </c>
      <c r="BC851" s="1">
        <v>6.28</v>
      </c>
      <c r="BD851" s="1"/>
      <c r="BE851" s="1"/>
      <c r="BF851" s="1"/>
      <c r="BG851" s="1"/>
      <c r="BH851" s="1"/>
      <c r="BI851" s="1"/>
      <c r="BJ851" s="1" t="s">
        <v>364</v>
      </c>
      <c r="BK851" s="1"/>
      <c r="BL851" s="1"/>
      <c r="BM851" s="1" t="s">
        <v>15533</v>
      </c>
      <c r="BN851" s="1">
        <v>9</v>
      </c>
      <c r="BO851" s="1"/>
      <c r="BP851" s="1" t="str">
        <f>HYPERLINK("https://nconnect.nicmar.ac.in/storage/profile/ProfilePhoto_P25702064_159876.jpg","Download")</f>
        <v>0</v>
      </c>
      <c r="BQ851" s="3"/>
      <c r="BR851" s="3"/>
    </row>
    <row r="852" spans="1:70">
      <c r="A852" s="1" t="s">
        <v>441</v>
      </c>
      <c r="B852" s="1" t="s">
        <v>1269</v>
      </c>
      <c r="C852" s="1" t="s">
        <v>15534</v>
      </c>
      <c r="D852" s="1" t="s">
        <v>15535</v>
      </c>
      <c r="E852" s="1" t="s">
        <v>1316</v>
      </c>
      <c r="F852" s="1" t="s">
        <v>7350</v>
      </c>
      <c r="G852" s="1" t="s">
        <v>15536</v>
      </c>
      <c r="H852" s="1" t="s">
        <v>15537</v>
      </c>
      <c r="I852" s="1" t="s">
        <v>15538</v>
      </c>
      <c r="J852" s="1">
        <v>7984205653</v>
      </c>
      <c r="K852" s="1" t="s">
        <v>79</v>
      </c>
      <c r="L852" s="1" t="s">
        <v>5186</v>
      </c>
      <c r="M852" s="1" t="s">
        <v>81</v>
      </c>
      <c r="N852" s="1" t="s">
        <v>15539</v>
      </c>
      <c r="O852" s="1"/>
      <c r="P852" s="1" t="s">
        <v>1278</v>
      </c>
      <c r="Q852" s="1" t="s">
        <v>15540</v>
      </c>
      <c r="R852" s="1" t="s">
        <v>15541</v>
      </c>
      <c r="S852" s="1">
        <v>7572911148</v>
      </c>
      <c r="T852" s="1" t="s">
        <v>8410</v>
      </c>
      <c r="U852" s="1" t="s">
        <v>15542</v>
      </c>
      <c r="V852" s="1">
        <v>8698098005</v>
      </c>
      <c r="W852" s="1" t="s">
        <v>156</v>
      </c>
      <c r="X852" s="1" t="s">
        <v>15543</v>
      </c>
      <c r="Y852" s="1" t="s">
        <v>191</v>
      </c>
      <c r="Z852" s="1" t="s">
        <v>92</v>
      </c>
      <c r="AA852" s="1" t="s">
        <v>15543</v>
      </c>
      <c r="AB852" s="1" t="s">
        <v>191</v>
      </c>
      <c r="AC852" s="1" t="s">
        <v>92</v>
      </c>
      <c r="AD852" s="1">
        <v>8.32</v>
      </c>
      <c r="AE852" s="1" t="s">
        <v>93</v>
      </c>
      <c r="AF852" s="1" t="s">
        <v>15544</v>
      </c>
      <c r="AG852" s="1" t="s">
        <v>15545</v>
      </c>
      <c r="AH852" s="1" t="s">
        <v>101</v>
      </c>
      <c r="AI852" s="1" t="s">
        <v>409</v>
      </c>
      <c r="AJ852" s="1">
        <v>84.2</v>
      </c>
      <c r="AK852" s="1">
        <v>0</v>
      </c>
      <c r="AL852" s="1" t="s">
        <v>15546</v>
      </c>
      <c r="AM852" s="1" t="s">
        <v>15547</v>
      </c>
      <c r="AN852" s="1" t="s">
        <v>699</v>
      </c>
      <c r="AO852" s="1" t="s">
        <v>1712</v>
      </c>
      <c r="AP852" s="1">
        <v>86.5</v>
      </c>
      <c r="AQ852" s="1">
        <v>0</v>
      </c>
      <c r="AR852" s="1"/>
      <c r="AS852" s="1"/>
      <c r="AT852" s="1"/>
      <c r="AU852" s="1"/>
      <c r="AV852" s="1"/>
      <c r="AW852" s="1"/>
      <c r="AX852" s="1" t="s">
        <v>15548</v>
      </c>
      <c r="AY852" s="1" t="s">
        <v>15549</v>
      </c>
      <c r="AZ852" s="1" t="s">
        <v>436</v>
      </c>
      <c r="BA852" s="1" t="s">
        <v>6092</v>
      </c>
      <c r="BB852" s="1">
        <v>85.5</v>
      </c>
      <c r="BC852" s="1">
        <v>8.45</v>
      </c>
      <c r="BD852" s="1"/>
      <c r="BE852" s="1"/>
      <c r="BF852" s="1"/>
      <c r="BG852" s="1"/>
      <c r="BH852" s="1"/>
      <c r="BI852" s="1"/>
      <c r="BJ852" s="1" t="s">
        <v>15550</v>
      </c>
      <c r="BK852" s="1"/>
      <c r="BL852" s="1"/>
      <c r="BM852" s="1" t="s">
        <v>15551</v>
      </c>
      <c r="BN852" s="1">
        <v>40</v>
      </c>
      <c r="BO852" s="1"/>
      <c r="BP852" s="1" t="str">
        <f>HYPERLINK("https://nconnect.nicmar.ac.in/storage/profile/ProfilePhoto_P25702065_917365.jpg","Download")</f>
        <v>0</v>
      </c>
      <c r="BQ852" s="3"/>
      <c r="BR852" s="3"/>
    </row>
    <row r="853" spans="1:70">
      <c r="A853" s="1" t="s">
        <v>441</v>
      </c>
      <c r="B853" s="1" t="s">
        <v>1269</v>
      </c>
      <c r="C853" s="1" t="s">
        <v>15552</v>
      </c>
      <c r="D853" s="1" t="s">
        <v>15553</v>
      </c>
      <c r="E853" s="1" t="s">
        <v>10087</v>
      </c>
      <c r="F853" s="1" t="s">
        <v>15554</v>
      </c>
      <c r="G853" s="1" t="s">
        <v>15555</v>
      </c>
      <c r="H853" s="1" t="s">
        <v>15556</v>
      </c>
      <c r="I853" s="1" t="s">
        <v>15557</v>
      </c>
      <c r="J853" s="1">
        <v>8530633365</v>
      </c>
      <c r="K853" s="1" t="s">
        <v>79</v>
      </c>
      <c r="L853" s="1" t="s">
        <v>15558</v>
      </c>
      <c r="M853" s="1" t="s">
        <v>81</v>
      </c>
      <c r="N853" s="1" t="s">
        <v>1765</v>
      </c>
      <c r="O853" s="1"/>
      <c r="P853" s="1" t="s">
        <v>1323</v>
      </c>
      <c r="Q853" s="1" t="s">
        <v>15559</v>
      </c>
      <c r="R853" s="1" t="s">
        <v>10087</v>
      </c>
      <c r="S853" s="1">
        <v>9422208365</v>
      </c>
      <c r="T853" s="1" t="s">
        <v>15560</v>
      </c>
      <c r="U853" s="1" t="s">
        <v>217</v>
      </c>
      <c r="V853" s="1">
        <v>9422204418</v>
      </c>
      <c r="W853" s="1" t="s">
        <v>156</v>
      </c>
      <c r="X853" s="1" t="s">
        <v>15561</v>
      </c>
      <c r="Y853" s="1" t="s">
        <v>91</v>
      </c>
      <c r="Z853" s="1" t="s">
        <v>92</v>
      </c>
      <c r="AA853" s="1" t="s">
        <v>15561</v>
      </c>
      <c r="AB853" s="1" t="s">
        <v>91</v>
      </c>
      <c r="AC853" s="1" t="s">
        <v>92</v>
      </c>
      <c r="AD853" s="1">
        <v>8.05</v>
      </c>
      <c r="AE853" s="1" t="s">
        <v>93</v>
      </c>
      <c r="AF853" s="1" t="s">
        <v>15562</v>
      </c>
      <c r="AG853" s="1" t="s">
        <v>160</v>
      </c>
      <c r="AH853" s="1" t="s">
        <v>433</v>
      </c>
      <c r="AI853" s="1" t="s">
        <v>941</v>
      </c>
      <c r="AJ853" s="1">
        <v>88.8</v>
      </c>
      <c r="AK853" s="1"/>
      <c r="AL853" s="1" t="s">
        <v>15563</v>
      </c>
      <c r="AM853" s="1" t="s">
        <v>160</v>
      </c>
      <c r="AN853" s="1" t="s">
        <v>681</v>
      </c>
      <c r="AO853" s="1" t="s">
        <v>2690</v>
      </c>
      <c r="AP853" s="1">
        <v>85.5</v>
      </c>
      <c r="AQ853" s="1"/>
      <c r="AR853" s="1"/>
      <c r="AS853" s="1"/>
      <c r="AT853" s="1"/>
      <c r="AU853" s="1"/>
      <c r="AV853" s="1"/>
      <c r="AW853" s="1"/>
      <c r="AX853" s="1" t="s">
        <v>3982</v>
      </c>
      <c r="AY853" s="1" t="s">
        <v>15564</v>
      </c>
      <c r="AZ853" s="1" t="s">
        <v>481</v>
      </c>
      <c r="BA853" s="1" t="s">
        <v>1408</v>
      </c>
      <c r="BB853" s="1">
        <v>60.91</v>
      </c>
      <c r="BC853" s="1">
        <v>6.81</v>
      </c>
      <c r="BD853" s="1"/>
      <c r="BE853" s="1"/>
      <c r="BF853" s="1"/>
      <c r="BG853" s="1"/>
      <c r="BH853" s="1"/>
      <c r="BI853" s="1"/>
      <c r="BJ853" s="1" t="s">
        <v>15565</v>
      </c>
      <c r="BK853" s="1"/>
      <c r="BL853" s="1"/>
      <c r="BM853" s="1" t="s">
        <v>15566</v>
      </c>
      <c r="BN853" s="1">
        <v>21</v>
      </c>
      <c r="BO853" s="1"/>
      <c r="BP853" s="1" t="str">
        <f>HYPERLINK("https://nconnect.nicmar.ac.in/storage/profile/ProfilePhoto_P25702066_973218.jpg","Download")</f>
        <v>0</v>
      </c>
      <c r="BQ853" s="3"/>
      <c r="BR853" s="3"/>
    </row>
    <row r="854" spans="1:70">
      <c r="A854" s="1" t="s">
        <v>441</v>
      </c>
      <c r="B854" s="1" t="s">
        <v>1269</v>
      </c>
      <c r="C854" s="1" t="s">
        <v>15567</v>
      </c>
      <c r="D854" s="1" t="s">
        <v>15568</v>
      </c>
      <c r="E854" s="1" t="s">
        <v>3208</v>
      </c>
      <c r="F854" s="1" t="s">
        <v>15278</v>
      </c>
      <c r="G854" s="1" t="s">
        <v>15569</v>
      </c>
      <c r="H854" s="1" t="s">
        <v>15570</v>
      </c>
      <c r="I854" s="1" t="s">
        <v>15571</v>
      </c>
      <c r="J854" s="1">
        <v>9421611955</v>
      </c>
      <c r="K854" s="1" t="s">
        <v>148</v>
      </c>
      <c r="L854" s="1" t="s">
        <v>15572</v>
      </c>
      <c r="M854" s="1" t="s">
        <v>81</v>
      </c>
      <c r="N854" s="1" t="s">
        <v>2008</v>
      </c>
      <c r="O854" s="1"/>
      <c r="P854" s="1" t="s">
        <v>1278</v>
      </c>
      <c r="Q854" s="1" t="s">
        <v>15573</v>
      </c>
      <c r="R854" s="1" t="s">
        <v>3208</v>
      </c>
      <c r="S854" s="1">
        <v>9960753111</v>
      </c>
      <c r="T854" s="1" t="s">
        <v>976</v>
      </c>
      <c r="U854" s="1" t="s">
        <v>12751</v>
      </c>
      <c r="V854" s="1">
        <v>8830634955</v>
      </c>
      <c r="W854" s="1" t="s">
        <v>156</v>
      </c>
      <c r="X854" s="1" t="s">
        <v>15574</v>
      </c>
      <c r="Y854" s="1" t="s">
        <v>304</v>
      </c>
      <c r="Z854" s="1" t="s">
        <v>92</v>
      </c>
      <c r="AA854" s="1" t="s">
        <v>15574</v>
      </c>
      <c r="AB854" s="1" t="s">
        <v>304</v>
      </c>
      <c r="AC854" s="1" t="s">
        <v>92</v>
      </c>
      <c r="AD854" s="1">
        <v>8.21</v>
      </c>
      <c r="AE854" s="1" t="s">
        <v>93</v>
      </c>
      <c r="AF854" s="1" t="s">
        <v>15575</v>
      </c>
      <c r="AG854" s="1" t="s">
        <v>15576</v>
      </c>
      <c r="AH854" s="1" t="s">
        <v>101</v>
      </c>
      <c r="AI854" s="1" t="s">
        <v>433</v>
      </c>
      <c r="AJ854" s="1">
        <v>86.8</v>
      </c>
      <c r="AK854" s="1"/>
      <c r="AL854" s="1"/>
      <c r="AM854" s="1"/>
      <c r="AN854" s="1"/>
      <c r="AO854" s="1"/>
      <c r="AP854" s="1"/>
      <c r="AQ854" s="1"/>
      <c r="AR854" s="1" t="s">
        <v>434</v>
      </c>
      <c r="AS854" s="1" t="s">
        <v>15577</v>
      </c>
      <c r="AT854" s="1" t="s">
        <v>201</v>
      </c>
      <c r="AU854" s="1" t="s">
        <v>481</v>
      </c>
      <c r="AV854" s="1">
        <v>77.47</v>
      </c>
      <c r="AW854" s="1"/>
      <c r="AX854" s="1" t="s">
        <v>361</v>
      </c>
      <c r="AY854" s="1" t="s">
        <v>15578</v>
      </c>
      <c r="AZ854" s="1" t="s">
        <v>2693</v>
      </c>
      <c r="BA854" s="1" t="s">
        <v>1714</v>
      </c>
      <c r="BB854" s="1">
        <v>60.96</v>
      </c>
      <c r="BC854" s="1">
        <v>6.85</v>
      </c>
      <c r="BD854" s="1"/>
      <c r="BE854" s="1"/>
      <c r="BF854" s="1"/>
      <c r="BG854" s="1"/>
      <c r="BH854" s="1"/>
      <c r="BI854" s="1"/>
      <c r="BJ854" s="1" t="s">
        <v>364</v>
      </c>
      <c r="BK854" s="1"/>
      <c r="BL854" s="1"/>
      <c r="BM854" s="1" t="s">
        <v>15579</v>
      </c>
      <c r="BN854" s="1">
        <v>13</v>
      </c>
      <c r="BO854" s="1" t="s">
        <v>15580</v>
      </c>
      <c r="BP854" s="1" t="str">
        <f>HYPERLINK("https://nconnect.nicmar.ac.in/storage/profile/ProfilePhoto_P25702067_257683.jpg","Download")</f>
        <v>0</v>
      </c>
      <c r="BQ854" s="3"/>
      <c r="BR854" s="3"/>
    </row>
    <row r="855" spans="1:70">
      <c r="A855" s="1" t="s">
        <v>441</v>
      </c>
      <c r="B855" s="1" t="s">
        <v>1269</v>
      </c>
      <c r="C855" s="1" t="s">
        <v>15581</v>
      </c>
      <c r="D855" s="1" t="s">
        <v>15582</v>
      </c>
      <c r="E855" s="1" t="s">
        <v>15583</v>
      </c>
      <c r="F855" s="1" t="s">
        <v>4805</v>
      </c>
      <c r="G855" s="1" t="s">
        <v>15584</v>
      </c>
      <c r="H855" s="1" t="s">
        <v>15585</v>
      </c>
      <c r="I855" s="1" t="s">
        <v>15586</v>
      </c>
      <c r="J855" s="1">
        <v>7046561995</v>
      </c>
      <c r="K855" s="1" t="s">
        <v>79</v>
      </c>
      <c r="L855" s="1" t="s">
        <v>15587</v>
      </c>
      <c r="M855" s="1" t="s">
        <v>81</v>
      </c>
      <c r="N855" s="1" t="s">
        <v>15588</v>
      </c>
      <c r="O855" s="1"/>
      <c r="P855" s="1" t="s">
        <v>1323</v>
      </c>
      <c r="Q855" s="1" t="s">
        <v>15589</v>
      </c>
      <c r="R855" s="1" t="s">
        <v>15590</v>
      </c>
      <c r="S855" s="1">
        <v>9825491390</v>
      </c>
      <c r="T855" s="1" t="s">
        <v>15591</v>
      </c>
      <c r="U855" s="1" t="s">
        <v>15592</v>
      </c>
      <c r="V855" s="1">
        <v>7874124229</v>
      </c>
      <c r="W855" s="1" t="s">
        <v>156</v>
      </c>
      <c r="X855" s="1" t="s">
        <v>15593</v>
      </c>
      <c r="Y855" s="1" t="s">
        <v>3689</v>
      </c>
      <c r="Z855" s="1" t="s">
        <v>1468</v>
      </c>
      <c r="AA855" s="1" t="s">
        <v>15593</v>
      </c>
      <c r="AB855" s="1" t="s">
        <v>3689</v>
      </c>
      <c r="AC855" s="1" t="s">
        <v>1468</v>
      </c>
      <c r="AD855" s="1">
        <v>8.11</v>
      </c>
      <c r="AE855" s="1" t="s">
        <v>93</v>
      </c>
      <c r="AF855" s="1" t="s">
        <v>15594</v>
      </c>
      <c r="AG855" s="1" t="s">
        <v>15595</v>
      </c>
      <c r="AH855" s="1" t="s">
        <v>101</v>
      </c>
      <c r="AI855" s="1" t="s">
        <v>409</v>
      </c>
      <c r="AJ855" s="1">
        <v>66.6</v>
      </c>
      <c r="AK855" s="1">
        <v>7</v>
      </c>
      <c r="AL855" s="1" t="s">
        <v>15596</v>
      </c>
      <c r="AM855" s="1" t="s">
        <v>15595</v>
      </c>
      <c r="AN855" s="1" t="s">
        <v>699</v>
      </c>
      <c r="AO855" s="1" t="s">
        <v>1712</v>
      </c>
      <c r="AP855" s="1">
        <v>69.03</v>
      </c>
      <c r="AQ855" s="1">
        <v>7</v>
      </c>
      <c r="AR855" s="1"/>
      <c r="AS855" s="1"/>
      <c r="AT855" s="1"/>
      <c r="AU855" s="1"/>
      <c r="AV855" s="1"/>
      <c r="AW855" s="1"/>
      <c r="AX855" s="1" t="s">
        <v>15597</v>
      </c>
      <c r="AY855" s="1" t="s">
        <v>15598</v>
      </c>
      <c r="AZ855" s="1" t="s">
        <v>1051</v>
      </c>
      <c r="BA855" s="1" t="s">
        <v>1361</v>
      </c>
      <c r="BB855" s="1">
        <v>69.07</v>
      </c>
      <c r="BC855" s="1">
        <v>7.43</v>
      </c>
      <c r="BD855" s="1"/>
      <c r="BE855" s="1"/>
      <c r="BF855" s="1"/>
      <c r="BG855" s="1"/>
      <c r="BH855" s="1"/>
      <c r="BI855" s="1"/>
      <c r="BJ855" s="1" t="s">
        <v>364</v>
      </c>
      <c r="BK855" s="1"/>
      <c r="BL855" s="1"/>
      <c r="BM855" s="1" t="s">
        <v>15599</v>
      </c>
      <c r="BN855" s="1">
        <v>19</v>
      </c>
      <c r="BO855" s="1"/>
      <c r="BP855" s="1" t="str">
        <f>HYPERLINK("https://nconnect.nicmar.ac.in/storage/profile/ProfilePhoto_P25702068_328657.jpg","Download")</f>
        <v>0</v>
      </c>
      <c r="BQ855" s="3"/>
      <c r="BR855" s="3"/>
    </row>
    <row r="856" spans="1:70">
      <c r="A856" s="1" t="s">
        <v>441</v>
      </c>
      <c r="B856" s="1" t="s">
        <v>1269</v>
      </c>
      <c r="C856" s="1" t="s">
        <v>15600</v>
      </c>
      <c r="D856" s="1" t="s">
        <v>2596</v>
      </c>
      <c r="E856" s="1" t="s">
        <v>1546</v>
      </c>
      <c r="F856" s="1" t="s">
        <v>4329</v>
      </c>
      <c r="G856" s="1" t="s">
        <v>15601</v>
      </c>
      <c r="H856" s="1" t="s">
        <v>15602</v>
      </c>
      <c r="I856" s="1" t="s">
        <v>15603</v>
      </c>
      <c r="J856" s="1">
        <v>9370934304</v>
      </c>
      <c r="K856" s="1" t="s">
        <v>79</v>
      </c>
      <c r="L856" s="1" t="s">
        <v>10236</v>
      </c>
      <c r="M856" s="1" t="s">
        <v>81</v>
      </c>
      <c r="N856" s="1" t="s">
        <v>2008</v>
      </c>
      <c r="O856" s="1"/>
      <c r="P856" s="1" t="s">
        <v>1298</v>
      </c>
      <c r="Q856" s="1" t="s">
        <v>15604</v>
      </c>
      <c r="R856" s="1" t="s">
        <v>1546</v>
      </c>
      <c r="S856" s="1">
        <v>9021211628</v>
      </c>
      <c r="T856" s="1" t="s">
        <v>976</v>
      </c>
      <c r="U856" s="1" t="s">
        <v>15605</v>
      </c>
      <c r="V856" s="1">
        <v>7972754720</v>
      </c>
      <c r="W856" s="1" t="s">
        <v>156</v>
      </c>
      <c r="X856" s="1" t="s">
        <v>15606</v>
      </c>
      <c r="Y856" s="1" t="s">
        <v>4337</v>
      </c>
      <c r="Z856" s="1" t="s">
        <v>92</v>
      </c>
      <c r="AA856" s="1" t="s">
        <v>15606</v>
      </c>
      <c r="AB856" s="1" t="s">
        <v>4337</v>
      </c>
      <c r="AC856" s="1" t="s">
        <v>92</v>
      </c>
      <c r="AD856" s="1">
        <v>6.69</v>
      </c>
      <c r="AE856" s="1" t="s">
        <v>93</v>
      </c>
      <c r="AF856" s="1" t="s">
        <v>15607</v>
      </c>
      <c r="AG856" s="1" t="s">
        <v>15608</v>
      </c>
      <c r="AH856" s="1" t="s">
        <v>161</v>
      </c>
      <c r="AI856" s="1" t="s">
        <v>281</v>
      </c>
      <c r="AJ856" s="1">
        <v>83</v>
      </c>
      <c r="AK856" s="1"/>
      <c r="AL856" s="1" t="s">
        <v>15609</v>
      </c>
      <c r="AM856" s="1" t="s">
        <v>15608</v>
      </c>
      <c r="AN856" s="1" t="s">
        <v>169</v>
      </c>
      <c r="AO856" s="1" t="s">
        <v>360</v>
      </c>
      <c r="AP856" s="1">
        <v>56.15</v>
      </c>
      <c r="AQ856" s="1"/>
      <c r="AR856" s="1"/>
      <c r="AS856" s="1"/>
      <c r="AT856" s="1"/>
      <c r="AU856" s="1"/>
      <c r="AV856" s="1"/>
      <c r="AW856" s="1"/>
      <c r="AX856" s="1" t="s">
        <v>2691</v>
      </c>
      <c r="AY856" s="1" t="s">
        <v>15610</v>
      </c>
      <c r="AZ856" s="1" t="s">
        <v>363</v>
      </c>
      <c r="BA856" s="1" t="s">
        <v>202</v>
      </c>
      <c r="BB856" s="1">
        <v>65.2</v>
      </c>
      <c r="BC856" s="1">
        <v>7.27</v>
      </c>
      <c r="BD856" s="1"/>
      <c r="BE856" s="1"/>
      <c r="BF856" s="1"/>
      <c r="BG856" s="1"/>
      <c r="BH856" s="1"/>
      <c r="BI856" s="1"/>
      <c r="BJ856" s="1" t="s">
        <v>15611</v>
      </c>
      <c r="BK856" s="1"/>
      <c r="BL856" s="1"/>
      <c r="BM856" s="1" t="s">
        <v>15612</v>
      </c>
      <c r="BN856" s="1">
        <v>8</v>
      </c>
      <c r="BO856" s="1" t="s">
        <v>15613</v>
      </c>
      <c r="BP856" s="1" t="str">
        <f>HYPERLINK("https://nconnect.nicmar.ac.in/storage/profile/ProfilePhoto_P25702069_148397.jpg","Download")</f>
        <v>0</v>
      </c>
      <c r="BQ856" s="3"/>
      <c r="BR856" s="3"/>
    </row>
    <row r="857" spans="1:70">
      <c r="A857" s="1" t="s">
        <v>441</v>
      </c>
      <c r="B857" s="1" t="s">
        <v>1269</v>
      </c>
      <c r="C857" s="1" t="s">
        <v>15614</v>
      </c>
      <c r="D857" s="1" t="s">
        <v>1341</v>
      </c>
      <c r="E857" s="1" t="s">
        <v>3251</v>
      </c>
      <c r="F857" s="1" t="s">
        <v>7350</v>
      </c>
      <c r="G857" s="1" t="s">
        <v>15615</v>
      </c>
      <c r="H857" s="1" t="s">
        <v>15616</v>
      </c>
      <c r="I857" s="1" t="s">
        <v>15617</v>
      </c>
      <c r="J857" s="1">
        <v>8888749834</v>
      </c>
      <c r="K857" s="1" t="s">
        <v>79</v>
      </c>
      <c r="L857" s="1" t="s">
        <v>15618</v>
      </c>
      <c r="M857" s="1" t="s">
        <v>81</v>
      </c>
      <c r="N857" s="1" t="s">
        <v>15619</v>
      </c>
      <c r="O857" s="1"/>
      <c r="P857" s="1" t="s">
        <v>1766</v>
      </c>
      <c r="Q857" s="1" t="s">
        <v>15620</v>
      </c>
      <c r="R857" s="1" t="s">
        <v>15621</v>
      </c>
      <c r="S857" s="1">
        <v>9422116230</v>
      </c>
      <c r="T857" s="1" t="s">
        <v>496</v>
      </c>
      <c r="U857" s="1" t="s">
        <v>15622</v>
      </c>
      <c r="V857" s="1">
        <v>9607060445</v>
      </c>
      <c r="W857" s="1" t="s">
        <v>15623</v>
      </c>
      <c r="X857" s="1" t="s">
        <v>15624</v>
      </c>
      <c r="Y857" s="1" t="s">
        <v>405</v>
      </c>
      <c r="Z857" s="1" t="s">
        <v>92</v>
      </c>
      <c r="AA857" s="1" t="s">
        <v>15624</v>
      </c>
      <c r="AB857" s="1" t="s">
        <v>405</v>
      </c>
      <c r="AC857" s="1" t="s">
        <v>92</v>
      </c>
      <c r="AD857" s="1">
        <v>7.66</v>
      </c>
      <c r="AE857" s="1" t="s">
        <v>93</v>
      </c>
      <c r="AF857" s="1" t="s">
        <v>15625</v>
      </c>
      <c r="AG857" s="1" t="s">
        <v>15626</v>
      </c>
      <c r="AH857" s="1" t="s">
        <v>699</v>
      </c>
      <c r="AI857" s="1" t="s">
        <v>941</v>
      </c>
      <c r="AJ857" s="1">
        <v>76</v>
      </c>
      <c r="AK857" s="1">
        <v>7.6</v>
      </c>
      <c r="AL857" s="1" t="s">
        <v>15627</v>
      </c>
      <c r="AM857" s="1" t="s">
        <v>15628</v>
      </c>
      <c r="AN857" s="1" t="s">
        <v>284</v>
      </c>
      <c r="AO857" s="1" t="s">
        <v>2690</v>
      </c>
      <c r="AP857" s="1">
        <v>65.17</v>
      </c>
      <c r="AQ857" s="1">
        <v>6.51</v>
      </c>
      <c r="AR857" s="1"/>
      <c r="AS857" s="1"/>
      <c r="AT857" s="1"/>
      <c r="AU857" s="1"/>
      <c r="AV857" s="1"/>
      <c r="AW857" s="1"/>
      <c r="AX857" s="1" t="s">
        <v>9655</v>
      </c>
      <c r="AY857" s="1" t="s">
        <v>15629</v>
      </c>
      <c r="AZ857" s="1" t="s">
        <v>105</v>
      </c>
      <c r="BA857" s="1" t="s">
        <v>1714</v>
      </c>
      <c r="BB857" s="1">
        <v>67.3</v>
      </c>
      <c r="BC857" s="1">
        <v>7.48</v>
      </c>
      <c r="BD857" s="1"/>
      <c r="BE857" s="1"/>
      <c r="BF857" s="1"/>
      <c r="BG857" s="1"/>
      <c r="BH857" s="1"/>
      <c r="BI857" s="1"/>
      <c r="BJ857" s="1" t="s">
        <v>15630</v>
      </c>
      <c r="BK857" s="1"/>
      <c r="BL857" s="1"/>
      <c r="BM857" s="1" t="s">
        <v>15631</v>
      </c>
      <c r="BN857" s="1">
        <v>9</v>
      </c>
      <c r="BO857" s="1" t="s">
        <v>15632</v>
      </c>
      <c r="BP857" s="1" t="str">
        <f>HYPERLINK("https://nconnect.nicmar.ac.in/storage/profile/ProfilePhoto_P25702070_546397.jpg","Download")</f>
        <v>0</v>
      </c>
      <c r="BQ857" s="3"/>
      <c r="BR857" s="3"/>
    </row>
    <row r="858" spans="1:70">
      <c r="A858" s="1" t="s">
        <v>441</v>
      </c>
      <c r="B858" s="1" t="s">
        <v>1269</v>
      </c>
      <c r="C858" s="1" t="s">
        <v>15633</v>
      </c>
      <c r="D858" s="1" t="s">
        <v>7793</v>
      </c>
      <c r="E858" s="1" t="s">
        <v>1566</v>
      </c>
      <c r="F858" s="1" t="s">
        <v>15634</v>
      </c>
      <c r="G858" s="1" t="s">
        <v>15635</v>
      </c>
      <c r="H858" s="1" t="s">
        <v>15636</v>
      </c>
      <c r="I858" s="1" t="s">
        <v>15637</v>
      </c>
      <c r="J858" s="1">
        <v>8369065887</v>
      </c>
      <c r="K858" s="1" t="s">
        <v>79</v>
      </c>
      <c r="L858" s="1" t="s">
        <v>11614</v>
      </c>
      <c r="M858" s="1" t="s">
        <v>81</v>
      </c>
      <c r="N858" s="1" t="s">
        <v>2008</v>
      </c>
      <c r="O858" s="1"/>
      <c r="P858" s="1"/>
      <c r="Q858" s="1" t="s">
        <v>15638</v>
      </c>
      <c r="R858" s="1" t="s">
        <v>15639</v>
      </c>
      <c r="S858" s="1">
        <v>8007779042</v>
      </c>
      <c r="T858" s="1" t="s">
        <v>763</v>
      </c>
      <c r="U858" s="1" t="s">
        <v>15640</v>
      </c>
      <c r="V858" s="1">
        <v>8097617083</v>
      </c>
      <c r="W858" s="1" t="s">
        <v>156</v>
      </c>
      <c r="X858" s="1" t="s">
        <v>15641</v>
      </c>
      <c r="Y858" s="1" t="s">
        <v>766</v>
      </c>
      <c r="Z858" s="1" t="s">
        <v>92</v>
      </c>
      <c r="AA858" s="1" t="s">
        <v>15641</v>
      </c>
      <c r="AB858" s="1" t="s">
        <v>766</v>
      </c>
      <c r="AC858" s="1" t="s">
        <v>92</v>
      </c>
      <c r="AD858" s="1">
        <v>6.87</v>
      </c>
      <c r="AE858" s="1" t="s">
        <v>93</v>
      </c>
      <c r="AF858" s="1" t="s">
        <v>15642</v>
      </c>
      <c r="AG858" s="1" t="s">
        <v>160</v>
      </c>
      <c r="AH858" s="1" t="s">
        <v>101</v>
      </c>
      <c r="AI858" s="1" t="s">
        <v>409</v>
      </c>
      <c r="AJ858" s="1">
        <v>66.4</v>
      </c>
      <c r="AK858" s="1"/>
      <c r="AL858" s="1"/>
      <c r="AM858" s="1"/>
      <c r="AN858" s="1"/>
      <c r="AO858" s="1"/>
      <c r="AP858" s="1"/>
      <c r="AQ858" s="1"/>
      <c r="AR858" s="1" t="s">
        <v>98</v>
      </c>
      <c r="AS858" s="1" t="s">
        <v>15643</v>
      </c>
      <c r="AT858" s="1" t="s">
        <v>433</v>
      </c>
      <c r="AU858" s="1" t="s">
        <v>1003</v>
      </c>
      <c r="AV858" s="1">
        <v>72.84</v>
      </c>
      <c r="AW858" s="1"/>
      <c r="AX858" s="1" t="s">
        <v>1024</v>
      </c>
      <c r="AY858" s="1" t="s">
        <v>15644</v>
      </c>
      <c r="AZ858" s="1" t="s">
        <v>284</v>
      </c>
      <c r="BA858" s="1" t="s">
        <v>1361</v>
      </c>
      <c r="BB858" s="1">
        <v>59.58</v>
      </c>
      <c r="BC858" s="1">
        <v>6.5</v>
      </c>
      <c r="BD858" s="1"/>
      <c r="BE858" s="1"/>
      <c r="BF858" s="1"/>
      <c r="BG858" s="1"/>
      <c r="BH858" s="1"/>
      <c r="BI858" s="1"/>
      <c r="BJ858" s="1" t="s">
        <v>364</v>
      </c>
      <c r="BK858" s="1"/>
      <c r="BL858" s="1"/>
      <c r="BM858" s="1" t="s">
        <v>15645</v>
      </c>
      <c r="BN858" s="1">
        <v>13</v>
      </c>
      <c r="BO858" s="1"/>
      <c r="BP858" s="1" t="str">
        <f>HYPERLINK("https://nconnect.nicmar.ac.in/storage/profile/ProfilePhoto_P25702071_618479.jpg","Download")</f>
        <v>0</v>
      </c>
      <c r="BQ858" s="3"/>
      <c r="BR858" s="3"/>
    </row>
    <row r="859" spans="1:70">
      <c r="A859" s="1" t="s">
        <v>441</v>
      </c>
      <c r="B859" s="1" t="s">
        <v>1269</v>
      </c>
      <c r="C859" s="1" t="s">
        <v>15646</v>
      </c>
      <c r="D859" s="1" t="s">
        <v>8601</v>
      </c>
      <c r="E859" s="1" t="s">
        <v>235</v>
      </c>
      <c r="F859" s="1" t="s">
        <v>15647</v>
      </c>
      <c r="G859" s="1" t="s">
        <v>15648</v>
      </c>
      <c r="H859" s="1" t="s">
        <v>15649</v>
      </c>
      <c r="I859" s="1" t="s">
        <v>15650</v>
      </c>
      <c r="J859" s="1">
        <v>9987856361</v>
      </c>
      <c r="K859" s="1" t="s">
        <v>148</v>
      </c>
      <c r="L859" s="1" t="s">
        <v>15651</v>
      </c>
      <c r="M859" s="1" t="s">
        <v>81</v>
      </c>
      <c r="N859" s="1" t="s">
        <v>9356</v>
      </c>
      <c r="O859" s="1"/>
      <c r="P859" s="1" t="s">
        <v>1278</v>
      </c>
      <c r="Q859" s="1" t="s">
        <v>15652</v>
      </c>
      <c r="R859" s="1" t="s">
        <v>235</v>
      </c>
      <c r="S859" s="1">
        <v>9922644246</v>
      </c>
      <c r="T859" s="1" t="s">
        <v>13777</v>
      </c>
      <c r="U859" s="1" t="s">
        <v>15441</v>
      </c>
      <c r="V859" s="1">
        <v>9766456373</v>
      </c>
      <c r="W859" s="1" t="s">
        <v>156</v>
      </c>
      <c r="X859" s="1" t="s">
        <v>15653</v>
      </c>
      <c r="Y859" s="1" t="s">
        <v>191</v>
      </c>
      <c r="Z859" s="1" t="s">
        <v>92</v>
      </c>
      <c r="AA859" s="1" t="s">
        <v>15654</v>
      </c>
      <c r="AB859" s="1" t="s">
        <v>191</v>
      </c>
      <c r="AC859" s="1" t="s">
        <v>92</v>
      </c>
      <c r="AD859" s="1">
        <v>7.98</v>
      </c>
      <c r="AE859" s="1" t="s">
        <v>93</v>
      </c>
      <c r="AF859" s="1" t="s">
        <v>15655</v>
      </c>
      <c r="AG859" s="1" t="s">
        <v>160</v>
      </c>
      <c r="AH859" s="1" t="s">
        <v>162</v>
      </c>
      <c r="AI859" s="1" t="s">
        <v>195</v>
      </c>
      <c r="AJ859" s="1">
        <v>91.4</v>
      </c>
      <c r="AK859" s="1"/>
      <c r="AL859" s="1" t="s">
        <v>15655</v>
      </c>
      <c r="AM859" s="1" t="s">
        <v>160</v>
      </c>
      <c r="AN859" s="1" t="s">
        <v>101</v>
      </c>
      <c r="AO859" s="1" t="s">
        <v>198</v>
      </c>
      <c r="AP859" s="1">
        <v>62.77</v>
      </c>
      <c r="AQ859" s="1"/>
      <c r="AR859" s="1"/>
      <c r="AS859" s="1"/>
      <c r="AT859" s="1"/>
      <c r="AU859" s="1"/>
      <c r="AV859" s="1"/>
      <c r="AW859" s="1"/>
      <c r="AX859" s="1" t="s">
        <v>361</v>
      </c>
      <c r="AY859" s="1" t="s">
        <v>15656</v>
      </c>
      <c r="AZ859" s="1" t="s">
        <v>201</v>
      </c>
      <c r="BA859" s="1" t="s">
        <v>1714</v>
      </c>
      <c r="BB859" s="1">
        <v>57.13</v>
      </c>
      <c r="BC859" s="1">
        <v>6.42</v>
      </c>
      <c r="BD859" s="1"/>
      <c r="BE859" s="1"/>
      <c r="BF859" s="1"/>
      <c r="BG859" s="1"/>
      <c r="BH859" s="1"/>
      <c r="BI859" s="1"/>
      <c r="BJ859" s="1" t="s">
        <v>255</v>
      </c>
      <c r="BK859" s="1"/>
      <c r="BL859" s="1"/>
      <c r="BM859" s="1" t="s">
        <v>15657</v>
      </c>
      <c r="BN859" s="1">
        <v>26</v>
      </c>
      <c r="BO859" s="1" t="s">
        <v>15658</v>
      </c>
      <c r="BP859" s="1" t="str">
        <f>HYPERLINK("https://nconnect.nicmar.ac.in/storage/profile/ProfilePhoto_P25702072_513768.jpg","Download")</f>
        <v>0</v>
      </c>
      <c r="BQ859" s="3"/>
      <c r="BR859" s="3"/>
    </row>
    <row r="860" spans="1:70">
      <c r="A860" s="1" t="s">
        <v>441</v>
      </c>
      <c r="B860" s="1" t="s">
        <v>1269</v>
      </c>
      <c r="C860" s="1" t="s">
        <v>15659</v>
      </c>
      <c r="D860" s="1" t="s">
        <v>5849</v>
      </c>
      <c r="E860" s="1" t="s">
        <v>1139</v>
      </c>
      <c r="F860" s="1" t="s">
        <v>15660</v>
      </c>
      <c r="G860" s="1" t="s">
        <v>15661</v>
      </c>
      <c r="H860" s="1" t="s">
        <v>15662</v>
      </c>
      <c r="I860" s="1" t="s">
        <v>15663</v>
      </c>
      <c r="J860" s="1">
        <v>9096239603</v>
      </c>
      <c r="K860" s="1" t="s">
        <v>79</v>
      </c>
      <c r="L860" s="1" t="s">
        <v>15664</v>
      </c>
      <c r="M860" s="1" t="s">
        <v>81</v>
      </c>
      <c r="N860" s="1" t="s">
        <v>4300</v>
      </c>
      <c r="O860" s="1"/>
      <c r="P860" s="1" t="s">
        <v>1323</v>
      </c>
      <c r="Q860" s="1" t="s">
        <v>15665</v>
      </c>
      <c r="R860" s="1" t="s">
        <v>15666</v>
      </c>
      <c r="S860" s="1">
        <v>9420334022</v>
      </c>
      <c r="T860" s="1" t="s">
        <v>4581</v>
      </c>
      <c r="U860" s="1" t="s">
        <v>15667</v>
      </c>
      <c r="V860" s="1">
        <v>9420334022</v>
      </c>
      <c r="W860" s="1" t="s">
        <v>156</v>
      </c>
      <c r="X860" s="1" t="s">
        <v>15668</v>
      </c>
      <c r="Y860" s="1" t="s">
        <v>191</v>
      </c>
      <c r="Z860" s="1" t="s">
        <v>92</v>
      </c>
      <c r="AA860" s="1" t="s">
        <v>15669</v>
      </c>
      <c r="AB860" s="1" t="s">
        <v>191</v>
      </c>
      <c r="AC860" s="1" t="s">
        <v>92</v>
      </c>
      <c r="AD860" s="1">
        <v>7.18</v>
      </c>
      <c r="AE860" s="1" t="s">
        <v>93</v>
      </c>
      <c r="AF860" s="1" t="s">
        <v>15670</v>
      </c>
      <c r="AG860" s="1" t="s">
        <v>160</v>
      </c>
      <c r="AH860" s="1" t="s">
        <v>281</v>
      </c>
      <c r="AI860" s="1" t="s">
        <v>409</v>
      </c>
      <c r="AJ860" s="1">
        <v>82.2</v>
      </c>
      <c r="AK860" s="1"/>
      <c r="AL860" s="1" t="s">
        <v>15671</v>
      </c>
      <c r="AM860" s="1" t="s">
        <v>160</v>
      </c>
      <c r="AN860" s="1" t="s">
        <v>941</v>
      </c>
      <c r="AO860" s="1" t="s">
        <v>504</v>
      </c>
      <c r="AP860" s="1">
        <v>86</v>
      </c>
      <c r="AQ860" s="1"/>
      <c r="AR860" s="1"/>
      <c r="AS860" s="1"/>
      <c r="AT860" s="1"/>
      <c r="AU860" s="1"/>
      <c r="AV860" s="1"/>
      <c r="AW860" s="1"/>
      <c r="AX860" s="1" t="s">
        <v>15672</v>
      </c>
      <c r="AY860" s="1" t="s">
        <v>15673</v>
      </c>
      <c r="AZ860" s="1" t="s">
        <v>1131</v>
      </c>
      <c r="BA860" s="1" t="s">
        <v>1714</v>
      </c>
      <c r="BB860" s="1">
        <v>58.2</v>
      </c>
      <c r="BC860" s="1">
        <v>6.54</v>
      </c>
      <c r="BD860" s="1"/>
      <c r="BE860" s="1"/>
      <c r="BF860" s="1"/>
      <c r="BG860" s="1"/>
      <c r="BH860" s="1"/>
      <c r="BI860" s="1"/>
      <c r="BJ860" s="1" t="s">
        <v>15674</v>
      </c>
      <c r="BK860" s="1"/>
      <c r="BL860" s="1"/>
      <c r="BM860" s="1" t="s">
        <v>15675</v>
      </c>
      <c r="BN860" s="1">
        <v>11</v>
      </c>
      <c r="BO860" s="1"/>
      <c r="BP860" s="1" t="str">
        <f>HYPERLINK("https://nconnect.nicmar.ac.in/storage/profile/ProfilePhoto_P25702073_278631.jpg","Download")</f>
        <v>0</v>
      </c>
      <c r="BQ860" s="3"/>
      <c r="BR860" s="3"/>
    </row>
    <row r="861" spans="1:70">
      <c r="A861" s="1" t="s">
        <v>441</v>
      </c>
      <c r="B861" s="1" t="s">
        <v>1269</v>
      </c>
      <c r="C861" s="1" t="s">
        <v>15676</v>
      </c>
      <c r="D861" s="1" t="s">
        <v>4822</v>
      </c>
      <c r="E861" s="1"/>
      <c r="F861" s="1" t="s">
        <v>2024</v>
      </c>
      <c r="G861" s="1" t="s">
        <v>15677</v>
      </c>
      <c r="H861" s="1" t="s">
        <v>15678</v>
      </c>
      <c r="I861" s="1" t="s">
        <v>15679</v>
      </c>
      <c r="J861" s="1">
        <v>7249331145</v>
      </c>
      <c r="K861" s="1" t="s">
        <v>79</v>
      </c>
      <c r="L861" s="1" t="s">
        <v>12714</v>
      </c>
      <c r="M861" s="1" t="s">
        <v>81</v>
      </c>
      <c r="N861" s="1" t="s">
        <v>2008</v>
      </c>
      <c r="O861" s="1"/>
      <c r="P861" s="1" t="s">
        <v>1462</v>
      </c>
      <c r="Q861" s="1" t="s">
        <v>15680</v>
      </c>
      <c r="R861" s="1" t="s">
        <v>15681</v>
      </c>
      <c r="S861" s="1">
        <v>9890574296</v>
      </c>
      <c r="T861" s="1" t="s">
        <v>763</v>
      </c>
      <c r="U861" s="1" t="s">
        <v>15682</v>
      </c>
      <c r="V861" s="1">
        <v>7249310653</v>
      </c>
      <c r="W861" s="1" t="s">
        <v>89</v>
      </c>
      <c r="X861" s="1" t="s">
        <v>15683</v>
      </c>
      <c r="Y861" s="1" t="s">
        <v>191</v>
      </c>
      <c r="Z861" s="1" t="s">
        <v>92</v>
      </c>
      <c r="AA861" s="1" t="s">
        <v>15684</v>
      </c>
      <c r="AB861" s="1" t="s">
        <v>304</v>
      </c>
      <c r="AC861" s="1" t="s">
        <v>92</v>
      </c>
      <c r="AD861" s="1">
        <v>8.37</v>
      </c>
      <c r="AE861" s="1" t="s">
        <v>93</v>
      </c>
      <c r="AF861" s="1" t="s">
        <v>15685</v>
      </c>
      <c r="AG861" s="1" t="s">
        <v>15686</v>
      </c>
      <c r="AH861" s="1" t="s">
        <v>128</v>
      </c>
      <c r="AI861" s="1" t="s">
        <v>941</v>
      </c>
      <c r="AJ861" s="1">
        <v>80</v>
      </c>
      <c r="AK861" s="1"/>
      <c r="AL861" s="1" t="s">
        <v>15687</v>
      </c>
      <c r="AM861" s="1" t="s">
        <v>4673</v>
      </c>
      <c r="AN861" s="1" t="s">
        <v>173</v>
      </c>
      <c r="AO861" s="1" t="s">
        <v>2690</v>
      </c>
      <c r="AP861" s="1">
        <v>85.17</v>
      </c>
      <c r="AQ861" s="1"/>
      <c r="AR861" s="1"/>
      <c r="AS861" s="1"/>
      <c r="AT861" s="1"/>
      <c r="AU861" s="1"/>
      <c r="AV861" s="1"/>
      <c r="AW861" s="1"/>
      <c r="AX861" s="1" t="s">
        <v>15688</v>
      </c>
      <c r="AY861" s="1" t="s">
        <v>15689</v>
      </c>
      <c r="AZ861" s="1" t="s">
        <v>105</v>
      </c>
      <c r="BA861" s="1" t="s">
        <v>1408</v>
      </c>
      <c r="BB861" s="1">
        <v>77.7</v>
      </c>
      <c r="BC861" s="1">
        <v>7.77</v>
      </c>
      <c r="BD861" s="1"/>
      <c r="BE861" s="1"/>
      <c r="BF861" s="1"/>
      <c r="BG861" s="1"/>
      <c r="BH861" s="1"/>
      <c r="BI861" s="1"/>
      <c r="BJ861" s="1" t="s">
        <v>15690</v>
      </c>
      <c r="BK861" s="1"/>
      <c r="BL861" s="1"/>
      <c r="BM861" s="1" t="s">
        <v>15691</v>
      </c>
      <c r="BN861" s="1">
        <v>16</v>
      </c>
      <c r="BO861" s="1" t="s">
        <v>15692</v>
      </c>
      <c r="BP861" s="1" t="str">
        <f>HYPERLINK("https://nconnect.nicmar.ac.in/storage/profile/ProfilePhoto_P25702074_418937.jpg","Download")</f>
        <v>0</v>
      </c>
      <c r="BQ861" s="3"/>
      <c r="BR861" s="3"/>
    </row>
    <row r="862" spans="1:70">
      <c r="A862" s="1" t="s">
        <v>441</v>
      </c>
      <c r="B862" s="1" t="s">
        <v>1269</v>
      </c>
      <c r="C862" s="1" t="s">
        <v>15693</v>
      </c>
      <c r="D862" s="1" t="s">
        <v>2676</v>
      </c>
      <c r="E862" s="1" t="s">
        <v>444</v>
      </c>
      <c r="F862" s="1" t="s">
        <v>11837</v>
      </c>
      <c r="G862" s="1" t="s">
        <v>15694</v>
      </c>
      <c r="H862" s="1" t="s">
        <v>15695</v>
      </c>
      <c r="I862" s="1" t="s">
        <v>15696</v>
      </c>
      <c r="J862" s="1">
        <v>9372634449</v>
      </c>
      <c r="K862" s="1" t="s">
        <v>148</v>
      </c>
      <c r="L862" s="1" t="s">
        <v>15697</v>
      </c>
      <c r="M862" s="1" t="s">
        <v>81</v>
      </c>
      <c r="N862" s="1" t="s">
        <v>15698</v>
      </c>
      <c r="O862" s="1"/>
      <c r="P862" s="1" t="s">
        <v>1323</v>
      </c>
      <c r="Q862" s="1" t="s">
        <v>15699</v>
      </c>
      <c r="R862" s="1" t="s">
        <v>15700</v>
      </c>
      <c r="S862" s="1">
        <v>9769997851</v>
      </c>
      <c r="T862" s="1" t="s">
        <v>9922</v>
      </c>
      <c r="U862" s="1" t="s">
        <v>15701</v>
      </c>
      <c r="V862" s="1">
        <v>9869064189</v>
      </c>
      <c r="W862" s="1" t="s">
        <v>9013</v>
      </c>
      <c r="X862" s="1" t="s">
        <v>15702</v>
      </c>
      <c r="Y862" s="1" t="s">
        <v>1623</v>
      </c>
      <c r="Z862" s="1" t="s">
        <v>92</v>
      </c>
      <c r="AA862" s="1" t="s">
        <v>15702</v>
      </c>
      <c r="AB862" s="1" t="s">
        <v>1623</v>
      </c>
      <c r="AC862" s="1" t="s">
        <v>92</v>
      </c>
      <c r="AD862" s="1">
        <v>9.08</v>
      </c>
      <c r="AE862" s="1" t="s">
        <v>93</v>
      </c>
      <c r="AF862" s="1" t="s">
        <v>15703</v>
      </c>
      <c r="AG862" s="1" t="s">
        <v>8066</v>
      </c>
      <c r="AH862" s="1" t="s">
        <v>161</v>
      </c>
      <c r="AI862" s="1" t="s">
        <v>456</v>
      </c>
      <c r="AJ862" s="1">
        <v>86.6</v>
      </c>
      <c r="AK862" s="1"/>
      <c r="AL862" s="1" t="s">
        <v>15704</v>
      </c>
      <c r="AM862" s="1" t="s">
        <v>8066</v>
      </c>
      <c r="AN862" s="1" t="s">
        <v>165</v>
      </c>
      <c r="AO862" s="1" t="s">
        <v>457</v>
      </c>
      <c r="AP862" s="1">
        <v>66.62</v>
      </c>
      <c r="AQ862" s="1"/>
      <c r="AR862" s="1"/>
      <c r="AS862" s="1"/>
      <c r="AT862" s="1"/>
      <c r="AU862" s="1"/>
      <c r="AV862" s="1"/>
      <c r="AW862" s="1"/>
      <c r="AX862" s="1" t="s">
        <v>253</v>
      </c>
      <c r="AY862" s="1" t="s">
        <v>15705</v>
      </c>
      <c r="AZ862" s="1" t="s">
        <v>101</v>
      </c>
      <c r="BA862" s="1" t="s">
        <v>229</v>
      </c>
      <c r="BB862" s="1">
        <v>60.7</v>
      </c>
      <c r="BC862" s="1">
        <v>6.86</v>
      </c>
      <c r="BD862" s="1"/>
      <c r="BE862" s="1"/>
      <c r="BF862" s="1"/>
      <c r="BG862" s="1"/>
      <c r="BH862" s="1"/>
      <c r="BI862" s="1"/>
      <c r="BJ862" s="1" t="s">
        <v>15706</v>
      </c>
      <c r="BK862" s="1" t="s">
        <v>15707</v>
      </c>
      <c r="BL862" s="1" t="s">
        <v>1385</v>
      </c>
      <c r="BM862" s="1" t="s">
        <v>15708</v>
      </c>
      <c r="BN862" s="1">
        <v>33</v>
      </c>
      <c r="BO862" s="1"/>
      <c r="BP862" s="1" t="str">
        <f>HYPERLINK("https://nconnect.nicmar.ac.in/storage/profile/ProfilePhoto_P25702075_348759.jpg","Download")</f>
        <v>0</v>
      </c>
      <c r="BQ862" s="3"/>
      <c r="BR862" s="3"/>
    </row>
    <row r="863" spans="1:70">
      <c r="A863" s="1" t="s">
        <v>441</v>
      </c>
      <c r="B863" s="1" t="s">
        <v>1269</v>
      </c>
      <c r="C863" s="1" t="s">
        <v>15709</v>
      </c>
      <c r="D863" s="1" t="s">
        <v>15710</v>
      </c>
      <c r="E863" s="1" t="s">
        <v>4294</v>
      </c>
      <c r="F863" s="1" t="s">
        <v>15711</v>
      </c>
      <c r="G863" s="1" t="s">
        <v>15712</v>
      </c>
      <c r="H863" s="1" t="s">
        <v>15713</v>
      </c>
      <c r="I863" s="1" t="s">
        <v>15714</v>
      </c>
      <c r="J863" s="1">
        <v>7448070021</v>
      </c>
      <c r="K863" s="1" t="s">
        <v>79</v>
      </c>
      <c r="L863" s="1" t="s">
        <v>15715</v>
      </c>
      <c r="M863" s="1" t="s">
        <v>81</v>
      </c>
      <c r="N863" s="1" t="s">
        <v>1765</v>
      </c>
      <c r="O863" s="1"/>
      <c r="P863" s="1" t="s">
        <v>1323</v>
      </c>
      <c r="Q863" s="1" t="s">
        <v>15716</v>
      </c>
      <c r="R863" s="1" t="s">
        <v>4294</v>
      </c>
      <c r="S863" s="1">
        <v>9766944795</v>
      </c>
      <c r="T863" s="1" t="s">
        <v>842</v>
      </c>
      <c r="U863" s="1" t="s">
        <v>3368</v>
      </c>
      <c r="V863" s="1">
        <v>9403618688</v>
      </c>
      <c r="W863" s="1" t="s">
        <v>156</v>
      </c>
      <c r="X863" s="1" t="s">
        <v>15717</v>
      </c>
      <c r="Y863" s="1" t="s">
        <v>328</v>
      </c>
      <c r="Z863" s="1" t="s">
        <v>92</v>
      </c>
      <c r="AA863" s="1" t="s">
        <v>15717</v>
      </c>
      <c r="AB863" s="1" t="s">
        <v>328</v>
      </c>
      <c r="AC863" s="1" t="s">
        <v>92</v>
      </c>
      <c r="AD863" s="1">
        <v>9.19</v>
      </c>
      <c r="AE863" s="1" t="s">
        <v>93</v>
      </c>
      <c r="AF863" s="1" t="s">
        <v>15718</v>
      </c>
      <c r="AG863" s="1" t="s">
        <v>455</v>
      </c>
      <c r="AH863" s="1" t="s">
        <v>97</v>
      </c>
      <c r="AI863" s="1" t="s">
        <v>456</v>
      </c>
      <c r="AJ863" s="1">
        <v>91.8</v>
      </c>
      <c r="AK863" s="1">
        <v>0</v>
      </c>
      <c r="AL863" s="1" t="s">
        <v>15719</v>
      </c>
      <c r="AM863" s="1" t="s">
        <v>455</v>
      </c>
      <c r="AN863" s="1" t="s">
        <v>1332</v>
      </c>
      <c r="AO863" s="1" t="s">
        <v>457</v>
      </c>
      <c r="AP863" s="1">
        <v>72.15</v>
      </c>
      <c r="AQ863" s="1">
        <v>0</v>
      </c>
      <c r="AR863" s="1"/>
      <c r="AS863" s="1"/>
      <c r="AT863" s="1"/>
      <c r="AU863" s="1"/>
      <c r="AV863" s="1"/>
      <c r="AW863" s="1"/>
      <c r="AX863" s="1" t="s">
        <v>361</v>
      </c>
      <c r="AY863" s="1" t="s">
        <v>15720</v>
      </c>
      <c r="AZ863" s="1" t="s">
        <v>201</v>
      </c>
      <c r="BA863" s="1" t="s">
        <v>944</v>
      </c>
      <c r="BB863" s="1">
        <v>70.57</v>
      </c>
      <c r="BC863" s="1">
        <v>7.93</v>
      </c>
      <c r="BD863" s="1"/>
      <c r="BE863" s="1"/>
      <c r="BF863" s="1"/>
      <c r="BG863" s="1"/>
      <c r="BH863" s="1"/>
      <c r="BI863" s="1"/>
      <c r="BJ863" s="1" t="s">
        <v>15721</v>
      </c>
      <c r="BK863" s="1" t="s">
        <v>15722</v>
      </c>
      <c r="BL863" s="1" t="s">
        <v>1896</v>
      </c>
      <c r="BM863" s="1" t="s">
        <v>15723</v>
      </c>
      <c r="BN863" s="1">
        <v>35</v>
      </c>
      <c r="BO863" s="1"/>
      <c r="BP863" s="1" t="str">
        <f>HYPERLINK("https://nconnect.nicmar.ac.in/storage/profile/ProfilePhoto_P25702076_298574.jpg","Download")</f>
        <v>0</v>
      </c>
      <c r="BQ863" s="3"/>
      <c r="BR863" s="3"/>
    </row>
    <row r="864" spans="1:70">
      <c r="A864" s="1" t="s">
        <v>441</v>
      </c>
      <c r="B864" s="1" t="s">
        <v>1269</v>
      </c>
      <c r="C864" s="1" t="s">
        <v>15724</v>
      </c>
      <c r="D864" s="1" t="s">
        <v>15725</v>
      </c>
      <c r="E864" s="1" t="s">
        <v>8242</v>
      </c>
      <c r="F864" s="1" t="s">
        <v>10291</v>
      </c>
      <c r="G864" s="1" t="s">
        <v>15726</v>
      </c>
      <c r="H864" s="1" t="s">
        <v>15727</v>
      </c>
      <c r="I864" s="1" t="s">
        <v>15728</v>
      </c>
      <c r="J864" s="1">
        <v>6309341375</v>
      </c>
      <c r="K864" s="1" t="s">
        <v>79</v>
      </c>
      <c r="L864" s="1" t="s">
        <v>8615</v>
      </c>
      <c r="M864" s="1" t="s">
        <v>81</v>
      </c>
      <c r="N864" s="1" t="s">
        <v>12065</v>
      </c>
      <c r="O864" s="1"/>
      <c r="P864" s="1" t="s">
        <v>1278</v>
      </c>
      <c r="Q864" s="1" t="s">
        <v>15729</v>
      </c>
      <c r="R864" s="1" t="s">
        <v>15730</v>
      </c>
      <c r="S864" s="1">
        <v>9849827700</v>
      </c>
      <c r="T864" s="1" t="s">
        <v>15731</v>
      </c>
      <c r="U864" s="1" t="s">
        <v>15732</v>
      </c>
      <c r="V864" s="1">
        <v>7601064855</v>
      </c>
      <c r="W864" s="1" t="s">
        <v>89</v>
      </c>
      <c r="X864" s="1" t="s">
        <v>15733</v>
      </c>
      <c r="Y864" s="1" t="s">
        <v>1304</v>
      </c>
      <c r="Z864" s="1" t="s">
        <v>276</v>
      </c>
      <c r="AA864" s="1" t="s">
        <v>15733</v>
      </c>
      <c r="AB864" s="1" t="s">
        <v>1304</v>
      </c>
      <c r="AC864" s="1" t="s">
        <v>276</v>
      </c>
      <c r="AD864" s="1">
        <v>8.74</v>
      </c>
      <c r="AE864" s="1" t="s">
        <v>93</v>
      </c>
      <c r="AF864" s="1" t="s">
        <v>15734</v>
      </c>
      <c r="AG864" s="1" t="s">
        <v>15735</v>
      </c>
      <c r="AH864" s="1" t="s">
        <v>162</v>
      </c>
      <c r="AI864" s="1" t="s">
        <v>1065</v>
      </c>
      <c r="AJ864" s="1">
        <v>100</v>
      </c>
      <c r="AK864" s="1">
        <v>10</v>
      </c>
      <c r="AL864" s="1" t="s">
        <v>15736</v>
      </c>
      <c r="AM864" s="1" t="s">
        <v>15737</v>
      </c>
      <c r="AN864" s="1" t="s">
        <v>433</v>
      </c>
      <c r="AO864" s="1" t="s">
        <v>1712</v>
      </c>
      <c r="AP864" s="1">
        <v>91.3</v>
      </c>
      <c r="AQ864" s="1"/>
      <c r="AR864" s="1"/>
      <c r="AS864" s="1"/>
      <c r="AT864" s="1"/>
      <c r="AU864" s="1"/>
      <c r="AV864" s="1"/>
      <c r="AW864" s="1"/>
      <c r="AX864" s="1" t="s">
        <v>15738</v>
      </c>
      <c r="AY864" s="1" t="s">
        <v>15739</v>
      </c>
      <c r="AZ864" s="1" t="s">
        <v>5487</v>
      </c>
      <c r="BA864" s="1" t="s">
        <v>1408</v>
      </c>
      <c r="BB864" s="1">
        <v>64.12</v>
      </c>
      <c r="BC864" s="1">
        <v>6.75</v>
      </c>
      <c r="BD864" s="1"/>
      <c r="BE864" s="1"/>
      <c r="BF864" s="1"/>
      <c r="BG864" s="1"/>
      <c r="BH864" s="1"/>
      <c r="BI864" s="1"/>
      <c r="BJ864" s="1" t="s">
        <v>364</v>
      </c>
      <c r="BK864" s="1"/>
      <c r="BL864" s="1"/>
      <c r="BM864" s="1" t="s">
        <v>15740</v>
      </c>
      <c r="BN864" s="1">
        <v>13</v>
      </c>
      <c r="BO864" s="1" t="s">
        <v>15741</v>
      </c>
      <c r="BP864" s="1" t="str">
        <f>HYPERLINK("https://nconnect.nicmar.ac.in/storage/profile/ProfilePhoto_P25702077_746891.jpg","Download")</f>
        <v>0</v>
      </c>
      <c r="BQ864" s="3"/>
      <c r="BR864" s="3"/>
    </row>
    <row r="865" spans="1:70">
      <c r="A865" s="1" t="s">
        <v>441</v>
      </c>
      <c r="B865" s="1" t="s">
        <v>1269</v>
      </c>
      <c r="C865" s="1" t="s">
        <v>15742</v>
      </c>
      <c r="D865" s="1" t="s">
        <v>8845</v>
      </c>
      <c r="E865" s="1" t="s">
        <v>3231</v>
      </c>
      <c r="F865" s="1" t="s">
        <v>15743</v>
      </c>
      <c r="G865" s="1" t="s">
        <v>15744</v>
      </c>
      <c r="H865" s="1" t="s">
        <v>15745</v>
      </c>
      <c r="I865" s="1" t="s">
        <v>15746</v>
      </c>
      <c r="J865" s="1">
        <v>8850894537</v>
      </c>
      <c r="K865" s="1" t="s">
        <v>79</v>
      </c>
      <c r="L865" s="1" t="s">
        <v>6082</v>
      </c>
      <c r="M865" s="1" t="s">
        <v>81</v>
      </c>
      <c r="N865" s="1" t="s">
        <v>1765</v>
      </c>
      <c r="O865" s="1"/>
      <c r="P865" s="1" t="s">
        <v>1323</v>
      </c>
      <c r="Q865" s="1" t="s">
        <v>15747</v>
      </c>
      <c r="R865" s="1" t="s">
        <v>3231</v>
      </c>
      <c r="S865" s="1">
        <v>9223279997</v>
      </c>
      <c r="T865" s="1" t="s">
        <v>15748</v>
      </c>
      <c r="U865" s="1" t="s">
        <v>473</v>
      </c>
      <c r="V865" s="1">
        <v>7506763987</v>
      </c>
      <c r="W865" s="1" t="s">
        <v>273</v>
      </c>
      <c r="X865" s="1" t="s">
        <v>15749</v>
      </c>
      <c r="Y865" s="1" t="s">
        <v>1623</v>
      </c>
      <c r="Z865" s="1" t="s">
        <v>92</v>
      </c>
      <c r="AA865" s="1" t="s">
        <v>15749</v>
      </c>
      <c r="AB865" s="1" t="s">
        <v>1623</v>
      </c>
      <c r="AC865" s="1" t="s">
        <v>92</v>
      </c>
      <c r="AD865" s="1">
        <v>9.03</v>
      </c>
      <c r="AE865" s="1" t="s">
        <v>93</v>
      </c>
      <c r="AF865" s="1" t="s">
        <v>15750</v>
      </c>
      <c r="AG865" s="1" t="s">
        <v>15751</v>
      </c>
      <c r="AH865" s="1" t="s">
        <v>165</v>
      </c>
      <c r="AI865" s="1" t="s">
        <v>166</v>
      </c>
      <c r="AJ865" s="1">
        <v>88.8</v>
      </c>
      <c r="AK865" s="1"/>
      <c r="AL865" s="1" t="s">
        <v>15752</v>
      </c>
      <c r="AM865" s="1" t="s">
        <v>15751</v>
      </c>
      <c r="AN865" s="1" t="s">
        <v>433</v>
      </c>
      <c r="AO865" s="1" t="s">
        <v>412</v>
      </c>
      <c r="AP865" s="1">
        <v>77.85</v>
      </c>
      <c r="AQ865" s="1"/>
      <c r="AR865" s="1"/>
      <c r="AS865" s="1"/>
      <c r="AT865" s="1"/>
      <c r="AU865" s="1"/>
      <c r="AV865" s="1"/>
      <c r="AW865" s="1"/>
      <c r="AX865" s="1" t="s">
        <v>1024</v>
      </c>
      <c r="AY865" s="1" t="s">
        <v>15753</v>
      </c>
      <c r="AZ865" s="1" t="s">
        <v>681</v>
      </c>
      <c r="BA865" s="1" t="s">
        <v>590</v>
      </c>
      <c r="BB865" s="1">
        <v>75.39</v>
      </c>
      <c r="BC865" s="1">
        <v>9.07</v>
      </c>
      <c r="BD865" s="1"/>
      <c r="BE865" s="1"/>
      <c r="BF865" s="1"/>
      <c r="BG865" s="1"/>
      <c r="BH865" s="1"/>
      <c r="BI865" s="1"/>
      <c r="BJ865" s="1" t="s">
        <v>15754</v>
      </c>
      <c r="BK865" s="1"/>
      <c r="BL865" s="1"/>
      <c r="BM865" s="1" t="s">
        <v>15755</v>
      </c>
      <c r="BN865" s="1">
        <v>8</v>
      </c>
      <c r="BO865" s="1"/>
      <c r="BP865" s="1" t="str">
        <f>HYPERLINK("https://nconnect.nicmar.ac.in/storage/profile/ProfilePhoto_P25702078_395712.jpg","Download")</f>
        <v>0</v>
      </c>
      <c r="BQ865" s="3"/>
      <c r="BR865" s="3"/>
    </row>
    <row r="866" spans="1:70">
      <c r="A866" s="1" t="s">
        <v>441</v>
      </c>
      <c r="B866" s="1" t="s">
        <v>1269</v>
      </c>
      <c r="C866" s="1" t="s">
        <v>15756</v>
      </c>
      <c r="D866" s="1" t="s">
        <v>11187</v>
      </c>
      <c r="E866" s="1" t="s">
        <v>144</v>
      </c>
      <c r="F866" s="1" t="s">
        <v>15757</v>
      </c>
      <c r="G866" s="1" t="s">
        <v>15758</v>
      </c>
      <c r="H866" s="1" t="s">
        <v>15759</v>
      </c>
      <c r="I866" s="1" t="s">
        <v>15760</v>
      </c>
      <c r="J866" s="1">
        <v>9175161843</v>
      </c>
      <c r="K866" s="1" t="s">
        <v>79</v>
      </c>
      <c r="L866" s="1" t="s">
        <v>15761</v>
      </c>
      <c r="M866" s="1" t="s">
        <v>81</v>
      </c>
      <c r="N866" s="1" t="s">
        <v>2008</v>
      </c>
      <c r="O866" s="1" t="s">
        <v>15762</v>
      </c>
      <c r="P866" s="1" t="s">
        <v>1323</v>
      </c>
      <c r="Q866" s="1" t="s">
        <v>15763</v>
      </c>
      <c r="R866" s="1" t="s">
        <v>15764</v>
      </c>
      <c r="S866" s="1">
        <v>9518597764</v>
      </c>
      <c r="T866" s="1" t="s">
        <v>11948</v>
      </c>
      <c r="U866" s="1" t="s">
        <v>15765</v>
      </c>
      <c r="V866" s="1">
        <v>9422063958</v>
      </c>
      <c r="W866" s="1" t="s">
        <v>273</v>
      </c>
      <c r="X866" s="1" t="s">
        <v>15766</v>
      </c>
      <c r="Y866" s="1" t="s">
        <v>191</v>
      </c>
      <c r="Z866" s="1" t="s">
        <v>92</v>
      </c>
      <c r="AA866" s="1" t="s">
        <v>15766</v>
      </c>
      <c r="AB866" s="1" t="s">
        <v>191</v>
      </c>
      <c r="AC866" s="1" t="s">
        <v>92</v>
      </c>
      <c r="AD866" s="1">
        <v>8.58</v>
      </c>
      <c r="AE866" s="1" t="s">
        <v>93</v>
      </c>
      <c r="AF866" s="1" t="s">
        <v>15767</v>
      </c>
      <c r="AG866" s="1" t="s">
        <v>15768</v>
      </c>
      <c r="AH866" s="1" t="s">
        <v>101</v>
      </c>
      <c r="AI866" s="1" t="s">
        <v>433</v>
      </c>
      <c r="AJ866" s="1">
        <v>79.6</v>
      </c>
      <c r="AK866" s="1"/>
      <c r="AL866" s="1" t="s">
        <v>15769</v>
      </c>
      <c r="AM866" s="1" t="s">
        <v>15770</v>
      </c>
      <c r="AN866" s="1" t="s">
        <v>699</v>
      </c>
      <c r="AO866" s="1" t="s">
        <v>1131</v>
      </c>
      <c r="AP866" s="1">
        <v>84</v>
      </c>
      <c r="AQ866" s="1"/>
      <c r="AR866" s="1"/>
      <c r="AS866" s="1"/>
      <c r="AT866" s="1"/>
      <c r="AU866" s="1"/>
      <c r="AV866" s="1"/>
      <c r="AW866" s="1"/>
      <c r="AX866" s="1" t="s">
        <v>15771</v>
      </c>
      <c r="AY866" s="1" t="s">
        <v>15772</v>
      </c>
      <c r="AZ866" s="1" t="s">
        <v>897</v>
      </c>
      <c r="BA866" s="1" t="s">
        <v>1361</v>
      </c>
      <c r="BB866" s="1">
        <v>73.17</v>
      </c>
      <c r="BC866" s="1">
        <v>8.13</v>
      </c>
      <c r="BD866" s="1"/>
      <c r="BE866" s="1"/>
      <c r="BF866" s="1"/>
      <c r="BG866" s="1"/>
      <c r="BH866" s="1"/>
      <c r="BI866" s="1"/>
      <c r="BJ866" s="1" t="s">
        <v>15773</v>
      </c>
      <c r="BK866" s="1"/>
      <c r="BL866" s="1"/>
      <c r="BM866" s="1" t="s">
        <v>15774</v>
      </c>
      <c r="BN866" s="1">
        <v>29</v>
      </c>
      <c r="BO866" s="1"/>
      <c r="BP866" s="1" t="str">
        <f>HYPERLINK("https://nconnect.nicmar.ac.in/storage/profile/ProfilePhoto_P25702079_346712.jpg","Download")</f>
        <v>0</v>
      </c>
      <c r="BQ866" s="3"/>
      <c r="BR866" s="3"/>
    </row>
    <row r="867" spans="1:70">
      <c r="A867" s="1" t="s">
        <v>441</v>
      </c>
      <c r="B867" s="1" t="s">
        <v>1269</v>
      </c>
      <c r="C867" s="1" t="s">
        <v>15775</v>
      </c>
      <c r="D867" s="1" t="s">
        <v>15776</v>
      </c>
      <c r="E867" s="1"/>
      <c r="F867" s="1" t="s">
        <v>835</v>
      </c>
      <c r="G867" s="1" t="s">
        <v>15777</v>
      </c>
      <c r="H867" s="1" t="s">
        <v>15778</v>
      </c>
      <c r="I867" s="1" t="s">
        <v>15779</v>
      </c>
      <c r="J867" s="1">
        <v>8756343666</v>
      </c>
      <c r="K867" s="1" t="s">
        <v>148</v>
      </c>
      <c r="L867" s="1" t="s">
        <v>15780</v>
      </c>
      <c r="M867" s="1" t="s">
        <v>81</v>
      </c>
      <c r="N867" s="1" t="s">
        <v>241</v>
      </c>
      <c r="O867" s="1"/>
      <c r="P867" s="1" t="s">
        <v>1323</v>
      </c>
      <c r="Q867" s="1" t="s">
        <v>15781</v>
      </c>
      <c r="R867" s="1" t="s">
        <v>15782</v>
      </c>
      <c r="S867" s="1">
        <v>8173002222</v>
      </c>
      <c r="T867" s="1" t="s">
        <v>15783</v>
      </c>
      <c r="U867" s="1" t="s">
        <v>15784</v>
      </c>
      <c r="V867" s="1">
        <v>9454837411</v>
      </c>
      <c r="W867" s="1" t="s">
        <v>273</v>
      </c>
      <c r="X867" s="1" t="s">
        <v>15785</v>
      </c>
      <c r="Y867" s="1" t="s">
        <v>1912</v>
      </c>
      <c r="Z867" s="1" t="s">
        <v>1355</v>
      </c>
      <c r="AA867" s="1" t="s">
        <v>15785</v>
      </c>
      <c r="AB867" s="1" t="s">
        <v>1912</v>
      </c>
      <c r="AC867" s="1" t="s">
        <v>1355</v>
      </c>
      <c r="AD867" s="1">
        <v>8.48</v>
      </c>
      <c r="AE867" s="1" t="s">
        <v>93</v>
      </c>
      <c r="AF867" s="1" t="s">
        <v>15786</v>
      </c>
      <c r="AG867" s="1" t="s">
        <v>15787</v>
      </c>
      <c r="AH867" s="1" t="s">
        <v>477</v>
      </c>
      <c r="AI867" s="1" t="s">
        <v>131</v>
      </c>
      <c r="AJ867" s="1">
        <v>66.5</v>
      </c>
      <c r="AK867" s="1">
        <v>7</v>
      </c>
      <c r="AL867" s="1" t="s">
        <v>15786</v>
      </c>
      <c r="AM867" s="1" t="s">
        <v>15787</v>
      </c>
      <c r="AN867" s="1" t="s">
        <v>527</v>
      </c>
      <c r="AO867" s="1" t="s">
        <v>479</v>
      </c>
      <c r="AP867" s="1">
        <v>56.2</v>
      </c>
      <c r="AQ867" s="1">
        <v>0</v>
      </c>
      <c r="AR867" s="1"/>
      <c r="AS867" s="1"/>
      <c r="AT867" s="1"/>
      <c r="AU867" s="1"/>
      <c r="AV867" s="1"/>
      <c r="AW867" s="1"/>
      <c r="AX867" s="1" t="s">
        <v>4565</v>
      </c>
      <c r="AY867" s="1" t="s">
        <v>4565</v>
      </c>
      <c r="AZ867" s="1" t="s">
        <v>636</v>
      </c>
      <c r="BA867" s="1" t="s">
        <v>682</v>
      </c>
      <c r="BB867" s="1">
        <v>71.7</v>
      </c>
      <c r="BC867" s="1">
        <v>7.17</v>
      </c>
      <c r="BD867" s="1"/>
      <c r="BE867" s="1"/>
      <c r="BF867" s="1"/>
      <c r="BG867" s="1"/>
      <c r="BH867" s="1"/>
      <c r="BI867" s="1"/>
      <c r="BJ867" s="1" t="s">
        <v>15788</v>
      </c>
      <c r="BK867" s="1"/>
      <c r="BL867" s="1"/>
      <c r="BM867" s="1" t="s">
        <v>15789</v>
      </c>
      <c r="BN867" s="1">
        <v>96</v>
      </c>
      <c r="BO867" s="1" t="s">
        <v>15790</v>
      </c>
      <c r="BP867" s="1" t="str">
        <f>HYPERLINK("https://nconnect.nicmar.ac.in/storage/profile/ProfilePhoto_P25702081_536981.jpg","Download")</f>
        <v>0</v>
      </c>
      <c r="BQ867" s="3"/>
      <c r="BR867" s="3"/>
    </row>
    <row r="868" spans="1:70">
      <c r="A868" s="1" t="s">
        <v>441</v>
      </c>
      <c r="B868" s="1" t="s">
        <v>1269</v>
      </c>
      <c r="C868" s="1" t="s">
        <v>15791</v>
      </c>
      <c r="D868" s="1" t="s">
        <v>2896</v>
      </c>
      <c r="E868" s="1" t="s">
        <v>5413</v>
      </c>
      <c r="F868" s="1" t="s">
        <v>15792</v>
      </c>
      <c r="G868" s="1" t="s">
        <v>15793</v>
      </c>
      <c r="H868" s="1" t="s">
        <v>15794</v>
      </c>
      <c r="I868" s="1" t="s">
        <v>15795</v>
      </c>
      <c r="J868" s="1">
        <v>9653285798</v>
      </c>
      <c r="K868" s="1" t="s">
        <v>79</v>
      </c>
      <c r="L868" s="1" t="s">
        <v>15423</v>
      </c>
      <c r="M868" s="1" t="s">
        <v>81</v>
      </c>
      <c r="N868" s="1" t="s">
        <v>12733</v>
      </c>
      <c r="O868" s="1"/>
      <c r="P868" s="1" t="s">
        <v>1298</v>
      </c>
      <c r="Q868" s="1" t="s">
        <v>15796</v>
      </c>
      <c r="R868" s="1" t="s">
        <v>15797</v>
      </c>
      <c r="S868" s="1">
        <v>9969873060</v>
      </c>
      <c r="T868" s="1" t="s">
        <v>120</v>
      </c>
      <c r="U868" s="1" t="s">
        <v>15798</v>
      </c>
      <c r="V868" s="1">
        <v>9869169166</v>
      </c>
      <c r="W868" s="1" t="s">
        <v>156</v>
      </c>
      <c r="X868" s="1" t="s">
        <v>15799</v>
      </c>
      <c r="Y868" s="1" t="s">
        <v>1623</v>
      </c>
      <c r="Z868" s="1" t="s">
        <v>92</v>
      </c>
      <c r="AA868" s="1" t="s">
        <v>15799</v>
      </c>
      <c r="AB868" s="1" t="s">
        <v>1623</v>
      </c>
      <c r="AC868" s="1" t="s">
        <v>92</v>
      </c>
      <c r="AD868" s="1">
        <v>8.5</v>
      </c>
      <c r="AE868" s="1" t="s">
        <v>93</v>
      </c>
      <c r="AF868" s="1" t="s">
        <v>15800</v>
      </c>
      <c r="AG868" s="1" t="s">
        <v>160</v>
      </c>
      <c r="AH868" s="1" t="s">
        <v>97</v>
      </c>
      <c r="AI868" s="1" t="s">
        <v>456</v>
      </c>
      <c r="AJ868" s="1">
        <v>75.4</v>
      </c>
      <c r="AK868" s="1"/>
      <c r="AL868" s="1"/>
      <c r="AM868" s="1"/>
      <c r="AN868" s="1"/>
      <c r="AO868" s="1"/>
      <c r="AP868" s="1"/>
      <c r="AQ868" s="1"/>
      <c r="AR868" s="1" t="s">
        <v>98</v>
      </c>
      <c r="AS868" s="1" t="s">
        <v>15801</v>
      </c>
      <c r="AT868" s="1" t="s">
        <v>134</v>
      </c>
      <c r="AU868" s="1" t="s">
        <v>433</v>
      </c>
      <c r="AV868" s="1">
        <v>73.27</v>
      </c>
      <c r="AW868" s="1"/>
      <c r="AX868" s="1" t="s">
        <v>253</v>
      </c>
      <c r="AY868" s="1" t="s">
        <v>15802</v>
      </c>
      <c r="AZ868" s="1" t="s">
        <v>201</v>
      </c>
      <c r="BA868" s="1" t="s">
        <v>1090</v>
      </c>
      <c r="BB868" s="1">
        <v>68.75</v>
      </c>
      <c r="BC868" s="1">
        <v>7.66</v>
      </c>
      <c r="BD868" s="1"/>
      <c r="BE868" s="1"/>
      <c r="BF868" s="1"/>
      <c r="BG868" s="1"/>
      <c r="BH868" s="1"/>
      <c r="BI868" s="1"/>
      <c r="BJ868" s="1" t="s">
        <v>15803</v>
      </c>
      <c r="BK868" s="1" t="s">
        <v>15804</v>
      </c>
      <c r="BL868" s="1" t="s">
        <v>4933</v>
      </c>
      <c r="BM868" s="1" t="s">
        <v>15805</v>
      </c>
      <c r="BN868" s="1">
        <v>21</v>
      </c>
      <c r="BO868" s="1"/>
      <c r="BP868" s="1" t="str">
        <f>HYPERLINK("https://nconnect.nicmar.ac.in/storage/profile/ProfilePhoto_P25702082_524391.jpg","Download")</f>
        <v>0</v>
      </c>
      <c r="BQ868" s="3"/>
      <c r="BR868" s="3"/>
    </row>
    <row r="869" spans="1:70">
      <c r="A869" s="1" t="s">
        <v>441</v>
      </c>
      <c r="B869" s="1" t="s">
        <v>1269</v>
      </c>
      <c r="C869" s="1" t="s">
        <v>15806</v>
      </c>
      <c r="D869" s="1" t="s">
        <v>7350</v>
      </c>
      <c r="E869" s="1" t="s">
        <v>6097</v>
      </c>
      <c r="F869" s="1" t="s">
        <v>3208</v>
      </c>
      <c r="G869" s="1" t="s">
        <v>15807</v>
      </c>
      <c r="H869" s="1" t="s">
        <v>15808</v>
      </c>
      <c r="I869" s="1" t="s">
        <v>15809</v>
      </c>
      <c r="J869" s="1">
        <v>9687262577</v>
      </c>
      <c r="K869" s="1" t="s">
        <v>79</v>
      </c>
      <c r="L869" s="1" t="s">
        <v>15810</v>
      </c>
      <c r="M869" s="1" t="s">
        <v>81</v>
      </c>
      <c r="N869" s="1" t="s">
        <v>7355</v>
      </c>
      <c r="O869" s="1"/>
      <c r="P869" s="1" t="s">
        <v>1323</v>
      </c>
      <c r="Q869" s="1" t="s">
        <v>15811</v>
      </c>
      <c r="R869" s="1" t="s">
        <v>15812</v>
      </c>
      <c r="S869" s="1">
        <v>9925038307</v>
      </c>
      <c r="T869" s="1" t="s">
        <v>496</v>
      </c>
      <c r="U869" s="1" t="s">
        <v>15813</v>
      </c>
      <c r="V869" s="1">
        <v>9898011250</v>
      </c>
      <c r="W869" s="1" t="s">
        <v>156</v>
      </c>
      <c r="X869" s="1" t="s">
        <v>15814</v>
      </c>
      <c r="Y869" s="1" t="s">
        <v>3689</v>
      </c>
      <c r="Z869" s="1" t="s">
        <v>1468</v>
      </c>
      <c r="AA869" s="1" t="s">
        <v>15815</v>
      </c>
      <c r="AB869" s="1" t="s">
        <v>3689</v>
      </c>
      <c r="AC869" s="1" t="s">
        <v>1468</v>
      </c>
      <c r="AD869" s="1" t="s">
        <v>93</v>
      </c>
      <c r="AE869" s="1" t="s">
        <v>93</v>
      </c>
      <c r="AF869" s="1" t="s">
        <v>15594</v>
      </c>
      <c r="AG869" s="1" t="s">
        <v>15816</v>
      </c>
      <c r="AH869" s="1" t="s">
        <v>409</v>
      </c>
      <c r="AI869" s="1" t="s">
        <v>941</v>
      </c>
      <c r="AJ869" s="1">
        <v>77</v>
      </c>
      <c r="AK869" s="1"/>
      <c r="AL869" s="1" t="s">
        <v>15817</v>
      </c>
      <c r="AM869" s="1" t="s">
        <v>15816</v>
      </c>
      <c r="AN869" s="1" t="s">
        <v>504</v>
      </c>
      <c r="AO869" s="1" t="s">
        <v>2690</v>
      </c>
      <c r="AP869" s="1">
        <v>79.2</v>
      </c>
      <c r="AQ869" s="1"/>
      <c r="AR869" s="1"/>
      <c r="AS869" s="1"/>
      <c r="AT869" s="1"/>
      <c r="AU869" s="1"/>
      <c r="AV869" s="1"/>
      <c r="AW869" s="1"/>
      <c r="AX869" s="1" t="s">
        <v>15818</v>
      </c>
      <c r="AY869" s="1" t="s">
        <v>15819</v>
      </c>
      <c r="AZ869" s="1" t="s">
        <v>481</v>
      </c>
      <c r="BA869" s="1" t="s">
        <v>1714</v>
      </c>
      <c r="BB869" s="1">
        <v>78.7</v>
      </c>
      <c r="BC869" s="1">
        <v>7.87</v>
      </c>
      <c r="BD869" s="1"/>
      <c r="BE869" s="1"/>
      <c r="BF869" s="1"/>
      <c r="BG869" s="1"/>
      <c r="BH869" s="1"/>
      <c r="BI869" s="1"/>
      <c r="BJ869" s="1" t="s">
        <v>15820</v>
      </c>
      <c r="BK869" s="1"/>
      <c r="BL869" s="1"/>
      <c r="BM869" s="1" t="s">
        <v>15821</v>
      </c>
      <c r="BN869" s="1">
        <v>5</v>
      </c>
      <c r="BO869" s="1"/>
      <c r="BP869" s="1" t="str">
        <f>HYPERLINK("https://nconnect.nicmar.ac.in/storage/profile/ProfilePhoto_P25702083_496513.jpg","Download")</f>
        <v>0</v>
      </c>
      <c r="BQ869" s="3"/>
      <c r="BR869" s="3"/>
    </row>
    <row r="870" spans="1:70">
      <c r="A870" s="1" t="s">
        <v>441</v>
      </c>
      <c r="B870" s="1" t="s">
        <v>1269</v>
      </c>
      <c r="C870" s="1" t="s">
        <v>15822</v>
      </c>
      <c r="D870" s="1" t="s">
        <v>533</v>
      </c>
      <c r="E870" s="1" t="s">
        <v>444</v>
      </c>
      <c r="F870" s="1" t="s">
        <v>15823</v>
      </c>
      <c r="G870" s="1" t="s">
        <v>15824</v>
      </c>
      <c r="H870" s="1" t="s">
        <v>15825</v>
      </c>
      <c r="I870" s="1" t="s">
        <v>15826</v>
      </c>
      <c r="J870" s="1">
        <v>7020575432</v>
      </c>
      <c r="K870" s="1" t="s">
        <v>79</v>
      </c>
      <c r="L870" s="1" t="s">
        <v>15827</v>
      </c>
      <c r="M870" s="1" t="s">
        <v>81</v>
      </c>
      <c r="N870" s="1" t="s">
        <v>3236</v>
      </c>
      <c r="O870" s="1"/>
      <c r="P870" s="1" t="s">
        <v>1323</v>
      </c>
      <c r="Q870" s="1" t="s">
        <v>15828</v>
      </c>
      <c r="R870" s="1" t="s">
        <v>15829</v>
      </c>
      <c r="S870" s="1">
        <v>7276982972</v>
      </c>
      <c r="T870" s="1" t="s">
        <v>15830</v>
      </c>
      <c r="U870" s="1" t="s">
        <v>15831</v>
      </c>
      <c r="V870" s="1">
        <v>9260306852</v>
      </c>
      <c r="W870" s="1" t="s">
        <v>122</v>
      </c>
      <c r="X870" s="1" t="s">
        <v>15832</v>
      </c>
      <c r="Y870" s="1" t="s">
        <v>5080</v>
      </c>
      <c r="Z870" s="1" t="s">
        <v>92</v>
      </c>
      <c r="AA870" s="1" t="s">
        <v>15832</v>
      </c>
      <c r="AB870" s="1" t="s">
        <v>5080</v>
      </c>
      <c r="AC870" s="1" t="s">
        <v>92</v>
      </c>
      <c r="AD870" s="1" t="s">
        <v>93</v>
      </c>
      <c r="AE870" s="1" t="s">
        <v>93</v>
      </c>
      <c r="AF870" s="1" t="s">
        <v>15833</v>
      </c>
      <c r="AG870" s="1" t="s">
        <v>160</v>
      </c>
      <c r="AH870" s="1" t="s">
        <v>165</v>
      </c>
      <c r="AI870" s="1" t="s">
        <v>281</v>
      </c>
      <c r="AJ870" s="1">
        <v>71.6</v>
      </c>
      <c r="AK870" s="1"/>
      <c r="AL870" s="1"/>
      <c r="AM870" s="1"/>
      <c r="AN870" s="1"/>
      <c r="AO870" s="1"/>
      <c r="AP870" s="1"/>
      <c r="AQ870" s="1"/>
      <c r="AR870" s="1" t="s">
        <v>98</v>
      </c>
      <c r="AS870" s="1" t="s">
        <v>15834</v>
      </c>
      <c r="AT870" s="1" t="s">
        <v>636</v>
      </c>
      <c r="AU870" s="1" t="s">
        <v>436</v>
      </c>
      <c r="AV870" s="1">
        <v>81.63</v>
      </c>
      <c r="AW870" s="1"/>
      <c r="AX870" s="1" t="s">
        <v>1024</v>
      </c>
      <c r="AY870" s="1" t="s">
        <v>15834</v>
      </c>
      <c r="AZ870" s="1" t="s">
        <v>897</v>
      </c>
      <c r="BA870" s="1" t="s">
        <v>1939</v>
      </c>
      <c r="BB870" s="1">
        <v>63.2</v>
      </c>
      <c r="BC870" s="1">
        <v>6.92</v>
      </c>
      <c r="BD870" s="1"/>
      <c r="BE870" s="1"/>
      <c r="BF870" s="1"/>
      <c r="BG870" s="1"/>
      <c r="BH870" s="1"/>
      <c r="BI870" s="1"/>
      <c r="BJ870" s="1" t="s">
        <v>15835</v>
      </c>
      <c r="BK870" s="1" t="s">
        <v>15836</v>
      </c>
      <c r="BL870" s="1" t="s">
        <v>947</v>
      </c>
      <c r="BM870" s="1"/>
      <c r="BN870" s="1"/>
      <c r="BO870" s="1"/>
      <c r="BP870" s="1" t="str">
        <f>HYPERLINK("https://nconnect.nicmar.ac.in/storage/profile/ProfilePhoto_P25702084_327986.jpg","Download")</f>
        <v>0</v>
      </c>
      <c r="BQ870" s="3"/>
      <c r="BR870" s="3"/>
    </row>
    <row r="871" spans="1:70">
      <c r="A871" s="1" t="s">
        <v>441</v>
      </c>
      <c r="B871" s="1" t="s">
        <v>1269</v>
      </c>
      <c r="C871" s="1" t="s">
        <v>15837</v>
      </c>
      <c r="D871" s="1" t="s">
        <v>417</v>
      </c>
      <c r="E871" s="1" t="s">
        <v>5088</v>
      </c>
      <c r="F871" s="1" t="s">
        <v>142</v>
      </c>
      <c r="G871" s="1" t="s">
        <v>15838</v>
      </c>
      <c r="H871" s="1" t="s">
        <v>15839</v>
      </c>
      <c r="I871" s="1" t="s">
        <v>15839</v>
      </c>
      <c r="J871" s="1">
        <v>8879771220</v>
      </c>
      <c r="K871" s="1" t="s">
        <v>148</v>
      </c>
      <c r="L871" s="1" t="s">
        <v>15840</v>
      </c>
      <c r="M871" s="1" t="s">
        <v>81</v>
      </c>
      <c r="N871" s="1" t="s">
        <v>13681</v>
      </c>
      <c r="O871" s="1" t="s">
        <v>15841</v>
      </c>
      <c r="P871" s="1" t="s">
        <v>1323</v>
      </c>
      <c r="Q871" s="1" t="s">
        <v>15842</v>
      </c>
      <c r="R871" s="1" t="s">
        <v>5088</v>
      </c>
      <c r="S871" s="1">
        <v>9423264634</v>
      </c>
      <c r="T871" s="1" t="s">
        <v>496</v>
      </c>
      <c r="U871" s="1" t="s">
        <v>8601</v>
      </c>
      <c r="V871" s="1">
        <v>8421282434</v>
      </c>
      <c r="W871" s="1" t="s">
        <v>156</v>
      </c>
      <c r="X871" s="1" t="s">
        <v>15843</v>
      </c>
      <c r="Y871" s="1" t="s">
        <v>5937</v>
      </c>
      <c r="Z871" s="1" t="s">
        <v>92</v>
      </c>
      <c r="AA871" s="1" t="s">
        <v>15843</v>
      </c>
      <c r="AB871" s="1" t="s">
        <v>5937</v>
      </c>
      <c r="AC871" s="1" t="s">
        <v>92</v>
      </c>
      <c r="AD871" s="1">
        <v>8.06</v>
      </c>
      <c r="AE871" s="1" t="s">
        <v>93</v>
      </c>
      <c r="AF871" s="1" t="s">
        <v>15750</v>
      </c>
      <c r="AG871" s="1" t="s">
        <v>160</v>
      </c>
      <c r="AH871" s="1" t="s">
        <v>96</v>
      </c>
      <c r="AI871" s="1" t="s">
        <v>456</v>
      </c>
      <c r="AJ871" s="1">
        <v>89.2</v>
      </c>
      <c r="AK871" s="1"/>
      <c r="AL871" s="1" t="s">
        <v>15844</v>
      </c>
      <c r="AM871" s="1" t="s">
        <v>15845</v>
      </c>
      <c r="AN871" s="1" t="s">
        <v>134</v>
      </c>
      <c r="AO871" s="1" t="s">
        <v>457</v>
      </c>
      <c r="AP871" s="1">
        <v>75.08</v>
      </c>
      <c r="AQ871" s="1"/>
      <c r="AR871" s="1"/>
      <c r="AS871" s="1"/>
      <c r="AT871" s="1"/>
      <c r="AU871" s="1"/>
      <c r="AV871" s="1"/>
      <c r="AW871" s="1"/>
      <c r="AX871" s="1" t="s">
        <v>253</v>
      </c>
      <c r="AY871" s="1" t="s">
        <v>15846</v>
      </c>
      <c r="AZ871" s="1" t="s">
        <v>636</v>
      </c>
      <c r="BA871" s="1" t="s">
        <v>229</v>
      </c>
      <c r="BB871" s="1">
        <v>69.35</v>
      </c>
      <c r="BC871" s="1">
        <v>7.75</v>
      </c>
      <c r="BD871" s="1"/>
      <c r="BE871" s="1"/>
      <c r="BF871" s="1"/>
      <c r="BG871" s="1"/>
      <c r="BH871" s="1"/>
      <c r="BI871" s="1"/>
      <c r="BJ871" s="1" t="s">
        <v>255</v>
      </c>
      <c r="BK871" s="1" t="s">
        <v>15847</v>
      </c>
      <c r="BL871" s="1" t="s">
        <v>619</v>
      </c>
      <c r="BM871" s="1" t="s">
        <v>15848</v>
      </c>
      <c r="BN871" s="1">
        <v>29</v>
      </c>
      <c r="BO871" s="1"/>
      <c r="BP871" s="1" t="str">
        <f>HYPERLINK("https://nconnect.nicmar.ac.in/storage/profile/ProfilePhoto_P25702085_675194.jpg","Download")</f>
        <v>0</v>
      </c>
      <c r="BQ871" s="3"/>
      <c r="BR871" s="3"/>
    </row>
    <row r="872" spans="1:70">
      <c r="A872" s="1" t="s">
        <v>441</v>
      </c>
      <c r="B872" s="1" t="s">
        <v>1269</v>
      </c>
      <c r="C872" s="1" t="s">
        <v>15849</v>
      </c>
      <c r="D872" s="1" t="s">
        <v>15850</v>
      </c>
      <c r="E872" s="1"/>
      <c r="F872" s="1" t="s">
        <v>7165</v>
      </c>
      <c r="G872" s="1" t="s">
        <v>15851</v>
      </c>
      <c r="H872" s="1" t="s">
        <v>15852</v>
      </c>
      <c r="I872" s="1" t="s">
        <v>15853</v>
      </c>
      <c r="J872" s="1">
        <v>6381918916</v>
      </c>
      <c r="K872" s="1" t="s">
        <v>79</v>
      </c>
      <c r="L872" s="1" t="s">
        <v>7391</v>
      </c>
      <c r="M872" s="1" t="s">
        <v>81</v>
      </c>
      <c r="N872" s="1" t="s">
        <v>15854</v>
      </c>
      <c r="O872" s="1" t="s">
        <v>15855</v>
      </c>
      <c r="P872" s="1" t="s">
        <v>1323</v>
      </c>
      <c r="Q872" s="1" t="s">
        <v>15856</v>
      </c>
      <c r="R872" s="1" t="s">
        <v>15857</v>
      </c>
      <c r="S872" s="1">
        <v>9842219755</v>
      </c>
      <c r="T872" s="1" t="s">
        <v>87</v>
      </c>
      <c r="U872" s="1" t="s">
        <v>15858</v>
      </c>
      <c r="V872" s="1">
        <v>9865919755</v>
      </c>
      <c r="W872" s="1" t="s">
        <v>89</v>
      </c>
      <c r="X872" s="1" t="s">
        <v>15859</v>
      </c>
      <c r="Y872" s="1" t="s">
        <v>2929</v>
      </c>
      <c r="Z872" s="1" t="s">
        <v>1377</v>
      </c>
      <c r="AA872" s="1" t="s">
        <v>15859</v>
      </c>
      <c r="AB872" s="1" t="s">
        <v>2929</v>
      </c>
      <c r="AC872" s="1" t="s">
        <v>1377</v>
      </c>
      <c r="AD872" s="1">
        <v>9.03</v>
      </c>
      <c r="AE872" s="1" t="s">
        <v>93</v>
      </c>
      <c r="AF872" s="1" t="s">
        <v>15860</v>
      </c>
      <c r="AG872" s="1" t="s">
        <v>12153</v>
      </c>
      <c r="AH872" s="1" t="s">
        <v>162</v>
      </c>
      <c r="AI872" s="1" t="s">
        <v>195</v>
      </c>
      <c r="AJ872" s="1">
        <v>96.6</v>
      </c>
      <c r="AK872" s="1"/>
      <c r="AL872" s="1" t="s">
        <v>15861</v>
      </c>
      <c r="AM872" s="1" t="s">
        <v>9314</v>
      </c>
      <c r="AN872" s="1" t="s">
        <v>101</v>
      </c>
      <c r="AO872" s="1" t="s">
        <v>409</v>
      </c>
      <c r="AP872" s="1">
        <v>79</v>
      </c>
      <c r="AQ872" s="1"/>
      <c r="AR872" s="1"/>
      <c r="AS872" s="1"/>
      <c r="AT872" s="1"/>
      <c r="AU872" s="1"/>
      <c r="AV872" s="1"/>
      <c r="AW872" s="1"/>
      <c r="AX872" s="1" t="s">
        <v>7700</v>
      </c>
      <c r="AY872" s="1" t="s">
        <v>15862</v>
      </c>
      <c r="AZ872" s="1" t="s">
        <v>310</v>
      </c>
      <c r="BA872" s="1" t="s">
        <v>413</v>
      </c>
      <c r="BB872" s="1">
        <v>80</v>
      </c>
      <c r="BC872" s="1">
        <v>8</v>
      </c>
      <c r="BD872" s="1"/>
      <c r="BE872" s="1"/>
      <c r="BF872" s="1"/>
      <c r="BG872" s="1"/>
      <c r="BH872" s="1"/>
      <c r="BI872" s="1"/>
      <c r="BJ872" s="1" t="s">
        <v>15863</v>
      </c>
      <c r="BK872" s="1" t="s">
        <v>15864</v>
      </c>
      <c r="BL872" s="1" t="s">
        <v>619</v>
      </c>
      <c r="BM872" s="1" t="s">
        <v>15865</v>
      </c>
      <c r="BN872" s="1">
        <v>26</v>
      </c>
      <c r="BO872" s="1" t="s">
        <v>15866</v>
      </c>
      <c r="BP872" s="1" t="str">
        <f>HYPERLINK("https://nconnect.nicmar.ac.in/storage/profile/ProfilePhoto_P25702086_972613.jpg","Download")</f>
        <v>0</v>
      </c>
      <c r="BQ872" s="3"/>
      <c r="BR872" s="3"/>
    </row>
    <row r="873" spans="1:70">
      <c r="A873" s="1" t="s">
        <v>441</v>
      </c>
      <c r="B873" s="1" t="s">
        <v>1269</v>
      </c>
      <c r="C873" s="1" t="s">
        <v>15867</v>
      </c>
      <c r="D873" s="1" t="s">
        <v>15868</v>
      </c>
      <c r="E873" s="1" t="s">
        <v>15869</v>
      </c>
      <c r="F873" s="1" t="s">
        <v>15870</v>
      </c>
      <c r="G873" s="1" t="s">
        <v>15871</v>
      </c>
      <c r="H873" s="1" t="s">
        <v>15872</v>
      </c>
      <c r="I873" s="1" t="s">
        <v>15873</v>
      </c>
      <c r="J873" s="1">
        <v>9113903085</v>
      </c>
      <c r="K873" s="1" t="s">
        <v>79</v>
      </c>
      <c r="L873" s="1" t="s">
        <v>15827</v>
      </c>
      <c r="M873" s="1" t="s">
        <v>81</v>
      </c>
      <c r="N873" s="1" t="s">
        <v>11662</v>
      </c>
      <c r="O873" s="1"/>
      <c r="P873" s="1" t="s">
        <v>1323</v>
      </c>
      <c r="Q873" s="1" t="s">
        <v>15874</v>
      </c>
      <c r="R873" s="1" t="s">
        <v>15875</v>
      </c>
      <c r="S873" s="1">
        <v>9448250479</v>
      </c>
      <c r="T873" s="1" t="s">
        <v>496</v>
      </c>
      <c r="U873" s="1" t="s">
        <v>15876</v>
      </c>
      <c r="V873" s="1">
        <v>8762585479</v>
      </c>
      <c r="W873" s="1" t="s">
        <v>273</v>
      </c>
      <c r="X873" s="1" t="s">
        <v>15877</v>
      </c>
      <c r="Y873" s="1" t="s">
        <v>14019</v>
      </c>
      <c r="Z873" s="1" t="s">
        <v>1084</v>
      </c>
      <c r="AA873" s="1" t="s">
        <v>15877</v>
      </c>
      <c r="AB873" s="1" t="s">
        <v>14019</v>
      </c>
      <c r="AC873" s="1" t="s">
        <v>1084</v>
      </c>
      <c r="AD873" s="1">
        <v>8.45</v>
      </c>
      <c r="AE873" s="1" t="s">
        <v>93</v>
      </c>
      <c r="AF873" s="1" t="s">
        <v>15878</v>
      </c>
      <c r="AG873" s="1" t="s">
        <v>15879</v>
      </c>
      <c r="AH873" s="1" t="s">
        <v>1332</v>
      </c>
      <c r="AI873" s="1" t="s">
        <v>166</v>
      </c>
      <c r="AJ873" s="1">
        <v>79.68</v>
      </c>
      <c r="AK873" s="1"/>
      <c r="AL873" s="1" t="s">
        <v>15880</v>
      </c>
      <c r="AM873" s="1" t="s">
        <v>15881</v>
      </c>
      <c r="AN873" s="1" t="s">
        <v>359</v>
      </c>
      <c r="AO873" s="1" t="s">
        <v>173</v>
      </c>
      <c r="AP873" s="1">
        <v>68.83</v>
      </c>
      <c r="AQ873" s="1"/>
      <c r="AR873" s="1"/>
      <c r="AS873" s="1"/>
      <c r="AT873" s="1"/>
      <c r="AU873" s="1"/>
      <c r="AV873" s="1"/>
      <c r="AW873" s="1"/>
      <c r="AX873" s="1" t="s">
        <v>15882</v>
      </c>
      <c r="AY873" s="1" t="s">
        <v>15883</v>
      </c>
      <c r="AZ873" s="1" t="s">
        <v>228</v>
      </c>
      <c r="BA873" s="1" t="s">
        <v>202</v>
      </c>
      <c r="BB873" s="1">
        <v>54.9</v>
      </c>
      <c r="BC873" s="1">
        <v>6.24</v>
      </c>
      <c r="BD873" s="1"/>
      <c r="BE873" s="1"/>
      <c r="BF873" s="1"/>
      <c r="BG873" s="1"/>
      <c r="BH873" s="1"/>
      <c r="BI873" s="1"/>
      <c r="BJ873" s="1" t="s">
        <v>364</v>
      </c>
      <c r="BK873" s="1" t="s">
        <v>15884</v>
      </c>
      <c r="BL873" s="1" t="s">
        <v>2914</v>
      </c>
      <c r="BM873" s="1"/>
      <c r="BN873" s="1"/>
      <c r="BO873" s="1" t="s">
        <v>15885</v>
      </c>
      <c r="BP873" s="1" t="str">
        <f>HYPERLINK("https://nconnect.nicmar.ac.in/storage/profile/ProfilePhoto_P25702089_483152.jpg","Download")</f>
        <v>0</v>
      </c>
      <c r="BQ873" s="3"/>
      <c r="BR873" s="3"/>
    </row>
    <row r="874" spans="1:70">
      <c r="A874" s="1" t="s">
        <v>441</v>
      </c>
      <c r="B874" s="1" t="s">
        <v>1269</v>
      </c>
      <c r="C874" s="1" t="s">
        <v>15886</v>
      </c>
      <c r="D874" s="1" t="s">
        <v>533</v>
      </c>
      <c r="E874" s="1" t="s">
        <v>1455</v>
      </c>
      <c r="F874" s="1" t="s">
        <v>15887</v>
      </c>
      <c r="G874" s="1" t="s">
        <v>15888</v>
      </c>
      <c r="H874" s="1" t="s">
        <v>15889</v>
      </c>
      <c r="I874" s="1" t="s">
        <v>15890</v>
      </c>
      <c r="J874" s="1">
        <v>8600638499</v>
      </c>
      <c r="K874" s="1" t="s">
        <v>79</v>
      </c>
      <c r="L874" s="1" t="s">
        <v>15891</v>
      </c>
      <c r="M874" s="1" t="s">
        <v>81</v>
      </c>
      <c r="N874" s="1" t="s">
        <v>2008</v>
      </c>
      <c r="O874" s="1" t="s">
        <v>15892</v>
      </c>
      <c r="P874" s="1" t="s">
        <v>1278</v>
      </c>
      <c r="Q874" s="1" t="s">
        <v>15893</v>
      </c>
      <c r="R874" s="1" t="s">
        <v>15894</v>
      </c>
      <c r="S874" s="1">
        <v>9922928232</v>
      </c>
      <c r="T874" s="1" t="s">
        <v>87</v>
      </c>
      <c r="U874" s="1" t="s">
        <v>15895</v>
      </c>
      <c r="V874" s="1">
        <v>9823699253</v>
      </c>
      <c r="W874" s="1" t="s">
        <v>674</v>
      </c>
      <c r="X874" s="1" t="s">
        <v>15896</v>
      </c>
      <c r="Y874" s="1" t="s">
        <v>405</v>
      </c>
      <c r="Z874" s="1" t="s">
        <v>92</v>
      </c>
      <c r="AA874" s="1" t="s">
        <v>15896</v>
      </c>
      <c r="AB874" s="1" t="s">
        <v>405</v>
      </c>
      <c r="AC874" s="1" t="s">
        <v>92</v>
      </c>
      <c r="AD874" s="1">
        <v>8.0</v>
      </c>
      <c r="AE874" s="1" t="s">
        <v>93</v>
      </c>
      <c r="AF874" s="1" t="s">
        <v>15897</v>
      </c>
      <c r="AG874" s="1" t="s">
        <v>939</v>
      </c>
      <c r="AH874" s="1" t="s">
        <v>96</v>
      </c>
      <c r="AI874" s="1" t="s">
        <v>131</v>
      </c>
      <c r="AJ874" s="1">
        <v>68.4</v>
      </c>
      <c r="AK874" s="1">
        <v>7.2</v>
      </c>
      <c r="AL874" s="1" t="s">
        <v>15898</v>
      </c>
      <c r="AM874" s="1" t="s">
        <v>160</v>
      </c>
      <c r="AN874" s="1" t="s">
        <v>134</v>
      </c>
      <c r="AO874" s="1" t="s">
        <v>165</v>
      </c>
      <c r="AP874" s="1">
        <v>52.15</v>
      </c>
      <c r="AQ874" s="1"/>
      <c r="AR874" s="1" t="s">
        <v>98</v>
      </c>
      <c r="AS874" s="1" t="s">
        <v>15899</v>
      </c>
      <c r="AT874" s="1" t="s">
        <v>165</v>
      </c>
      <c r="AU874" s="1" t="s">
        <v>5504</v>
      </c>
      <c r="AV874" s="1">
        <v>55.64</v>
      </c>
      <c r="AW874" s="1"/>
      <c r="AX874" s="1" t="s">
        <v>15900</v>
      </c>
      <c r="AY874" s="1" t="s">
        <v>15901</v>
      </c>
      <c r="AZ874" s="1" t="s">
        <v>173</v>
      </c>
      <c r="BA874" s="1" t="s">
        <v>682</v>
      </c>
      <c r="BB874" s="1">
        <v>59.2</v>
      </c>
      <c r="BC874" s="1">
        <v>6.2</v>
      </c>
      <c r="BD874" s="1"/>
      <c r="BE874" s="1"/>
      <c r="BF874" s="1"/>
      <c r="BG874" s="1"/>
      <c r="BH874" s="1"/>
      <c r="BI874" s="1"/>
      <c r="BJ874" s="1" t="s">
        <v>15902</v>
      </c>
      <c r="BK874" s="1"/>
      <c r="BL874" s="1"/>
      <c r="BM874" s="1"/>
      <c r="BN874" s="1"/>
      <c r="BO874" s="1"/>
      <c r="BP874" s="1" t="str">
        <f>HYPERLINK("https://nconnect.nicmar.ac.in/storage/profile/ProfilePhoto_P25702090_671284.jpg","Download")</f>
        <v>0</v>
      </c>
      <c r="BQ874" s="3"/>
      <c r="BR874" s="3"/>
    </row>
    <row r="875" spans="1:70">
      <c r="A875" s="1" t="s">
        <v>441</v>
      </c>
      <c r="B875" s="1" t="s">
        <v>1269</v>
      </c>
      <c r="C875" s="1" t="s">
        <v>15903</v>
      </c>
      <c r="D875" s="1" t="s">
        <v>7453</v>
      </c>
      <c r="E875" s="1" t="s">
        <v>15904</v>
      </c>
      <c r="F875" s="1" t="s">
        <v>7350</v>
      </c>
      <c r="G875" s="1" t="s">
        <v>15905</v>
      </c>
      <c r="H875" s="1" t="s">
        <v>15906</v>
      </c>
      <c r="I875" s="1" t="s">
        <v>15907</v>
      </c>
      <c r="J875" s="1">
        <v>9898221423</v>
      </c>
      <c r="K875" s="1" t="s">
        <v>79</v>
      </c>
      <c r="L875" s="1" t="s">
        <v>1703</v>
      </c>
      <c r="M875" s="1" t="s">
        <v>81</v>
      </c>
      <c r="N875" s="1" t="s">
        <v>1144</v>
      </c>
      <c r="O875" s="1"/>
      <c r="P875" s="1" t="s">
        <v>1323</v>
      </c>
      <c r="Q875" s="1" t="s">
        <v>15908</v>
      </c>
      <c r="R875" s="1" t="s">
        <v>15909</v>
      </c>
      <c r="S875" s="1">
        <v>9545703000</v>
      </c>
      <c r="T875" s="1" t="s">
        <v>496</v>
      </c>
      <c r="U875" s="1" t="s">
        <v>15910</v>
      </c>
      <c r="V875" s="1">
        <v>9028733666</v>
      </c>
      <c r="W875" s="1" t="s">
        <v>273</v>
      </c>
      <c r="X875" s="1" t="s">
        <v>15911</v>
      </c>
      <c r="Y875" s="1" t="s">
        <v>191</v>
      </c>
      <c r="Z875" s="1" t="s">
        <v>92</v>
      </c>
      <c r="AA875" s="1" t="s">
        <v>15911</v>
      </c>
      <c r="AB875" s="1" t="s">
        <v>191</v>
      </c>
      <c r="AC875" s="1" t="s">
        <v>92</v>
      </c>
      <c r="AD875" s="1">
        <v>7.32</v>
      </c>
      <c r="AE875" s="1" t="s">
        <v>93</v>
      </c>
      <c r="AF875" s="1" t="s">
        <v>15912</v>
      </c>
      <c r="AG875" s="1" t="s">
        <v>307</v>
      </c>
      <c r="AH875" s="1" t="s">
        <v>1307</v>
      </c>
      <c r="AI875" s="1" t="s">
        <v>308</v>
      </c>
      <c r="AJ875" s="1">
        <v>73.8</v>
      </c>
      <c r="AK875" s="1"/>
      <c r="AL875" s="1" t="s">
        <v>15913</v>
      </c>
      <c r="AM875" s="1" t="s">
        <v>160</v>
      </c>
      <c r="AN875" s="1" t="s">
        <v>699</v>
      </c>
      <c r="AO875" s="1" t="s">
        <v>436</v>
      </c>
      <c r="AP875" s="1">
        <v>73.83</v>
      </c>
      <c r="AQ875" s="1"/>
      <c r="AR875" s="1"/>
      <c r="AS875" s="1"/>
      <c r="AT875" s="1"/>
      <c r="AU875" s="1"/>
      <c r="AV875" s="1"/>
      <c r="AW875" s="1"/>
      <c r="AX875" s="1" t="s">
        <v>361</v>
      </c>
      <c r="AY875" s="1" t="s">
        <v>15914</v>
      </c>
      <c r="AZ875" s="1" t="s">
        <v>1051</v>
      </c>
      <c r="BA875" s="1" t="s">
        <v>202</v>
      </c>
      <c r="BB875" s="1">
        <v>68.4</v>
      </c>
      <c r="BC875" s="1">
        <v>7.6</v>
      </c>
      <c r="BD875" s="1"/>
      <c r="BE875" s="1"/>
      <c r="BF875" s="1"/>
      <c r="BG875" s="1"/>
      <c r="BH875" s="1"/>
      <c r="BI875" s="1"/>
      <c r="BJ875" s="1" t="s">
        <v>15915</v>
      </c>
      <c r="BK875" s="1"/>
      <c r="BL875" s="1"/>
      <c r="BM875" s="1" t="s">
        <v>15916</v>
      </c>
      <c r="BN875" s="1">
        <v>26</v>
      </c>
      <c r="BO875" s="1" t="s">
        <v>15917</v>
      </c>
      <c r="BP875" s="1" t="str">
        <f>HYPERLINK("https://nconnect.nicmar.ac.in/storage/profile/ProfilePhoto_P25702091_429168.jpg","Download")</f>
        <v>0</v>
      </c>
      <c r="BQ875" s="3"/>
      <c r="BR875" s="3"/>
    </row>
    <row r="876" spans="1:70">
      <c r="A876" s="1" t="s">
        <v>441</v>
      </c>
      <c r="B876" s="1" t="s">
        <v>1269</v>
      </c>
      <c r="C876" s="1" t="s">
        <v>15918</v>
      </c>
      <c r="D876" s="1" t="s">
        <v>15919</v>
      </c>
      <c r="E876" s="1"/>
      <c r="F876" s="1" t="s">
        <v>15920</v>
      </c>
      <c r="G876" s="1" t="s">
        <v>15921</v>
      </c>
      <c r="H876" s="1" t="s">
        <v>15922</v>
      </c>
      <c r="I876" s="1" t="s">
        <v>15922</v>
      </c>
      <c r="J876" s="1"/>
      <c r="K876" s="1"/>
      <c r="L876" s="1"/>
      <c r="M876" s="1"/>
      <c r="N876" s="1"/>
      <c r="O876" s="1"/>
      <c r="P876" s="1"/>
      <c r="Q876" s="1"/>
      <c r="R876" s="1"/>
      <c r="S876" s="1"/>
      <c r="T876" s="1"/>
      <c r="U876" s="1"/>
      <c r="V876" s="1"/>
      <c r="W876" s="1"/>
      <c r="X876" s="1"/>
      <c r="Y876" s="1"/>
      <c r="Z876" s="1"/>
      <c r="AA876" s="1"/>
      <c r="AB876" s="1"/>
      <c r="AC876" s="1"/>
      <c r="AD876" s="1" t="s">
        <v>93</v>
      </c>
      <c r="AE876" s="1" t="s">
        <v>93</v>
      </c>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t="s">
        <v>1037</v>
      </c>
      <c r="BQ876" s="3"/>
      <c r="BR876" s="3"/>
    </row>
    <row r="877" spans="1:70">
      <c r="A877" s="1" t="s">
        <v>441</v>
      </c>
      <c r="B877" s="1" t="s">
        <v>1269</v>
      </c>
      <c r="C877" s="1" t="s">
        <v>15923</v>
      </c>
      <c r="D877" s="1" t="s">
        <v>9078</v>
      </c>
      <c r="E877" s="1" t="s">
        <v>15924</v>
      </c>
      <c r="F877" s="1" t="s">
        <v>15925</v>
      </c>
      <c r="G877" s="1" t="s">
        <v>15926</v>
      </c>
      <c r="H877" s="1" t="s">
        <v>15927</v>
      </c>
      <c r="I877" s="1" t="s">
        <v>15928</v>
      </c>
      <c r="J877" s="1">
        <v>8625847667</v>
      </c>
      <c r="K877" s="1" t="s">
        <v>79</v>
      </c>
      <c r="L877" s="1" t="s">
        <v>15929</v>
      </c>
      <c r="M877" s="1" t="s">
        <v>81</v>
      </c>
      <c r="N877" s="1" t="s">
        <v>13925</v>
      </c>
      <c r="O877" s="1" t="s">
        <v>15930</v>
      </c>
      <c r="P877" s="1" t="s">
        <v>1298</v>
      </c>
      <c r="Q877" s="1" t="s">
        <v>15931</v>
      </c>
      <c r="R877" s="1" t="s">
        <v>15924</v>
      </c>
      <c r="S877" s="1">
        <v>9637429888</v>
      </c>
      <c r="T877" s="1" t="s">
        <v>910</v>
      </c>
      <c r="U877" s="1" t="s">
        <v>9874</v>
      </c>
      <c r="V877" s="1">
        <v>7875231148</v>
      </c>
      <c r="W877" s="1" t="s">
        <v>156</v>
      </c>
      <c r="X877" s="1" t="s">
        <v>15932</v>
      </c>
      <c r="Y877" s="1" t="s">
        <v>191</v>
      </c>
      <c r="Z877" s="1" t="s">
        <v>92</v>
      </c>
      <c r="AA877" s="1" t="s">
        <v>15932</v>
      </c>
      <c r="AB877" s="1" t="s">
        <v>191</v>
      </c>
      <c r="AC877" s="1" t="s">
        <v>92</v>
      </c>
      <c r="AD877" s="1">
        <v>8.19</v>
      </c>
      <c r="AE877" s="1" t="s">
        <v>93</v>
      </c>
      <c r="AF877" s="1" t="s">
        <v>5756</v>
      </c>
      <c r="AG877" s="1" t="s">
        <v>307</v>
      </c>
      <c r="AH877" s="1" t="s">
        <v>479</v>
      </c>
      <c r="AI877" s="1" t="s">
        <v>166</v>
      </c>
      <c r="AJ877" s="1">
        <v>68.5</v>
      </c>
      <c r="AK877" s="1"/>
      <c r="AL877" s="1" t="s">
        <v>14157</v>
      </c>
      <c r="AM877" s="1" t="s">
        <v>160</v>
      </c>
      <c r="AN877" s="1" t="s">
        <v>433</v>
      </c>
      <c r="AO877" s="1" t="s">
        <v>360</v>
      </c>
      <c r="AP877" s="1">
        <v>54.77</v>
      </c>
      <c r="AQ877" s="1"/>
      <c r="AR877" s="1"/>
      <c r="AS877" s="1"/>
      <c r="AT877" s="1"/>
      <c r="AU877" s="1"/>
      <c r="AV877" s="1"/>
      <c r="AW877" s="1"/>
      <c r="AX877" s="1" t="s">
        <v>361</v>
      </c>
      <c r="AY877" s="1" t="s">
        <v>15933</v>
      </c>
      <c r="AZ877" s="1" t="s">
        <v>412</v>
      </c>
      <c r="BA877" s="1" t="s">
        <v>413</v>
      </c>
      <c r="BB877" s="1">
        <v>63.65</v>
      </c>
      <c r="BC877" s="1">
        <v>7.48</v>
      </c>
      <c r="BD877" s="1"/>
      <c r="BE877" s="1"/>
      <c r="BF877" s="1"/>
      <c r="BG877" s="1"/>
      <c r="BH877" s="1"/>
      <c r="BI877" s="1"/>
      <c r="BJ877" s="1" t="s">
        <v>1383</v>
      </c>
      <c r="BK877" s="1"/>
      <c r="BL877" s="1"/>
      <c r="BM877" s="1" t="s">
        <v>15934</v>
      </c>
      <c r="BN877" s="1">
        <v>3</v>
      </c>
      <c r="BO877" s="1" t="s">
        <v>1715</v>
      </c>
      <c r="BP877" s="1" t="str">
        <f>HYPERLINK("https://nconnect.nicmar.ac.in/storage/profile/ProfilePhoto_P25702093_491532.jpg","Download")</f>
        <v>0</v>
      </c>
      <c r="BQ877" s="3"/>
      <c r="BR877" s="3"/>
    </row>
    <row r="878" spans="1:70">
      <c r="A878" s="1" t="s">
        <v>441</v>
      </c>
      <c r="B878" s="1" t="s">
        <v>1269</v>
      </c>
      <c r="C878" s="1" t="s">
        <v>15935</v>
      </c>
      <c r="D878" s="1" t="s">
        <v>5964</v>
      </c>
      <c r="E878" s="1" t="s">
        <v>4997</v>
      </c>
      <c r="F878" s="1" t="s">
        <v>2024</v>
      </c>
      <c r="G878" s="1" t="s">
        <v>15936</v>
      </c>
      <c r="H878" s="1" t="s">
        <v>15937</v>
      </c>
      <c r="I878" s="1" t="s">
        <v>15938</v>
      </c>
      <c r="J878" s="1">
        <v>9325137212</v>
      </c>
      <c r="K878" s="1" t="s">
        <v>79</v>
      </c>
      <c r="L878" s="1" t="s">
        <v>15939</v>
      </c>
      <c r="M878" s="1" t="s">
        <v>81</v>
      </c>
      <c r="N878" s="1" t="s">
        <v>2008</v>
      </c>
      <c r="O878" s="1"/>
      <c r="P878" s="1" t="s">
        <v>1298</v>
      </c>
      <c r="Q878" s="1" t="s">
        <v>15940</v>
      </c>
      <c r="R878" s="1" t="s">
        <v>15941</v>
      </c>
      <c r="S878" s="1">
        <v>9420453499</v>
      </c>
      <c r="T878" s="1" t="s">
        <v>154</v>
      </c>
      <c r="U878" s="1" t="s">
        <v>15942</v>
      </c>
      <c r="V878" s="1">
        <v>9325137212</v>
      </c>
      <c r="W878" s="1" t="s">
        <v>89</v>
      </c>
      <c r="X878" s="1" t="s">
        <v>15943</v>
      </c>
      <c r="Y878" s="1" t="s">
        <v>1887</v>
      </c>
      <c r="Z878" s="1" t="s">
        <v>92</v>
      </c>
      <c r="AA878" s="1" t="s">
        <v>15943</v>
      </c>
      <c r="AB878" s="1" t="s">
        <v>1887</v>
      </c>
      <c r="AC878" s="1" t="s">
        <v>92</v>
      </c>
      <c r="AD878" s="1">
        <v>7.56</v>
      </c>
      <c r="AE878" s="1" t="s">
        <v>93</v>
      </c>
      <c r="AF878" s="1" t="s">
        <v>15944</v>
      </c>
      <c r="AG878" s="1" t="s">
        <v>160</v>
      </c>
      <c r="AH878" s="1" t="s">
        <v>165</v>
      </c>
      <c r="AI878" s="1" t="s">
        <v>281</v>
      </c>
      <c r="AJ878" s="1">
        <v>68</v>
      </c>
      <c r="AK878" s="1"/>
      <c r="AL878" s="1" t="s">
        <v>15945</v>
      </c>
      <c r="AM878" s="1" t="s">
        <v>160</v>
      </c>
      <c r="AN878" s="1" t="s">
        <v>433</v>
      </c>
      <c r="AO878" s="1" t="s">
        <v>360</v>
      </c>
      <c r="AP878" s="1">
        <v>55.08</v>
      </c>
      <c r="AQ878" s="1"/>
      <c r="AR878" s="1"/>
      <c r="AS878" s="1"/>
      <c r="AT878" s="1"/>
      <c r="AU878" s="1"/>
      <c r="AV878" s="1"/>
      <c r="AW878" s="1"/>
      <c r="AX878" s="1" t="s">
        <v>15946</v>
      </c>
      <c r="AY878" s="1" t="s">
        <v>15947</v>
      </c>
      <c r="AZ878" s="1" t="s">
        <v>681</v>
      </c>
      <c r="BA878" s="1" t="s">
        <v>202</v>
      </c>
      <c r="BB878" s="1">
        <v>62.1</v>
      </c>
      <c r="BC878" s="1">
        <v>6.71</v>
      </c>
      <c r="BD878" s="1"/>
      <c r="BE878" s="1"/>
      <c r="BF878" s="1"/>
      <c r="BG878" s="1"/>
      <c r="BH878" s="1"/>
      <c r="BI878" s="1"/>
      <c r="BJ878" s="1" t="s">
        <v>15948</v>
      </c>
      <c r="BK878" s="1"/>
      <c r="BL878" s="1"/>
      <c r="BM878" s="1" t="s">
        <v>15949</v>
      </c>
      <c r="BN878" s="1">
        <v>69</v>
      </c>
      <c r="BO878" s="1" t="s">
        <v>15950</v>
      </c>
      <c r="BP878" s="1" t="str">
        <f>HYPERLINK("https://nconnect.nicmar.ac.in/storage/profile/ProfilePhoto_P25702094_982716.jpg","Download")</f>
        <v>0</v>
      </c>
      <c r="BQ878" s="3"/>
      <c r="BR878" s="3"/>
    </row>
    <row r="879" spans="1:70">
      <c r="A879" s="1" t="s">
        <v>441</v>
      </c>
      <c r="B879" s="1" t="s">
        <v>1269</v>
      </c>
      <c r="C879" s="1" t="s">
        <v>15951</v>
      </c>
      <c r="D879" s="1" t="s">
        <v>15952</v>
      </c>
      <c r="E879" s="1" t="s">
        <v>6879</v>
      </c>
      <c r="F879" s="1" t="s">
        <v>345</v>
      </c>
      <c r="G879" s="1" t="s">
        <v>15953</v>
      </c>
      <c r="H879" s="1" t="s">
        <v>15954</v>
      </c>
      <c r="I879" s="1" t="s">
        <v>15955</v>
      </c>
      <c r="J879" s="1">
        <v>9000026104</v>
      </c>
      <c r="K879" s="1" t="s">
        <v>79</v>
      </c>
      <c r="L879" s="1" t="s">
        <v>15956</v>
      </c>
      <c r="M879" s="1" t="s">
        <v>81</v>
      </c>
      <c r="N879" s="1" t="s">
        <v>9027</v>
      </c>
      <c r="O879" s="1"/>
      <c r="P879" s="1" t="s">
        <v>1766</v>
      </c>
      <c r="Q879" s="1" t="s">
        <v>15957</v>
      </c>
      <c r="R879" s="1" t="s">
        <v>15958</v>
      </c>
      <c r="S879" s="1">
        <v>9000616104</v>
      </c>
      <c r="T879" s="1" t="s">
        <v>496</v>
      </c>
      <c r="U879" s="1" t="s">
        <v>15959</v>
      </c>
      <c r="V879" s="1">
        <v>9700006104</v>
      </c>
      <c r="W879" s="1" t="s">
        <v>651</v>
      </c>
      <c r="X879" s="1" t="s">
        <v>15960</v>
      </c>
      <c r="Y879" s="1" t="s">
        <v>608</v>
      </c>
      <c r="Z879" s="1" t="s">
        <v>609</v>
      </c>
      <c r="AA879" s="1" t="s">
        <v>15960</v>
      </c>
      <c r="AB879" s="1" t="s">
        <v>608</v>
      </c>
      <c r="AC879" s="1" t="s">
        <v>609</v>
      </c>
      <c r="AD879" s="1">
        <v>8.84</v>
      </c>
      <c r="AE879" s="1" t="s">
        <v>93</v>
      </c>
      <c r="AF879" s="1" t="s">
        <v>15961</v>
      </c>
      <c r="AG879" s="1" t="s">
        <v>307</v>
      </c>
      <c r="AH879" s="1" t="s">
        <v>101</v>
      </c>
      <c r="AI879" s="1" t="s">
        <v>409</v>
      </c>
      <c r="AJ879" s="1">
        <v>90.6</v>
      </c>
      <c r="AK879" s="1"/>
      <c r="AL879" s="1" t="s">
        <v>15962</v>
      </c>
      <c r="AM879" s="1" t="s">
        <v>613</v>
      </c>
      <c r="AN879" s="1" t="s">
        <v>433</v>
      </c>
      <c r="AO879" s="1" t="s">
        <v>1712</v>
      </c>
      <c r="AP879" s="1">
        <v>93.8</v>
      </c>
      <c r="AQ879" s="1"/>
      <c r="AR879" s="1"/>
      <c r="AS879" s="1"/>
      <c r="AT879" s="1"/>
      <c r="AU879" s="1"/>
      <c r="AV879" s="1"/>
      <c r="AW879" s="1"/>
      <c r="AX879" s="1" t="s">
        <v>7700</v>
      </c>
      <c r="AY879" s="1" t="s">
        <v>15963</v>
      </c>
      <c r="AZ879" s="1" t="s">
        <v>1051</v>
      </c>
      <c r="BA879" s="1" t="s">
        <v>413</v>
      </c>
      <c r="BB879" s="1">
        <v>83.3</v>
      </c>
      <c r="BC879" s="1"/>
      <c r="BD879" s="1"/>
      <c r="BE879" s="1"/>
      <c r="BF879" s="1"/>
      <c r="BG879" s="1"/>
      <c r="BH879" s="1"/>
      <c r="BI879" s="1"/>
      <c r="BJ879" s="1" t="s">
        <v>15964</v>
      </c>
      <c r="BK879" s="1"/>
      <c r="BL879" s="1"/>
      <c r="BM879" s="1" t="s">
        <v>15965</v>
      </c>
      <c r="BN879" s="1">
        <v>42</v>
      </c>
      <c r="BO879" s="1" t="s">
        <v>15966</v>
      </c>
      <c r="BP879" s="1" t="str">
        <f>HYPERLINK("https://nconnect.nicmar.ac.in/storage/profile/ProfilePhoto_P25702095_238745.jpg","Download")</f>
        <v>0</v>
      </c>
      <c r="BQ879" s="3"/>
      <c r="BR879" s="3"/>
    </row>
    <row r="880" spans="1:70">
      <c r="A880" s="1" t="s">
        <v>441</v>
      </c>
      <c r="B880" s="1" t="s">
        <v>1269</v>
      </c>
      <c r="C880" s="1" t="s">
        <v>15967</v>
      </c>
      <c r="D880" s="1" t="s">
        <v>15968</v>
      </c>
      <c r="E880" s="1" t="s">
        <v>1632</v>
      </c>
      <c r="F880" s="1" t="s">
        <v>15969</v>
      </c>
      <c r="G880" s="1" t="s">
        <v>15970</v>
      </c>
      <c r="H880" s="1" t="s">
        <v>15971</v>
      </c>
      <c r="I880" s="1" t="s">
        <v>15972</v>
      </c>
      <c r="J880" s="1">
        <v>7248974990</v>
      </c>
      <c r="K880" s="1" t="s">
        <v>148</v>
      </c>
      <c r="L880" s="1" t="s">
        <v>5130</v>
      </c>
      <c r="M880" s="1" t="s">
        <v>81</v>
      </c>
      <c r="N880" s="1" t="s">
        <v>2008</v>
      </c>
      <c r="O880" s="1" t="s">
        <v>15973</v>
      </c>
      <c r="P880" s="1" t="s">
        <v>1298</v>
      </c>
      <c r="Q880" s="1" t="s">
        <v>15974</v>
      </c>
      <c r="R880" s="1" t="s">
        <v>15975</v>
      </c>
      <c r="S880" s="1">
        <v>9673701506</v>
      </c>
      <c r="T880" s="1" t="s">
        <v>15976</v>
      </c>
      <c r="U880" s="1" t="s">
        <v>15977</v>
      </c>
      <c r="V880" s="1">
        <v>9823789122</v>
      </c>
      <c r="W880" s="1" t="s">
        <v>651</v>
      </c>
      <c r="X880" s="1" t="s">
        <v>15978</v>
      </c>
      <c r="Y880" s="1" t="s">
        <v>405</v>
      </c>
      <c r="Z880" s="1" t="s">
        <v>92</v>
      </c>
      <c r="AA880" s="1" t="s">
        <v>15978</v>
      </c>
      <c r="AB880" s="1" t="s">
        <v>405</v>
      </c>
      <c r="AC880" s="1" t="s">
        <v>92</v>
      </c>
      <c r="AD880" s="1">
        <v>8.63</v>
      </c>
      <c r="AE880" s="1" t="s">
        <v>93</v>
      </c>
      <c r="AF880" s="1" t="s">
        <v>15979</v>
      </c>
      <c r="AG880" s="1" t="s">
        <v>15980</v>
      </c>
      <c r="AH880" s="1" t="s">
        <v>733</v>
      </c>
      <c r="AI880" s="1" t="s">
        <v>195</v>
      </c>
      <c r="AJ880" s="1">
        <v>68.3</v>
      </c>
      <c r="AK880" s="1">
        <v>0</v>
      </c>
      <c r="AL880" s="1" t="s">
        <v>15981</v>
      </c>
      <c r="AM880" s="1" t="s">
        <v>6206</v>
      </c>
      <c r="AN880" s="1" t="s">
        <v>678</v>
      </c>
      <c r="AO880" s="1" t="s">
        <v>173</v>
      </c>
      <c r="AP880" s="1">
        <v>58.6</v>
      </c>
      <c r="AQ880" s="1">
        <v>0</v>
      </c>
      <c r="AR880" s="1"/>
      <c r="AS880" s="1"/>
      <c r="AT880" s="1"/>
      <c r="AU880" s="1"/>
      <c r="AV880" s="1"/>
      <c r="AW880" s="1"/>
      <c r="AX880" s="1" t="s">
        <v>15982</v>
      </c>
      <c r="AY880" s="1" t="s">
        <v>15983</v>
      </c>
      <c r="AZ880" s="1" t="s">
        <v>681</v>
      </c>
      <c r="BA880" s="1" t="s">
        <v>1584</v>
      </c>
      <c r="BB880" s="1">
        <v>73</v>
      </c>
      <c r="BC880" s="1">
        <v>7.8</v>
      </c>
      <c r="BD880" s="1"/>
      <c r="BE880" s="1"/>
      <c r="BF880" s="1"/>
      <c r="BG880" s="1"/>
      <c r="BH880" s="1"/>
      <c r="BI880" s="1"/>
      <c r="BJ880" s="1" t="s">
        <v>15984</v>
      </c>
      <c r="BK880" s="1"/>
      <c r="BL880" s="1"/>
      <c r="BM880" s="1" t="s">
        <v>15985</v>
      </c>
      <c r="BN880" s="1">
        <v>433</v>
      </c>
      <c r="BO880" s="1" t="s">
        <v>15986</v>
      </c>
      <c r="BP880" s="1" t="str">
        <f>HYPERLINK("https://nconnect.nicmar.ac.in/storage/profile/ProfilePhoto_P25702096_761253.jpg","Download")</f>
        <v>0</v>
      </c>
      <c r="BQ880" s="3"/>
      <c r="BR880" s="3"/>
    </row>
    <row r="881" spans="1:70">
      <c r="A881" s="1" t="s">
        <v>441</v>
      </c>
      <c r="B881" s="1" t="s">
        <v>1269</v>
      </c>
      <c r="C881" s="1" t="s">
        <v>15987</v>
      </c>
      <c r="D881" s="1" t="s">
        <v>2023</v>
      </c>
      <c r="E881" s="1" t="s">
        <v>15988</v>
      </c>
      <c r="F881" s="1" t="s">
        <v>13940</v>
      </c>
      <c r="G881" s="1" t="s">
        <v>15989</v>
      </c>
      <c r="H881" s="1" t="s">
        <v>15990</v>
      </c>
      <c r="I881" s="1" t="s">
        <v>15991</v>
      </c>
      <c r="J881" s="1">
        <v>7776097575</v>
      </c>
      <c r="K881" s="1" t="s">
        <v>79</v>
      </c>
      <c r="L881" s="1" t="s">
        <v>15992</v>
      </c>
      <c r="M881" s="1" t="s">
        <v>81</v>
      </c>
      <c r="N881" s="1" t="s">
        <v>15993</v>
      </c>
      <c r="O881" s="1" t="s">
        <v>15994</v>
      </c>
      <c r="P881" s="1" t="s">
        <v>1323</v>
      </c>
      <c r="Q881" s="1" t="s">
        <v>15995</v>
      </c>
      <c r="R881" s="1" t="s">
        <v>15996</v>
      </c>
      <c r="S881" s="1">
        <v>9420762536</v>
      </c>
      <c r="T881" s="1" t="s">
        <v>93</v>
      </c>
      <c r="U881" s="1" t="s">
        <v>15997</v>
      </c>
      <c r="V881" s="1">
        <v>8010625138</v>
      </c>
      <c r="W881" s="1" t="s">
        <v>651</v>
      </c>
      <c r="X881" s="1" t="s">
        <v>15998</v>
      </c>
      <c r="Y881" s="1" t="s">
        <v>158</v>
      </c>
      <c r="Z881" s="1" t="s">
        <v>92</v>
      </c>
      <c r="AA881" s="1" t="s">
        <v>15998</v>
      </c>
      <c r="AB881" s="1" t="s">
        <v>158</v>
      </c>
      <c r="AC881" s="1" t="s">
        <v>92</v>
      </c>
      <c r="AD881" s="1">
        <v>7.95</v>
      </c>
      <c r="AE881" s="1" t="s">
        <v>93</v>
      </c>
      <c r="AF881" s="1" t="s">
        <v>15999</v>
      </c>
      <c r="AG881" s="1" t="s">
        <v>3862</v>
      </c>
      <c r="AH881" s="1" t="s">
        <v>1240</v>
      </c>
      <c r="AI881" s="1" t="s">
        <v>332</v>
      </c>
      <c r="AJ881" s="1">
        <v>90.55</v>
      </c>
      <c r="AK881" s="1"/>
      <c r="AL881" s="1" t="s">
        <v>16000</v>
      </c>
      <c r="AM881" s="1" t="s">
        <v>3862</v>
      </c>
      <c r="AN881" s="1" t="s">
        <v>128</v>
      </c>
      <c r="AO881" s="1" t="s">
        <v>129</v>
      </c>
      <c r="AP881" s="1">
        <v>59</v>
      </c>
      <c r="AQ881" s="1"/>
      <c r="AR881" s="1"/>
      <c r="AS881" s="1"/>
      <c r="AT881" s="1"/>
      <c r="AU881" s="1"/>
      <c r="AV881" s="1"/>
      <c r="AW881" s="1"/>
      <c r="AX881" s="1" t="s">
        <v>4506</v>
      </c>
      <c r="AY881" s="1" t="s">
        <v>16001</v>
      </c>
      <c r="AZ881" s="1" t="s">
        <v>998</v>
      </c>
      <c r="BA881" s="1" t="s">
        <v>3000</v>
      </c>
      <c r="BB881" s="1">
        <v>55.06</v>
      </c>
      <c r="BC881" s="1"/>
      <c r="BD881" s="1"/>
      <c r="BE881" s="1"/>
      <c r="BF881" s="1"/>
      <c r="BG881" s="1"/>
      <c r="BH881" s="1"/>
      <c r="BI881" s="1"/>
      <c r="BJ881" s="1" t="s">
        <v>364</v>
      </c>
      <c r="BK881" s="1"/>
      <c r="BL881" s="1"/>
      <c r="BM881" s="1" t="s">
        <v>16002</v>
      </c>
      <c r="BN881" s="1">
        <v>8</v>
      </c>
      <c r="BO881" s="1" t="s">
        <v>16003</v>
      </c>
      <c r="BP881" s="1" t="str">
        <f>HYPERLINK("https://nconnect.nicmar.ac.in/storage/profile/ProfilePhoto_P25702097_962518.jpg","Download")</f>
        <v>0</v>
      </c>
      <c r="BQ881" s="3"/>
      <c r="BR881" s="3"/>
    </row>
    <row r="882" spans="1:70">
      <c r="A882" s="1" t="s">
        <v>441</v>
      </c>
      <c r="B882" s="1" t="s">
        <v>1269</v>
      </c>
      <c r="C882" s="1" t="s">
        <v>16004</v>
      </c>
      <c r="D882" s="1" t="s">
        <v>13163</v>
      </c>
      <c r="E882" s="1"/>
      <c r="F882" s="1" t="s">
        <v>1226</v>
      </c>
      <c r="G882" s="1" t="s">
        <v>16005</v>
      </c>
      <c r="H882" s="1" t="s">
        <v>16006</v>
      </c>
      <c r="I882" s="1" t="s">
        <v>16007</v>
      </c>
      <c r="J882" s="1">
        <v>8727800095</v>
      </c>
      <c r="K882" s="1" t="s">
        <v>79</v>
      </c>
      <c r="L882" s="1" t="s">
        <v>7111</v>
      </c>
      <c r="M882" s="1" t="s">
        <v>81</v>
      </c>
      <c r="N882" s="1" t="s">
        <v>16008</v>
      </c>
      <c r="O882" s="1"/>
      <c r="P882" s="1"/>
      <c r="Q882" s="1" t="s">
        <v>16009</v>
      </c>
      <c r="R882" s="1" t="s">
        <v>16010</v>
      </c>
      <c r="S882" s="1">
        <v>8219084282</v>
      </c>
      <c r="T882" s="1" t="s">
        <v>842</v>
      </c>
      <c r="U882" s="1" t="s">
        <v>16011</v>
      </c>
      <c r="V882" s="1">
        <v>8727800095</v>
      </c>
      <c r="W882" s="1" t="s">
        <v>122</v>
      </c>
      <c r="X882" s="1" t="s">
        <v>16012</v>
      </c>
      <c r="Y882" s="1" t="s">
        <v>16013</v>
      </c>
      <c r="Z882" s="1" t="s">
        <v>3426</v>
      </c>
      <c r="AA882" s="1" t="s">
        <v>16012</v>
      </c>
      <c r="AB882" s="1" t="s">
        <v>16013</v>
      </c>
      <c r="AC882" s="1" t="s">
        <v>3426</v>
      </c>
      <c r="AD882" s="1">
        <v>9.32</v>
      </c>
      <c r="AE882" s="1" t="s">
        <v>93</v>
      </c>
      <c r="AF882" s="1" t="s">
        <v>16014</v>
      </c>
      <c r="AG882" s="1" t="s">
        <v>307</v>
      </c>
      <c r="AH882" s="1" t="s">
        <v>457</v>
      </c>
      <c r="AI882" s="1" t="s">
        <v>308</v>
      </c>
      <c r="AJ882" s="1">
        <v>89.6</v>
      </c>
      <c r="AK882" s="1"/>
      <c r="AL882" s="1" t="s">
        <v>16014</v>
      </c>
      <c r="AM882" s="1" t="s">
        <v>307</v>
      </c>
      <c r="AN882" s="1" t="s">
        <v>360</v>
      </c>
      <c r="AO882" s="1" t="s">
        <v>506</v>
      </c>
      <c r="AP882" s="1">
        <v>95</v>
      </c>
      <c r="AQ882" s="1"/>
      <c r="AR882" s="1"/>
      <c r="AS882" s="1"/>
      <c r="AT882" s="1"/>
      <c r="AU882" s="1"/>
      <c r="AV882" s="1"/>
      <c r="AW882" s="1"/>
      <c r="AX882" s="1" t="s">
        <v>16015</v>
      </c>
      <c r="AY882" s="1" t="s">
        <v>16016</v>
      </c>
      <c r="AZ882" s="1" t="s">
        <v>1051</v>
      </c>
      <c r="BA882" s="1" t="s">
        <v>1584</v>
      </c>
      <c r="BB882" s="1">
        <v>86.4</v>
      </c>
      <c r="BC882" s="1">
        <v>8.64</v>
      </c>
      <c r="BD882" s="1"/>
      <c r="BE882" s="1"/>
      <c r="BF882" s="1"/>
      <c r="BG882" s="1"/>
      <c r="BH882" s="1"/>
      <c r="BI882" s="1"/>
      <c r="BJ882" s="1" t="s">
        <v>16017</v>
      </c>
      <c r="BK882" s="1"/>
      <c r="BL882" s="1"/>
      <c r="BM882" s="1" t="s">
        <v>16018</v>
      </c>
      <c r="BN882" s="1">
        <v>30</v>
      </c>
      <c r="BO882" s="1" t="s">
        <v>16019</v>
      </c>
      <c r="BP882" s="1" t="str">
        <f>HYPERLINK("https://nconnect.nicmar.ac.in/storage/profile/ProfilePhoto_P25702098_927635.jpg","Download")</f>
        <v>0</v>
      </c>
      <c r="BQ882" s="3"/>
      <c r="BR882" s="3"/>
    </row>
    <row r="883" spans="1:70">
      <c r="A883" s="1" t="s">
        <v>441</v>
      </c>
      <c r="B883" s="1" t="s">
        <v>1269</v>
      </c>
      <c r="C883" s="1" t="s">
        <v>16020</v>
      </c>
      <c r="D883" s="1" t="s">
        <v>16021</v>
      </c>
      <c r="E883" s="1" t="s">
        <v>392</v>
      </c>
      <c r="F883" s="1" t="s">
        <v>6933</v>
      </c>
      <c r="G883" s="1" t="s">
        <v>16022</v>
      </c>
      <c r="H883" s="1" t="s">
        <v>16023</v>
      </c>
      <c r="I883" s="1" t="s">
        <v>16024</v>
      </c>
      <c r="J883" s="1">
        <v>8888569767</v>
      </c>
      <c r="K883" s="1" t="s">
        <v>79</v>
      </c>
      <c r="L883" s="1" t="s">
        <v>16025</v>
      </c>
      <c r="M883" s="1" t="s">
        <v>81</v>
      </c>
      <c r="N883" s="1" t="s">
        <v>3082</v>
      </c>
      <c r="O883" s="1" t="s">
        <v>16026</v>
      </c>
      <c r="P883" s="1" t="s">
        <v>1298</v>
      </c>
      <c r="Q883" s="1" t="s">
        <v>16027</v>
      </c>
      <c r="R883" s="1" t="s">
        <v>16028</v>
      </c>
      <c r="S883" s="1">
        <v>9422232781</v>
      </c>
      <c r="T883" s="1" t="s">
        <v>16029</v>
      </c>
      <c r="U883" s="1" t="s">
        <v>16030</v>
      </c>
      <c r="V883" s="1">
        <v>9422737392</v>
      </c>
      <c r="W883" s="1" t="s">
        <v>16031</v>
      </c>
      <c r="X883" s="1" t="s">
        <v>16032</v>
      </c>
      <c r="Y883" s="1" t="s">
        <v>191</v>
      </c>
      <c r="Z883" s="1" t="s">
        <v>92</v>
      </c>
      <c r="AA883" s="1" t="s">
        <v>16032</v>
      </c>
      <c r="AB883" s="1" t="s">
        <v>191</v>
      </c>
      <c r="AC883" s="1" t="s">
        <v>92</v>
      </c>
      <c r="AD883" s="1" t="s">
        <v>93</v>
      </c>
      <c r="AE883" s="1" t="s">
        <v>93</v>
      </c>
      <c r="AF883" s="1" t="s">
        <v>16033</v>
      </c>
      <c r="AG883" s="1" t="s">
        <v>16034</v>
      </c>
      <c r="AH883" s="1" t="s">
        <v>161</v>
      </c>
      <c r="AI883" s="1" t="s">
        <v>456</v>
      </c>
      <c r="AJ883" s="1">
        <v>58.2</v>
      </c>
      <c r="AK883" s="1">
        <v>0</v>
      </c>
      <c r="AL883" s="1" t="s">
        <v>16035</v>
      </c>
      <c r="AM883" s="1" t="s">
        <v>16036</v>
      </c>
      <c r="AN883" s="1" t="s">
        <v>169</v>
      </c>
      <c r="AO883" s="1" t="s">
        <v>198</v>
      </c>
      <c r="AP883" s="1">
        <v>57.08</v>
      </c>
      <c r="AQ883" s="1">
        <v>0</v>
      </c>
      <c r="AR883" s="1" t="s">
        <v>11390</v>
      </c>
      <c r="AS883" s="1" t="s">
        <v>16037</v>
      </c>
      <c r="AT883" s="1" t="s">
        <v>409</v>
      </c>
      <c r="AU883" s="1" t="s">
        <v>1712</v>
      </c>
      <c r="AV883" s="1">
        <v>73.32</v>
      </c>
      <c r="AW883" s="1">
        <v>0</v>
      </c>
      <c r="AX883" s="1" t="s">
        <v>361</v>
      </c>
      <c r="AY883" s="1" t="s">
        <v>16038</v>
      </c>
      <c r="AZ883" s="1" t="s">
        <v>436</v>
      </c>
      <c r="BA883" s="1" t="s">
        <v>8434</v>
      </c>
      <c r="BB883" s="1">
        <v>59.96</v>
      </c>
      <c r="BC883" s="1">
        <v>6.64</v>
      </c>
      <c r="BD883" s="1"/>
      <c r="BE883" s="1"/>
      <c r="BF883" s="1"/>
      <c r="BG883" s="1"/>
      <c r="BH883" s="1"/>
      <c r="BI883" s="1"/>
      <c r="BJ883" s="1" t="s">
        <v>1383</v>
      </c>
      <c r="BK883" s="1"/>
      <c r="BL883" s="1"/>
      <c r="BM883" s="1" t="s">
        <v>16039</v>
      </c>
      <c r="BN883" s="1">
        <v>12</v>
      </c>
      <c r="BO883" s="1"/>
      <c r="BP883" s="1" t="str">
        <f>HYPERLINK("https://nconnect.nicmar.ac.in/storage/profile/ProfilePhoto_P25702099_245678.jpg","Download")</f>
        <v>0</v>
      </c>
      <c r="BQ883" s="3"/>
      <c r="BR883" s="3"/>
    </row>
    <row r="884" spans="1:70">
      <c r="A884" s="1" t="s">
        <v>441</v>
      </c>
      <c r="B884" s="1" t="s">
        <v>1269</v>
      </c>
      <c r="C884" s="1" t="s">
        <v>16040</v>
      </c>
      <c r="D884" s="1" t="s">
        <v>12776</v>
      </c>
      <c r="E884" s="1" t="s">
        <v>16041</v>
      </c>
      <c r="F884" s="1" t="s">
        <v>7469</v>
      </c>
      <c r="G884" s="1" t="s">
        <v>16042</v>
      </c>
      <c r="H884" s="1" t="s">
        <v>16043</v>
      </c>
      <c r="I884" s="1" t="s">
        <v>16044</v>
      </c>
      <c r="J884" s="1">
        <v>8421641749</v>
      </c>
      <c r="K884" s="1" t="s">
        <v>148</v>
      </c>
      <c r="L884" s="1" t="s">
        <v>16045</v>
      </c>
      <c r="M884" s="1" t="s">
        <v>81</v>
      </c>
      <c r="N884" s="1" t="s">
        <v>7321</v>
      </c>
      <c r="O884" s="1" t="s">
        <v>16046</v>
      </c>
      <c r="P884" s="1" t="s">
        <v>1323</v>
      </c>
      <c r="Q884" s="1" t="s">
        <v>16047</v>
      </c>
      <c r="R884" s="1" t="s">
        <v>16048</v>
      </c>
      <c r="S884" s="1">
        <v>9423204032</v>
      </c>
      <c r="T884" s="1" t="s">
        <v>16049</v>
      </c>
      <c r="U884" s="1" t="s">
        <v>4142</v>
      </c>
      <c r="V884" s="1">
        <v>9422979261</v>
      </c>
      <c r="W884" s="1" t="s">
        <v>16049</v>
      </c>
      <c r="X884" s="1" t="s">
        <v>16050</v>
      </c>
      <c r="Y884" s="1" t="s">
        <v>304</v>
      </c>
      <c r="Z884" s="1" t="s">
        <v>92</v>
      </c>
      <c r="AA884" s="1" t="s">
        <v>16050</v>
      </c>
      <c r="AB884" s="1" t="s">
        <v>304</v>
      </c>
      <c r="AC884" s="1" t="s">
        <v>92</v>
      </c>
      <c r="AD884" s="1">
        <v>8.69</v>
      </c>
      <c r="AE884" s="1" t="s">
        <v>93</v>
      </c>
      <c r="AF884" s="1" t="s">
        <v>16051</v>
      </c>
      <c r="AG884" s="1" t="s">
        <v>3862</v>
      </c>
      <c r="AH884" s="1" t="s">
        <v>161</v>
      </c>
      <c r="AI884" s="1" t="s">
        <v>162</v>
      </c>
      <c r="AJ884" s="1">
        <v>91.2</v>
      </c>
      <c r="AK884" s="1"/>
      <c r="AL884" s="1" t="s">
        <v>16052</v>
      </c>
      <c r="AM884" s="1" t="s">
        <v>3862</v>
      </c>
      <c r="AN884" s="1" t="s">
        <v>165</v>
      </c>
      <c r="AO884" s="1" t="s">
        <v>166</v>
      </c>
      <c r="AP884" s="1">
        <v>68.92</v>
      </c>
      <c r="AQ884" s="1"/>
      <c r="AR884" s="1"/>
      <c r="AS884" s="1"/>
      <c r="AT884" s="1"/>
      <c r="AU884" s="1"/>
      <c r="AV884" s="1"/>
      <c r="AW884" s="1"/>
      <c r="AX884" s="1" t="s">
        <v>3070</v>
      </c>
      <c r="AY884" s="1" t="s">
        <v>16053</v>
      </c>
      <c r="AZ884" s="1" t="s">
        <v>310</v>
      </c>
      <c r="BA884" s="1" t="s">
        <v>174</v>
      </c>
      <c r="BB884" s="1">
        <v>81.6</v>
      </c>
      <c r="BC884" s="1">
        <v>8.91</v>
      </c>
      <c r="BD884" s="1"/>
      <c r="BE884" s="1"/>
      <c r="BF884" s="1"/>
      <c r="BG884" s="1"/>
      <c r="BH884" s="1"/>
      <c r="BI884" s="1"/>
      <c r="BJ884" s="1" t="s">
        <v>16054</v>
      </c>
      <c r="BK884" s="1"/>
      <c r="BL884" s="1"/>
      <c r="BM884" s="1" t="s">
        <v>16055</v>
      </c>
      <c r="BN884" s="1">
        <v>70</v>
      </c>
      <c r="BO884" s="1" t="s">
        <v>16056</v>
      </c>
      <c r="BP884" s="1" t="str">
        <f>HYPERLINK("https://nconnect.nicmar.ac.in/storage/profile/ProfilePhoto_P25702101_631897.jpg","Download")</f>
        <v>0</v>
      </c>
      <c r="BQ884" s="3"/>
      <c r="BR884" s="3"/>
    </row>
    <row r="885" spans="1:70">
      <c r="A885" s="1" t="s">
        <v>441</v>
      </c>
      <c r="B885" s="1" t="s">
        <v>1269</v>
      </c>
      <c r="C885" s="1" t="s">
        <v>16057</v>
      </c>
      <c r="D885" s="1" t="s">
        <v>16058</v>
      </c>
      <c r="E885" s="1" t="s">
        <v>2485</v>
      </c>
      <c r="F885" s="1" t="s">
        <v>8508</v>
      </c>
      <c r="G885" s="1" t="s">
        <v>16059</v>
      </c>
      <c r="H885" s="1" t="s">
        <v>16060</v>
      </c>
      <c r="I885" s="1" t="s">
        <v>16061</v>
      </c>
      <c r="J885" s="1">
        <v>8779643880</v>
      </c>
      <c r="K885" s="1" t="s">
        <v>79</v>
      </c>
      <c r="L885" s="1" t="s">
        <v>16062</v>
      </c>
      <c r="M885" s="1" t="s">
        <v>81</v>
      </c>
      <c r="N885" s="1" t="s">
        <v>16063</v>
      </c>
      <c r="O885" s="1"/>
      <c r="P885" s="1" t="s">
        <v>1298</v>
      </c>
      <c r="Q885" s="1" t="s">
        <v>16064</v>
      </c>
      <c r="R885" s="1" t="s">
        <v>16065</v>
      </c>
      <c r="S885" s="1">
        <v>9820835616</v>
      </c>
      <c r="T885" s="1" t="s">
        <v>842</v>
      </c>
      <c r="U885" s="1" t="s">
        <v>16066</v>
      </c>
      <c r="V885" s="1">
        <v>9702057199</v>
      </c>
      <c r="W885" s="1" t="s">
        <v>156</v>
      </c>
      <c r="X885" s="1" t="s">
        <v>16067</v>
      </c>
      <c r="Y885" s="1"/>
      <c r="Z885" s="1" t="s">
        <v>92</v>
      </c>
      <c r="AA885" s="1" t="s">
        <v>16067</v>
      </c>
      <c r="AB885" s="1"/>
      <c r="AC885" s="1" t="s">
        <v>92</v>
      </c>
      <c r="AD885" s="1">
        <v>9.0</v>
      </c>
      <c r="AE885" s="1" t="s">
        <v>93</v>
      </c>
      <c r="AF885" s="1" t="s">
        <v>16068</v>
      </c>
      <c r="AG885" s="1" t="s">
        <v>16069</v>
      </c>
      <c r="AH885" s="1" t="s">
        <v>3922</v>
      </c>
      <c r="AI885" s="1" t="s">
        <v>165</v>
      </c>
      <c r="AJ885" s="1">
        <v>93.4</v>
      </c>
      <c r="AK885" s="1"/>
      <c r="AL885" s="1" t="s">
        <v>16070</v>
      </c>
      <c r="AM885" s="1" t="s">
        <v>16071</v>
      </c>
      <c r="AN885" s="1" t="s">
        <v>383</v>
      </c>
      <c r="AO885" s="1" t="s">
        <v>433</v>
      </c>
      <c r="AP885" s="1">
        <v>75.08</v>
      </c>
      <c r="AQ885" s="1"/>
      <c r="AR885" s="1"/>
      <c r="AS885" s="1"/>
      <c r="AT885" s="1"/>
      <c r="AU885" s="1"/>
      <c r="AV885" s="1"/>
      <c r="AW885" s="1"/>
      <c r="AX885" s="1" t="s">
        <v>1024</v>
      </c>
      <c r="AY885" s="1" t="s">
        <v>16072</v>
      </c>
      <c r="AZ885" s="1" t="s">
        <v>201</v>
      </c>
      <c r="BA885" s="1" t="s">
        <v>413</v>
      </c>
      <c r="BB885" s="1">
        <v>69.57</v>
      </c>
      <c r="BC885" s="1">
        <v>7.78</v>
      </c>
      <c r="BD885" s="1"/>
      <c r="BE885" s="1"/>
      <c r="BF885" s="1"/>
      <c r="BG885" s="1"/>
      <c r="BH885" s="1"/>
      <c r="BI885" s="1"/>
      <c r="BJ885" s="1" t="s">
        <v>16073</v>
      </c>
      <c r="BK885" s="1" t="s">
        <v>16074</v>
      </c>
      <c r="BL885" s="1" t="s">
        <v>1920</v>
      </c>
      <c r="BM885" s="1" t="s">
        <v>16075</v>
      </c>
      <c r="BN885" s="1">
        <v>8</v>
      </c>
      <c r="BO885" s="1" t="s">
        <v>16076</v>
      </c>
      <c r="BP885" s="1" t="str">
        <f>HYPERLINK("https://nconnect.nicmar.ac.in/storage/profile/ProfilePhoto_P25702102_857932.jpg","Download")</f>
        <v>0</v>
      </c>
      <c r="BQ885" s="3"/>
      <c r="BR885" s="3"/>
    </row>
    <row r="886" spans="1:70">
      <c r="A886" s="1" t="s">
        <v>441</v>
      </c>
      <c r="B886" s="1" t="s">
        <v>1269</v>
      </c>
      <c r="C886" s="1" t="s">
        <v>16077</v>
      </c>
      <c r="D886" s="1" t="s">
        <v>16078</v>
      </c>
      <c r="E886" s="1" t="s">
        <v>5109</v>
      </c>
      <c r="F886" s="1" t="s">
        <v>369</v>
      </c>
      <c r="G886" s="1" t="s">
        <v>16079</v>
      </c>
      <c r="H886" s="1" t="s">
        <v>16080</v>
      </c>
      <c r="I886" s="1" t="s">
        <v>16081</v>
      </c>
      <c r="J886" s="1">
        <v>8999404755</v>
      </c>
      <c r="K886" s="1" t="s">
        <v>79</v>
      </c>
      <c r="L886" s="1" t="s">
        <v>16082</v>
      </c>
      <c r="M886" s="1" t="s">
        <v>81</v>
      </c>
      <c r="N886" s="1" t="s">
        <v>16083</v>
      </c>
      <c r="O886" s="1" t="s">
        <v>16084</v>
      </c>
      <c r="P886" s="1" t="s">
        <v>1323</v>
      </c>
      <c r="Q886" s="1" t="s">
        <v>16085</v>
      </c>
      <c r="R886" s="1" t="s">
        <v>16086</v>
      </c>
      <c r="S886" s="1">
        <v>9423045614</v>
      </c>
      <c r="T886" s="1" t="s">
        <v>674</v>
      </c>
      <c r="U886" s="1" t="s">
        <v>16087</v>
      </c>
      <c r="V886" s="1">
        <v>7588934727</v>
      </c>
      <c r="W886" s="1" t="s">
        <v>674</v>
      </c>
      <c r="X886" s="1" t="s">
        <v>16088</v>
      </c>
      <c r="Y886" s="1" t="s">
        <v>3482</v>
      </c>
      <c r="Z886" s="1" t="s">
        <v>92</v>
      </c>
      <c r="AA886" s="1" t="s">
        <v>16088</v>
      </c>
      <c r="AB886" s="1" t="s">
        <v>3482</v>
      </c>
      <c r="AC886" s="1" t="s">
        <v>92</v>
      </c>
      <c r="AD886" s="1">
        <v>9.47</v>
      </c>
      <c r="AE886" s="1" t="s">
        <v>93</v>
      </c>
      <c r="AF886" s="1" t="s">
        <v>16089</v>
      </c>
      <c r="AG886" s="1" t="s">
        <v>16090</v>
      </c>
      <c r="AH886" s="1" t="s">
        <v>96</v>
      </c>
      <c r="AI886" s="1" t="s">
        <v>173</v>
      </c>
      <c r="AJ886" s="1">
        <v>87.6</v>
      </c>
      <c r="AK886" s="1"/>
      <c r="AL886" s="1" t="s">
        <v>16091</v>
      </c>
      <c r="AM886" s="1" t="s">
        <v>16092</v>
      </c>
      <c r="AN886" s="1" t="s">
        <v>920</v>
      </c>
      <c r="AO886" s="1" t="s">
        <v>2690</v>
      </c>
      <c r="AP886" s="1">
        <v>82.17</v>
      </c>
      <c r="AQ886" s="1"/>
      <c r="AR886" s="1"/>
      <c r="AS886" s="1"/>
      <c r="AT886" s="1"/>
      <c r="AU886" s="1"/>
      <c r="AV886" s="1"/>
      <c r="AW886" s="1"/>
      <c r="AX886" s="1" t="s">
        <v>16093</v>
      </c>
      <c r="AY886" s="1" t="s">
        <v>16094</v>
      </c>
      <c r="AZ886" s="1" t="s">
        <v>481</v>
      </c>
      <c r="BA886" s="1" t="s">
        <v>9347</v>
      </c>
      <c r="BB886" s="1">
        <v>71.76</v>
      </c>
      <c r="BC886" s="1">
        <v>3.11</v>
      </c>
      <c r="BD886" s="1"/>
      <c r="BE886" s="1"/>
      <c r="BF886" s="1"/>
      <c r="BG886" s="1"/>
      <c r="BH886" s="1"/>
      <c r="BI886" s="1"/>
      <c r="BJ886" s="1" t="s">
        <v>16095</v>
      </c>
      <c r="BK886" s="1"/>
      <c r="BL886" s="1"/>
      <c r="BM886" s="1" t="s">
        <v>16096</v>
      </c>
      <c r="BN886" s="1">
        <v>16</v>
      </c>
      <c r="BO886" s="1" t="s">
        <v>16097</v>
      </c>
      <c r="BP886" s="1" t="str">
        <f>HYPERLINK("https://nconnect.nicmar.ac.in/storage/profile/ProfilePhoto_P25702103_359467.jpg","Download")</f>
        <v>0</v>
      </c>
      <c r="BQ886" s="3"/>
      <c r="BR886" s="3"/>
    </row>
    <row r="887" spans="1:70">
      <c r="A887" s="1" t="s">
        <v>441</v>
      </c>
      <c r="B887" s="1" t="s">
        <v>1269</v>
      </c>
      <c r="C887" s="1" t="s">
        <v>16098</v>
      </c>
      <c r="D887" s="1" t="s">
        <v>16099</v>
      </c>
      <c r="E887" s="1" t="s">
        <v>4512</v>
      </c>
      <c r="F887" s="1" t="s">
        <v>16100</v>
      </c>
      <c r="G887" s="1" t="s">
        <v>16101</v>
      </c>
      <c r="H887" s="1" t="s">
        <v>16102</v>
      </c>
      <c r="I887" s="1" t="s">
        <v>16103</v>
      </c>
      <c r="J887" s="1">
        <v>8762107107</v>
      </c>
      <c r="K887" s="1" t="s">
        <v>79</v>
      </c>
      <c r="L887" s="1" t="s">
        <v>16104</v>
      </c>
      <c r="M887" s="1" t="s">
        <v>81</v>
      </c>
      <c r="N887" s="1" t="s">
        <v>8943</v>
      </c>
      <c r="O887" s="1" t="s">
        <v>16105</v>
      </c>
      <c r="P887" s="1" t="s">
        <v>1298</v>
      </c>
      <c r="Q887" s="1" t="s">
        <v>16106</v>
      </c>
      <c r="R887" s="1" t="s">
        <v>4512</v>
      </c>
      <c r="S887" s="1">
        <v>9448236222</v>
      </c>
      <c r="T887" s="1" t="s">
        <v>16107</v>
      </c>
      <c r="U887" s="1" t="s">
        <v>353</v>
      </c>
      <c r="V887" s="1">
        <v>9480234555</v>
      </c>
      <c r="W887" s="1" t="s">
        <v>16107</v>
      </c>
      <c r="X887" s="1" t="s">
        <v>16108</v>
      </c>
      <c r="Y887" s="1" t="s">
        <v>191</v>
      </c>
      <c r="Z887" s="1" t="s">
        <v>92</v>
      </c>
      <c r="AA887" s="1" t="s">
        <v>16109</v>
      </c>
      <c r="AB887" s="1" t="s">
        <v>4523</v>
      </c>
      <c r="AC887" s="1" t="s">
        <v>1084</v>
      </c>
      <c r="AD887" s="1">
        <v>8.98</v>
      </c>
      <c r="AE887" s="1" t="s">
        <v>93</v>
      </c>
      <c r="AF887" s="1" t="s">
        <v>16110</v>
      </c>
      <c r="AG887" s="1" t="s">
        <v>16111</v>
      </c>
      <c r="AH887" s="1" t="s">
        <v>162</v>
      </c>
      <c r="AI887" s="1" t="s">
        <v>165</v>
      </c>
      <c r="AJ887" s="1">
        <v>81.7</v>
      </c>
      <c r="AK887" s="1">
        <v>8.6</v>
      </c>
      <c r="AL887" s="1" t="s">
        <v>16112</v>
      </c>
      <c r="AM887" s="1" t="s">
        <v>16113</v>
      </c>
      <c r="AN887" s="1" t="s">
        <v>636</v>
      </c>
      <c r="AO887" s="1" t="s">
        <v>201</v>
      </c>
      <c r="AP887" s="1">
        <v>59.66</v>
      </c>
      <c r="AQ887" s="1">
        <v>0</v>
      </c>
      <c r="AR887" s="1"/>
      <c r="AS887" s="1"/>
      <c r="AT887" s="1"/>
      <c r="AU887" s="1"/>
      <c r="AV887" s="1"/>
      <c r="AW887" s="1"/>
      <c r="AX887" s="1" t="s">
        <v>7383</v>
      </c>
      <c r="AY887" s="1" t="s">
        <v>16114</v>
      </c>
      <c r="AZ887" s="1" t="s">
        <v>201</v>
      </c>
      <c r="BA887" s="1" t="s">
        <v>1134</v>
      </c>
      <c r="BB887" s="1">
        <v>64.17</v>
      </c>
      <c r="BC887" s="1">
        <v>7.22</v>
      </c>
      <c r="BD887" s="1"/>
      <c r="BE887" s="1"/>
      <c r="BF887" s="1"/>
      <c r="BG887" s="1"/>
      <c r="BH887" s="1"/>
      <c r="BI887" s="1"/>
      <c r="BJ887" s="1" t="s">
        <v>16115</v>
      </c>
      <c r="BK887" s="1"/>
      <c r="BL887" s="1"/>
      <c r="BM887" s="1" t="s">
        <v>16116</v>
      </c>
      <c r="BN887" s="1">
        <v>12</v>
      </c>
      <c r="BO887" s="1" t="s">
        <v>15198</v>
      </c>
      <c r="BP887" s="1" t="str">
        <f>HYPERLINK("https://nconnect.nicmar.ac.in/storage/profile/ProfilePhoto_P25702104_392471.jpg","Download")</f>
        <v>0</v>
      </c>
      <c r="BQ887" s="3"/>
      <c r="BR887" s="3"/>
    </row>
    <row r="888" spans="1:70">
      <c r="A888" s="1" t="s">
        <v>441</v>
      </c>
      <c r="B888" s="1" t="s">
        <v>1269</v>
      </c>
      <c r="C888" s="1" t="s">
        <v>16117</v>
      </c>
      <c r="D888" s="1" t="s">
        <v>16118</v>
      </c>
      <c r="E888" s="1" t="s">
        <v>3868</v>
      </c>
      <c r="F888" s="1" t="s">
        <v>236</v>
      </c>
      <c r="G888" s="1" t="s">
        <v>16119</v>
      </c>
      <c r="H888" s="1" t="s">
        <v>16120</v>
      </c>
      <c r="I888" s="1" t="s">
        <v>16121</v>
      </c>
      <c r="J888" s="1">
        <v>7517474923</v>
      </c>
      <c r="K888" s="1" t="s">
        <v>148</v>
      </c>
      <c r="L888" s="1" t="s">
        <v>7506</v>
      </c>
      <c r="M888" s="1" t="s">
        <v>81</v>
      </c>
      <c r="N888" s="1" t="s">
        <v>1418</v>
      </c>
      <c r="O888" s="1"/>
      <c r="P888" s="1" t="s">
        <v>1462</v>
      </c>
      <c r="Q888" s="1" t="s">
        <v>16122</v>
      </c>
      <c r="R888" s="1" t="s">
        <v>16123</v>
      </c>
      <c r="S888" s="1">
        <v>9822947954</v>
      </c>
      <c r="T888" s="1" t="s">
        <v>1554</v>
      </c>
      <c r="U888" s="1" t="s">
        <v>16124</v>
      </c>
      <c r="V888" s="1">
        <v>8308888401</v>
      </c>
      <c r="W888" s="1" t="s">
        <v>763</v>
      </c>
      <c r="X888" s="1" t="s">
        <v>16125</v>
      </c>
      <c r="Y888" s="1" t="s">
        <v>246</v>
      </c>
      <c r="Z888" s="1" t="s">
        <v>92</v>
      </c>
      <c r="AA888" s="1" t="s">
        <v>16125</v>
      </c>
      <c r="AB888" s="1" t="s">
        <v>246</v>
      </c>
      <c r="AC888" s="1" t="s">
        <v>92</v>
      </c>
      <c r="AD888" s="1">
        <v>7.55</v>
      </c>
      <c r="AE888" s="1" t="s">
        <v>93</v>
      </c>
      <c r="AF888" s="1" t="s">
        <v>16126</v>
      </c>
      <c r="AG888" s="1" t="s">
        <v>16127</v>
      </c>
      <c r="AH888" s="1" t="s">
        <v>1065</v>
      </c>
      <c r="AI888" s="1" t="s">
        <v>308</v>
      </c>
      <c r="AJ888" s="1">
        <v>59.6</v>
      </c>
      <c r="AK888" s="1"/>
      <c r="AL888" s="1"/>
      <c r="AM888" s="1"/>
      <c r="AN888" s="1"/>
      <c r="AO888" s="1"/>
      <c r="AP888" s="1"/>
      <c r="AQ888" s="1"/>
      <c r="AR888" s="1" t="s">
        <v>98</v>
      </c>
      <c r="AS888" s="1" t="s">
        <v>16128</v>
      </c>
      <c r="AT888" s="1" t="s">
        <v>201</v>
      </c>
      <c r="AU888" s="1" t="s">
        <v>284</v>
      </c>
      <c r="AV888" s="1">
        <v>82.11</v>
      </c>
      <c r="AW888" s="1"/>
      <c r="AX888" s="1" t="s">
        <v>361</v>
      </c>
      <c r="AY888" s="1" t="s">
        <v>16129</v>
      </c>
      <c r="AZ888" s="1" t="s">
        <v>2693</v>
      </c>
      <c r="BA888" s="1" t="s">
        <v>1584</v>
      </c>
      <c r="BB888" s="1">
        <v>66.12</v>
      </c>
      <c r="BC888" s="1">
        <v>7.43</v>
      </c>
      <c r="BD888" s="1"/>
      <c r="BE888" s="1"/>
      <c r="BF888" s="1"/>
      <c r="BG888" s="1"/>
      <c r="BH888" s="1"/>
      <c r="BI888" s="1"/>
      <c r="BJ888" s="1" t="s">
        <v>16130</v>
      </c>
      <c r="BK888" s="1"/>
      <c r="BL888" s="1"/>
      <c r="BM888" s="1" t="s">
        <v>16131</v>
      </c>
      <c r="BN888" s="1">
        <v>12</v>
      </c>
      <c r="BO888" s="1"/>
      <c r="BP888" s="1" t="str">
        <f>HYPERLINK("https://nconnect.nicmar.ac.in/storage/profile/ProfilePhoto_P25702105_781956.jpg","Download")</f>
        <v>0</v>
      </c>
      <c r="BQ888" s="3"/>
      <c r="BR888" s="3"/>
    </row>
    <row r="889" spans="1:70">
      <c r="A889" s="1" t="s">
        <v>441</v>
      </c>
      <c r="B889" s="1" t="s">
        <v>1269</v>
      </c>
      <c r="C889" s="1" t="s">
        <v>16132</v>
      </c>
      <c r="D889" s="1" t="s">
        <v>16133</v>
      </c>
      <c r="E889" s="1" t="s">
        <v>443</v>
      </c>
      <c r="F889" s="1" t="s">
        <v>6900</v>
      </c>
      <c r="G889" s="1" t="s">
        <v>16134</v>
      </c>
      <c r="H889" s="1" t="s">
        <v>16135</v>
      </c>
      <c r="I889" s="1" t="s">
        <v>16136</v>
      </c>
      <c r="J889" s="1">
        <v>7770075006</v>
      </c>
      <c r="K889" s="1" t="s">
        <v>79</v>
      </c>
      <c r="L889" s="1" t="s">
        <v>10893</v>
      </c>
      <c r="M889" s="1" t="s">
        <v>81</v>
      </c>
      <c r="N889" s="1" t="s">
        <v>469</v>
      </c>
      <c r="O889" s="1"/>
      <c r="P889" s="1" t="s">
        <v>1298</v>
      </c>
      <c r="Q889" s="1" t="s">
        <v>16137</v>
      </c>
      <c r="R889" s="1" t="s">
        <v>16138</v>
      </c>
      <c r="S889" s="1">
        <v>9921475333</v>
      </c>
      <c r="T889" s="1" t="s">
        <v>16139</v>
      </c>
      <c r="U889" s="1" t="s">
        <v>16140</v>
      </c>
      <c r="V889" s="1">
        <v>7558438811</v>
      </c>
      <c r="W889" s="1" t="s">
        <v>16139</v>
      </c>
      <c r="X889" s="1" t="s">
        <v>16141</v>
      </c>
      <c r="Y889" s="1" t="s">
        <v>191</v>
      </c>
      <c r="Z889" s="1" t="s">
        <v>92</v>
      </c>
      <c r="AA889" s="1" t="s">
        <v>16142</v>
      </c>
      <c r="AB889" s="1" t="s">
        <v>158</v>
      </c>
      <c r="AC889" s="1" t="s">
        <v>92</v>
      </c>
      <c r="AD889" s="1">
        <v>7.56</v>
      </c>
      <c r="AE889" s="1" t="s">
        <v>93</v>
      </c>
      <c r="AF889" s="1" t="s">
        <v>16143</v>
      </c>
      <c r="AG889" s="1" t="s">
        <v>16144</v>
      </c>
      <c r="AH889" s="1" t="s">
        <v>162</v>
      </c>
      <c r="AI889" s="1" t="s">
        <v>281</v>
      </c>
      <c r="AJ889" s="1">
        <v>56.8</v>
      </c>
      <c r="AK889" s="1"/>
      <c r="AL889" s="1"/>
      <c r="AM889" s="1"/>
      <c r="AN889" s="1"/>
      <c r="AO889" s="1"/>
      <c r="AP889" s="1"/>
      <c r="AQ889" s="1"/>
      <c r="AR889" s="1" t="s">
        <v>434</v>
      </c>
      <c r="AS889" s="1" t="s">
        <v>16145</v>
      </c>
      <c r="AT889" s="1" t="s">
        <v>636</v>
      </c>
      <c r="AU889" s="1" t="s">
        <v>436</v>
      </c>
      <c r="AV889" s="1">
        <v>86.26</v>
      </c>
      <c r="AW889" s="1"/>
      <c r="AX889" s="1" t="s">
        <v>361</v>
      </c>
      <c r="AY889" s="1" t="s">
        <v>16146</v>
      </c>
      <c r="AZ889" s="1" t="s">
        <v>5487</v>
      </c>
      <c r="BA889" s="1" t="s">
        <v>1714</v>
      </c>
      <c r="BB889" s="1">
        <v>72.5</v>
      </c>
      <c r="BC889" s="1">
        <v>8.02</v>
      </c>
      <c r="BD889" s="1"/>
      <c r="BE889" s="1"/>
      <c r="BF889" s="1"/>
      <c r="BG889" s="1"/>
      <c r="BH889" s="1"/>
      <c r="BI889" s="1"/>
      <c r="BJ889" s="1" t="s">
        <v>255</v>
      </c>
      <c r="BK889" s="1"/>
      <c r="BL889" s="1"/>
      <c r="BM889" s="1"/>
      <c r="BN889" s="1"/>
      <c r="BO889" s="1"/>
      <c r="BP889" s="1" t="str">
        <f>HYPERLINK("https://nconnect.nicmar.ac.in/storage/profile/ProfilePhoto_P25702106_365247.jpg","Download")</f>
        <v>0</v>
      </c>
      <c r="BQ889" s="3"/>
      <c r="BR889" s="3"/>
    </row>
    <row r="890" spans="1:70">
      <c r="A890" s="1" t="s">
        <v>441</v>
      </c>
      <c r="B890" s="1" t="s">
        <v>1269</v>
      </c>
      <c r="C890" s="1" t="s">
        <v>16147</v>
      </c>
      <c r="D890" s="1" t="s">
        <v>834</v>
      </c>
      <c r="E890" s="1" t="s">
        <v>6318</v>
      </c>
      <c r="F890" s="1" t="s">
        <v>2024</v>
      </c>
      <c r="G890" s="1" t="s">
        <v>16148</v>
      </c>
      <c r="H890" s="1" t="s">
        <v>16149</v>
      </c>
      <c r="I890" s="1" t="s">
        <v>16150</v>
      </c>
      <c r="J890" s="1">
        <v>9975344294</v>
      </c>
      <c r="K890" s="1" t="s">
        <v>148</v>
      </c>
      <c r="L890" s="1" t="s">
        <v>16151</v>
      </c>
      <c r="M890" s="1" t="s">
        <v>81</v>
      </c>
      <c r="N890" s="1" t="s">
        <v>13559</v>
      </c>
      <c r="O890" s="1"/>
      <c r="P890" s="1" t="s">
        <v>1298</v>
      </c>
      <c r="Q890" s="1" t="s">
        <v>16152</v>
      </c>
      <c r="R890" s="1" t="s">
        <v>16153</v>
      </c>
      <c r="S890" s="1">
        <v>9890402716</v>
      </c>
      <c r="T890" s="1" t="s">
        <v>8569</v>
      </c>
      <c r="U890" s="1" t="s">
        <v>16154</v>
      </c>
      <c r="V890" s="1">
        <v>8329575850</v>
      </c>
      <c r="W890" s="1" t="s">
        <v>156</v>
      </c>
      <c r="X890" s="1" t="s">
        <v>16155</v>
      </c>
      <c r="Y890" s="1" t="s">
        <v>304</v>
      </c>
      <c r="Z890" s="1" t="s">
        <v>92</v>
      </c>
      <c r="AA890" s="1" t="s">
        <v>16155</v>
      </c>
      <c r="AB890" s="1" t="s">
        <v>304</v>
      </c>
      <c r="AC890" s="1" t="s">
        <v>92</v>
      </c>
      <c r="AD890" s="1">
        <v>7.48</v>
      </c>
      <c r="AE890" s="1" t="s">
        <v>93</v>
      </c>
      <c r="AF890" s="1" t="s">
        <v>16156</v>
      </c>
      <c r="AG890" s="1" t="s">
        <v>16157</v>
      </c>
      <c r="AH890" s="1" t="s">
        <v>101</v>
      </c>
      <c r="AI890" s="1" t="s">
        <v>433</v>
      </c>
      <c r="AJ890" s="1">
        <v>84.2</v>
      </c>
      <c r="AK890" s="1">
        <v>0</v>
      </c>
      <c r="AL890" s="1"/>
      <c r="AM890" s="1"/>
      <c r="AN890" s="1"/>
      <c r="AO890" s="1"/>
      <c r="AP890" s="1"/>
      <c r="AQ890" s="1"/>
      <c r="AR890" s="1" t="s">
        <v>98</v>
      </c>
      <c r="AS890" s="1" t="s">
        <v>16158</v>
      </c>
      <c r="AT890" s="1" t="s">
        <v>201</v>
      </c>
      <c r="AU890" s="1" t="s">
        <v>284</v>
      </c>
      <c r="AV890" s="1">
        <v>77</v>
      </c>
      <c r="AW890" s="1">
        <v>0</v>
      </c>
      <c r="AX890" s="1" t="s">
        <v>361</v>
      </c>
      <c r="AY890" s="1" t="s">
        <v>16159</v>
      </c>
      <c r="AZ890" s="1" t="s">
        <v>2693</v>
      </c>
      <c r="BA890" s="1" t="s">
        <v>1714</v>
      </c>
      <c r="BB890" s="1">
        <v>66.39</v>
      </c>
      <c r="BC890" s="1">
        <v>7.46</v>
      </c>
      <c r="BD890" s="1"/>
      <c r="BE890" s="1"/>
      <c r="BF890" s="1"/>
      <c r="BG890" s="1"/>
      <c r="BH890" s="1"/>
      <c r="BI890" s="1"/>
      <c r="BJ890" s="1" t="s">
        <v>364</v>
      </c>
      <c r="BK890" s="1"/>
      <c r="BL890" s="1"/>
      <c r="BM890" s="1" t="s">
        <v>16160</v>
      </c>
      <c r="BN890" s="1">
        <v>17</v>
      </c>
      <c r="BO890" s="1"/>
      <c r="BP890" s="1" t="str">
        <f>HYPERLINK("https://nconnect.nicmar.ac.in/storage/profile/ProfilePhoto_P25702108_273491.jpg","Download")</f>
        <v>0</v>
      </c>
      <c r="BQ890" s="3"/>
      <c r="BR890" s="3"/>
    </row>
    <row r="891" spans="1:70">
      <c r="A891" s="1" t="s">
        <v>441</v>
      </c>
      <c r="B891" s="1" t="s">
        <v>1269</v>
      </c>
      <c r="C891" s="1" t="s">
        <v>16161</v>
      </c>
      <c r="D891" s="1" t="s">
        <v>16162</v>
      </c>
      <c r="E891" s="1"/>
      <c r="F891" s="1" t="s">
        <v>950</v>
      </c>
      <c r="G891" s="1" t="s">
        <v>16163</v>
      </c>
      <c r="H891" s="1" t="s">
        <v>16164</v>
      </c>
      <c r="I891" s="1" t="s">
        <v>16165</v>
      </c>
      <c r="J891" s="1">
        <v>6261957387</v>
      </c>
      <c r="K891" s="1" t="s">
        <v>79</v>
      </c>
      <c r="L891" s="1" t="s">
        <v>6797</v>
      </c>
      <c r="M891" s="1" t="s">
        <v>81</v>
      </c>
      <c r="N891" s="1" t="s">
        <v>11963</v>
      </c>
      <c r="O891" s="1"/>
      <c r="P891" s="1" t="s">
        <v>1323</v>
      </c>
      <c r="Q891" s="1" t="s">
        <v>16166</v>
      </c>
      <c r="R891" s="1" t="s">
        <v>16167</v>
      </c>
      <c r="S891" s="1">
        <v>8966000863</v>
      </c>
      <c r="T891" s="1" t="s">
        <v>16168</v>
      </c>
      <c r="U891" s="1" t="s">
        <v>16169</v>
      </c>
      <c r="V891" s="1">
        <v>6261957387</v>
      </c>
      <c r="W891" s="1" t="s">
        <v>273</v>
      </c>
      <c r="X891" s="1" t="s">
        <v>16170</v>
      </c>
      <c r="Y891" s="1" t="s">
        <v>191</v>
      </c>
      <c r="Z891" s="1" t="s">
        <v>92</v>
      </c>
      <c r="AA891" s="1" t="s">
        <v>16171</v>
      </c>
      <c r="AB891" s="1" t="s">
        <v>12296</v>
      </c>
      <c r="AC891" s="1" t="s">
        <v>1237</v>
      </c>
      <c r="AD891" s="1">
        <v>7.82</v>
      </c>
      <c r="AE891" s="1" t="s">
        <v>93</v>
      </c>
      <c r="AF891" s="1" t="s">
        <v>16172</v>
      </c>
      <c r="AG891" s="1" t="s">
        <v>16173</v>
      </c>
      <c r="AH891" s="1" t="s">
        <v>479</v>
      </c>
      <c r="AI891" s="1" t="s">
        <v>166</v>
      </c>
      <c r="AJ891" s="1">
        <v>68</v>
      </c>
      <c r="AK891" s="1"/>
      <c r="AL891" s="1" t="s">
        <v>16174</v>
      </c>
      <c r="AM891" s="1" t="s">
        <v>16175</v>
      </c>
      <c r="AN891" s="1" t="s">
        <v>3672</v>
      </c>
      <c r="AO891" s="1" t="s">
        <v>2463</v>
      </c>
      <c r="AP891" s="1">
        <v>55</v>
      </c>
      <c r="AQ891" s="1"/>
      <c r="AR891" s="1"/>
      <c r="AS891" s="1"/>
      <c r="AT891" s="1"/>
      <c r="AU891" s="1"/>
      <c r="AV891" s="1"/>
      <c r="AW891" s="1"/>
      <c r="AX891" s="1" t="s">
        <v>16176</v>
      </c>
      <c r="AY891" s="1" t="s">
        <v>16177</v>
      </c>
      <c r="AZ891" s="1" t="s">
        <v>170</v>
      </c>
      <c r="BA891" s="1" t="s">
        <v>1978</v>
      </c>
      <c r="BB891" s="1">
        <v>69.82</v>
      </c>
      <c r="BC891" s="1">
        <v>7.49</v>
      </c>
      <c r="BD891" s="1"/>
      <c r="BE891" s="1"/>
      <c r="BF891" s="1"/>
      <c r="BG891" s="1"/>
      <c r="BH891" s="1"/>
      <c r="BI891" s="1"/>
      <c r="BJ891" s="1" t="s">
        <v>16178</v>
      </c>
      <c r="BK891" s="1"/>
      <c r="BL891" s="1"/>
      <c r="BM891" s="1" t="s">
        <v>16179</v>
      </c>
      <c r="BN891" s="1">
        <v>17</v>
      </c>
      <c r="BO891" s="1" t="s">
        <v>16180</v>
      </c>
      <c r="BP891" s="1" t="str">
        <f>HYPERLINK("https://nconnect.nicmar.ac.in/storage/profile/ProfilePhoto_P25702109_526438.jpg","Download")</f>
        <v>0</v>
      </c>
      <c r="BQ891" s="3"/>
      <c r="BR891" s="3"/>
    </row>
    <row r="892" spans="1:70">
      <c r="A892" s="1" t="s">
        <v>441</v>
      </c>
      <c r="B892" s="1" t="s">
        <v>1269</v>
      </c>
      <c r="C892" s="1" t="s">
        <v>16181</v>
      </c>
      <c r="D892" s="1" t="s">
        <v>7453</v>
      </c>
      <c r="E892" s="1" t="s">
        <v>16182</v>
      </c>
      <c r="F892" s="1" t="s">
        <v>7350</v>
      </c>
      <c r="G892" s="1" t="s">
        <v>16183</v>
      </c>
      <c r="H892" s="1" t="s">
        <v>16184</v>
      </c>
      <c r="I892" s="1" t="s">
        <v>16185</v>
      </c>
      <c r="J892" s="1">
        <v>9607704166</v>
      </c>
      <c r="K892" s="1" t="s">
        <v>79</v>
      </c>
      <c r="L892" s="1" t="s">
        <v>8833</v>
      </c>
      <c r="M892" s="1" t="s">
        <v>81</v>
      </c>
      <c r="N892" s="1" t="s">
        <v>16186</v>
      </c>
      <c r="O892" s="1"/>
      <c r="P892" s="1" t="s">
        <v>1278</v>
      </c>
      <c r="Q892" s="1" t="s">
        <v>16187</v>
      </c>
      <c r="R892" s="1" t="s">
        <v>16188</v>
      </c>
      <c r="S892" s="1">
        <v>7020572363</v>
      </c>
      <c r="T892" s="1" t="s">
        <v>496</v>
      </c>
      <c r="U892" s="1" t="s">
        <v>16189</v>
      </c>
      <c r="V892" s="1">
        <v>8600159908</v>
      </c>
      <c r="W892" s="1" t="s">
        <v>156</v>
      </c>
      <c r="X892" s="1" t="s">
        <v>16190</v>
      </c>
      <c r="Y892" s="1" t="s">
        <v>191</v>
      </c>
      <c r="Z892" s="1" t="s">
        <v>92</v>
      </c>
      <c r="AA892" s="1" t="s">
        <v>16190</v>
      </c>
      <c r="AB892" s="1" t="s">
        <v>191</v>
      </c>
      <c r="AC892" s="1" t="s">
        <v>92</v>
      </c>
      <c r="AD892" s="1" t="s">
        <v>93</v>
      </c>
      <c r="AE892" s="1" t="s">
        <v>93</v>
      </c>
      <c r="AF892" s="1" t="s">
        <v>16191</v>
      </c>
      <c r="AG892" s="1" t="s">
        <v>16192</v>
      </c>
      <c r="AH892" s="1" t="s">
        <v>165</v>
      </c>
      <c r="AI892" s="1" t="s">
        <v>166</v>
      </c>
      <c r="AJ892" s="1">
        <v>65.2</v>
      </c>
      <c r="AK892" s="1"/>
      <c r="AL892" s="1" t="s">
        <v>15546</v>
      </c>
      <c r="AM892" s="1" t="s">
        <v>16193</v>
      </c>
      <c r="AN892" s="1" t="s">
        <v>433</v>
      </c>
      <c r="AO892" s="1" t="s">
        <v>412</v>
      </c>
      <c r="AP892" s="1">
        <v>76.62</v>
      </c>
      <c r="AQ892" s="1"/>
      <c r="AR892" s="1"/>
      <c r="AS892" s="1"/>
      <c r="AT892" s="1"/>
      <c r="AU892" s="1"/>
      <c r="AV892" s="1"/>
      <c r="AW892" s="1"/>
      <c r="AX892" s="1" t="s">
        <v>361</v>
      </c>
      <c r="AY892" s="1" t="s">
        <v>16194</v>
      </c>
      <c r="AZ892" s="1" t="s">
        <v>681</v>
      </c>
      <c r="BA892" s="1" t="s">
        <v>174</v>
      </c>
      <c r="BB892" s="1">
        <v>77.36</v>
      </c>
      <c r="BC892" s="1">
        <v>8.79</v>
      </c>
      <c r="BD892" s="1"/>
      <c r="BE892" s="1"/>
      <c r="BF892" s="1"/>
      <c r="BG892" s="1"/>
      <c r="BH892" s="1"/>
      <c r="BI892" s="1"/>
      <c r="BJ892" s="1" t="s">
        <v>4112</v>
      </c>
      <c r="BK892" s="1"/>
      <c r="BL892" s="1"/>
      <c r="BM892" s="1" t="s">
        <v>16195</v>
      </c>
      <c r="BN892" s="1">
        <v>8</v>
      </c>
      <c r="BO892" s="1"/>
      <c r="BP892" s="1" t="str">
        <f>HYPERLINK("https://nconnect.nicmar.ac.in/storage/profile/ProfilePhoto_P25702110_367925.jpg","Download")</f>
        <v>0</v>
      </c>
      <c r="BQ892" s="3"/>
      <c r="BR892" s="3"/>
    </row>
    <row r="893" spans="1:70">
      <c r="A893" s="1" t="s">
        <v>441</v>
      </c>
      <c r="B893" s="1" t="s">
        <v>1269</v>
      </c>
      <c r="C893" s="1" t="s">
        <v>16196</v>
      </c>
      <c r="D893" s="1" t="s">
        <v>12269</v>
      </c>
      <c r="E893" s="1"/>
      <c r="F893" s="1" t="s">
        <v>16197</v>
      </c>
      <c r="G893" s="1" t="s">
        <v>16198</v>
      </c>
      <c r="H893" s="1" t="s">
        <v>16199</v>
      </c>
      <c r="I893" s="1" t="s">
        <v>16200</v>
      </c>
      <c r="J893" s="1">
        <v>8839030791</v>
      </c>
      <c r="K893" s="1" t="s">
        <v>79</v>
      </c>
      <c r="L893" s="1" t="s">
        <v>16201</v>
      </c>
      <c r="M893" s="1" t="s">
        <v>81</v>
      </c>
      <c r="N893" s="1" t="s">
        <v>2008</v>
      </c>
      <c r="O893" s="1" t="s">
        <v>16202</v>
      </c>
      <c r="P893" s="1" t="s">
        <v>1278</v>
      </c>
      <c r="Q893" s="1" t="s">
        <v>16203</v>
      </c>
      <c r="R893" s="1" t="s">
        <v>16204</v>
      </c>
      <c r="S893" s="1">
        <v>8120004624</v>
      </c>
      <c r="T893" s="1" t="s">
        <v>16205</v>
      </c>
      <c r="U893" s="1" t="s">
        <v>16206</v>
      </c>
      <c r="V893" s="1">
        <v>9406022079</v>
      </c>
      <c r="W893" s="1" t="s">
        <v>3197</v>
      </c>
      <c r="X893" s="1" t="s">
        <v>16207</v>
      </c>
      <c r="Y893" s="1" t="s">
        <v>6088</v>
      </c>
      <c r="Z893" s="1" t="s">
        <v>1237</v>
      </c>
      <c r="AA893" s="1" t="s">
        <v>16207</v>
      </c>
      <c r="AB893" s="1" t="s">
        <v>6088</v>
      </c>
      <c r="AC893" s="1" t="s">
        <v>1237</v>
      </c>
      <c r="AD893" s="1">
        <v>9.53</v>
      </c>
      <c r="AE893" s="1" t="s">
        <v>93</v>
      </c>
      <c r="AF893" s="1" t="s">
        <v>16208</v>
      </c>
      <c r="AG893" s="1" t="s">
        <v>10171</v>
      </c>
      <c r="AH893" s="1" t="s">
        <v>678</v>
      </c>
      <c r="AI893" s="1" t="s">
        <v>166</v>
      </c>
      <c r="AJ893" s="1">
        <v>85.2</v>
      </c>
      <c r="AK893" s="1">
        <v>0</v>
      </c>
      <c r="AL893" s="1" t="s">
        <v>16208</v>
      </c>
      <c r="AM893" s="1" t="s">
        <v>10171</v>
      </c>
      <c r="AN893" s="1" t="s">
        <v>1065</v>
      </c>
      <c r="AO893" s="1" t="s">
        <v>173</v>
      </c>
      <c r="AP893" s="1">
        <v>93.2</v>
      </c>
      <c r="AQ893" s="1">
        <v>0</v>
      </c>
      <c r="AR893" s="1"/>
      <c r="AS893" s="1"/>
      <c r="AT893" s="1"/>
      <c r="AU893" s="1"/>
      <c r="AV893" s="1"/>
      <c r="AW893" s="1"/>
      <c r="AX893" s="1" t="s">
        <v>361</v>
      </c>
      <c r="AY893" s="1" t="s">
        <v>16209</v>
      </c>
      <c r="AZ893" s="1" t="s">
        <v>681</v>
      </c>
      <c r="BA893" s="1" t="s">
        <v>1714</v>
      </c>
      <c r="BB893" s="1">
        <v>67.37</v>
      </c>
      <c r="BC893" s="1">
        <v>7.57</v>
      </c>
      <c r="BD893" s="1"/>
      <c r="BE893" s="1"/>
      <c r="BF893" s="1"/>
      <c r="BG893" s="1"/>
      <c r="BH893" s="1"/>
      <c r="BI893" s="1"/>
      <c r="BJ893" s="1" t="s">
        <v>16210</v>
      </c>
      <c r="BK893" s="1"/>
      <c r="BL893" s="1"/>
      <c r="BM893" s="1" t="s">
        <v>16211</v>
      </c>
      <c r="BN893" s="1">
        <v>35</v>
      </c>
      <c r="BO893" s="1"/>
      <c r="BP893" s="1" t="str">
        <f>HYPERLINK("https://nconnect.nicmar.ac.in/storage/profile/ProfilePhoto_P25702111_231964.jpg","Download")</f>
        <v>0</v>
      </c>
      <c r="BQ893" s="3"/>
      <c r="BR893" s="3"/>
    </row>
    <row r="894" spans="1:70">
      <c r="A894" s="1" t="s">
        <v>441</v>
      </c>
      <c r="B894" s="1" t="s">
        <v>1269</v>
      </c>
      <c r="C894" s="1" t="s">
        <v>16212</v>
      </c>
      <c r="D894" s="1" t="s">
        <v>16213</v>
      </c>
      <c r="E894" s="1"/>
      <c r="F894" s="1" t="s">
        <v>16214</v>
      </c>
      <c r="G894" s="1" t="s">
        <v>16215</v>
      </c>
      <c r="H894" s="1" t="s">
        <v>16216</v>
      </c>
      <c r="I894" s="1" t="s">
        <v>16216</v>
      </c>
      <c r="J894" s="1">
        <v>7057577135</v>
      </c>
      <c r="K894" s="1" t="s">
        <v>148</v>
      </c>
      <c r="L894" s="1" t="s">
        <v>373</v>
      </c>
      <c r="M894" s="1" t="s">
        <v>81</v>
      </c>
      <c r="N894" s="1" t="s">
        <v>2008</v>
      </c>
      <c r="O894" s="1"/>
      <c r="P894" s="1" t="s">
        <v>1278</v>
      </c>
      <c r="Q894" s="1" t="s">
        <v>16217</v>
      </c>
      <c r="R894" s="1" t="s">
        <v>16218</v>
      </c>
      <c r="S894" s="1">
        <v>9049235887</v>
      </c>
      <c r="T894" s="1" t="s">
        <v>863</v>
      </c>
      <c r="U894" s="1" t="s">
        <v>16219</v>
      </c>
      <c r="V894" s="1">
        <v>9604932811</v>
      </c>
      <c r="W894" s="1" t="s">
        <v>651</v>
      </c>
      <c r="X894" s="1" t="s">
        <v>16220</v>
      </c>
      <c r="Y894" s="1" t="s">
        <v>191</v>
      </c>
      <c r="Z894" s="1" t="s">
        <v>92</v>
      </c>
      <c r="AA894" s="1" t="s">
        <v>16221</v>
      </c>
      <c r="AB894" s="1" t="s">
        <v>405</v>
      </c>
      <c r="AC894" s="1" t="s">
        <v>92</v>
      </c>
      <c r="AD894" s="1">
        <v>8.13</v>
      </c>
      <c r="AE894" s="1" t="s">
        <v>93</v>
      </c>
      <c r="AF894" s="1" t="s">
        <v>16222</v>
      </c>
      <c r="AG894" s="1" t="s">
        <v>160</v>
      </c>
      <c r="AH894" s="1" t="s">
        <v>161</v>
      </c>
      <c r="AI894" s="1" t="s">
        <v>456</v>
      </c>
      <c r="AJ894" s="1">
        <v>91.4</v>
      </c>
      <c r="AK894" s="1"/>
      <c r="AL894" s="1" t="s">
        <v>16223</v>
      </c>
      <c r="AM894" s="1" t="s">
        <v>160</v>
      </c>
      <c r="AN894" s="1" t="s">
        <v>162</v>
      </c>
      <c r="AO894" s="1" t="s">
        <v>457</v>
      </c>
      <c r="AP894" s="1">
        <v>72.77</v>
      </c>
      <c r="AQ894" s="1"/>
      <c r="AR894" s="1"/>
      <c r="AS894" s="1"/>
      <c r="AT894" s="1"/>
      <c r="AU894" s="1"/>
      <c r="AV894" s="1"/>
      <c r="AW894" s="1"/>
      <c r="AX894" s="1" t="s">
        <v>1853</v>
      </c>
      <c r="AY894" s="1" t="s">
        <v>11238</v>
      </c>
      <c r="AZ894" s="1" t="s">
        <v>169</v>
      </c>
      <c r="BA894" s="1" t="s">
        <v>1714</v>
      </c>
      <c r="BB894" s="1">
        <v>60.5</v>
      </c>
      <c r="BC894" s="1">
        <v>6.8</v>
      </c>
      <c r="BD894" s="1"/>
      <c r="BE894" s="1"/>
      <c r="BF894" s="1"/>
      <c r="BG894" s="1"/>
      <c r="BH894" s="1"/>
      <c r="BI894" s="1"/>
      <c r="BJ894" s="1" t="s">
        <v>16224</v>
      </c>
      <c r="BK894" s="1"/>
      <c r="BL894" s="1"/>
      <c r="BM894" s="1" t="s">
        <v>16225</v>
      </c>
      <c r="BN894" s="1">
        <v>42</v>
      </c>
      <c r="BO894" s="1" t="s">
        <v>16226</v>
      </c>
      <c r="BP894" s="1" t="str">
        <f>HYPERLINK("https://nconnect.nicmar.ac.in/storage/profile/ProfilePhoto_P25702113_891347.jpg","Download")</f>
        <v>0</v>
      </c>
      <c r="BQ894" s="3"/>
      <c r="BR894" s="3"/>
    </row>
    <row r="895" spans="1:70">
      <c r="A895" s="1" t="s">
        <v>441</v>
      </c>
      <c r="B895" s="1" t="s">
        <v>1269</v>
      </c>
      <c r="C895" s="1" t="s">
        <v>16227</v>
      </c>
      <c r="D895" s="1" t="s">
        <v>834</v>
      </c>
      <c r="E895" s="1"/>
      <c r="F895" s="1" t="s">
        <v>16228</v>
      </c>
      <c r="G895" s="1" t="s">
        <v>16229</v>
      </c>
      <c r="H895" s="1" t="s">
        <v>16230</v>
      </c>
      <c r="I895" s="1" t="s">
        <v>16231</v>
      </c>
      <c r="J895" s="1">
        <v>7073096373</v>
      </c>
      <c r="K895" s="1" t="s">
        <v>148</v>
      </c>
      <c r="L895" s="1" t="s">
        <v>16232</v>
      </c>
      <c r="M895" s="1" t="s">
        <v>81</v>
      </c>
      <c r="N895" s="1" t="s">
        <v>350</v>
      </c>
      <c r="O895" s="1"/>
      <c r="P895" s="1" t="s">
        <v>1298</v>
      </c>
      <c r="Q895" s="1" t="s">
        <v>16233</v>
      </c>
      <c r="R895" s="1" t="s">
        <v>16234</v>
      </c>
      <c r="S895" s="1">
        <v>8101515687</v>
      </c>
      <c r="T895" s="1" t="s">
        <v>842</v>
      </c>
      <c r="U895" s="1" t="s">
        <v>16235</v>
      </c>
      <c r="V895" s="1">
        <v>9933444303</v>
      </c>
      <c r="W895" s="1" t="s">
        <v>156</v>
      </c>
      <c r="X895" s="1" t="s">
        <v>16236</v>
      </c>
      <c r="Y895" s="1" t="s">
        <v>16237</v>
      </c>
      <c r="Z895" s="1" t="s">
        <v>783</v>
      </c>
      <c r="AA895" s="1" t="s">
        <v>16236</v>
      </c>
      <c r="AB895" s="1" t="s">
        <v>16237</v>
      </c>
      <c r="AC895" s="1" t="s">
        <v>783</v>
      </c>
      <c r="AD895" s="1">
        <v>8.5</v>
      </c>
      <c r="AE895" s="1" t="s">
        <v>93</v>
      </c>
      <c r="AF895" s="1" t="s">
        <v>16238</v>
      </c>
      <c r="AG895" s="1" t="s">
        <v>16239</v>
      </c>
      <c r="AH895" s="1" t="s">
        <v>477</v>
      </c>
      <c r="AI895" s="1" t="s">
        <v>527</v>
      </c>
      <c r="AJ895" s="1">
        <v>87.4</v>
      </c>
      <c r="AK895" s="1"/>
      <c r="AL895" s="1" t="s">
        <v>16240</v>
      </c>
      <c r="AM895" s="1" t="s">
        <v>11092</v>
      </c>
      <c r="AN895" s="1" t="s">
        <v>279</v>
      </c>
      <c r="AO895" s="1" t="s">
        <v>166</v>
      </c>
      <c r="AP895" s="1">
        <v>61.2</v>
      </c>
      <c r="AQ895" s="1">
        <v>6.44</v>
      </c>
      <c r="AR895" s="1"/>
      <c r="AS895" s="1"/>
      <c r="AT895" s="1"/>
      <c r="AU895" s="1"/>
      <c r="AV895" s="1"/>
      <c r="AW895" s="1"/>
      <c r="AX895" s="1" t="s">
        <v>16241</v>
      </c>
      <c r="AY895" s="1" t="s">
        <v>16242</v>
      </c>
      <c r="AZ895" s="1" t="s">
        <v>636</v>
      </c>
      <c r="BA895" s="1" t="s">
        <v>10191</v>
      </c>
      <c r="BB895" s="1">
        <v>69.5</v>
      </c>
      <c r="BC895" s="1">
        <v>7.45</v>
      </c>
      <c r="BD895" s="1"/>
      <c r="BE895" s="1"/>
      <c r="BF895" s="1"/>
      <c r="BG895" s="1"/>
      <c r="BH895" s="1"/>
      <c r="BI895" s="1"/>
      <c r="BJ895" s="1" t="s">
        <v>16243</v>
      </c>
      <c r="BK895" s="1" t="s">
        <v>16244</v>
      </c>
      <c r="BL895" s="1" t="s">
        <v>1028</v>
      </c>
      <c r="BM895" s="1" t="s">
        <v>16245</v>
      </c>
      <c r="BN895" s="1">
        <v>16</v>
      </c>
      <c r="BO895" s="1"/>
      <c r="BP895" s="1" t="str">
        <f>HYPERLINK("https://nconnect.nicmar.ac.in/storage/profile/ProfilePhoto_P25702114_395268.jpg","Download")</f>
        <v>0</v>
      </c>
      <c r="BQ895" s="3"/>
      <c r="BR895" s="3"/>
    </row>
    <row r="896" spans="1:70">
      <c r="A896" s="1" t="s">
        <v>441</v>
      </c>
      <c r="B896" s="1" t="s">
        <v>1269</v>
      </c>
      <c r="C896" s="1" t="s">
        <v>16246</v>
      </c>
      <c r="D896" s="1" t="s">
        <v>16247</v>
      </c>
      <c r="E896" s="1"/>
      <c r="F896" s="1" t="s">
        <v>16248</v>
      </c>
      <c r="G896" s="1" t="s">
        <v>16249</v>
      </c>
      <c r="H896" s="1" t="s">
        <v>16250</v>
      </c>
      <c r="I896" s="1" t="s">
        <v>16251</v>
      </c>
      <c r="J896" s="1">
        <v>7899368440</v>
      </c>
      <c r="K896" s="1" t="s">
        <v>79</v>
      </c>
      <c r="L896" s="1" t="s">
        <v>16252</v>
      </c>
      <c r="M896" s="1" t="s">
        <v>81</v>
      </c>
      <c r="N896" s="1" t="s">
        <v>5257</v>
      </c>
      <c r="O896" s="1"/>
      <c r="P896" s="1" t="s">
        <v>1278</v>
      </c>
      <c r="Q896" s="1" t="s">
        <v>16253</v>
      </c>
      <c r="R896" s="1" t="s">
        <v>16254</v>
      </c>
      <c r="S896" s="1">
        <v>8904003701</v>
      </c>
      <c r="T896" s="1" t="s">
        <v>271</v>
      </c>
      <c r="U896" s="1" t="s">
        <v>16255</v>
      </c>
      <c r="V896" s="1">
        <v>9148084701</v>
      </c>
      <c r="W896" s="1" t="s">
        <v>271</v>
      </c>
      <c r="X896" s="1" t="s">
        <v>16256</v>
      </c>
      <c r="Y896" s="1" t="s">
        <v>1083</v>
      </c>
      <c r="Z896" s="1" t="s">
        <v>1084</v>
      </c>
      <c r="AA896" s="1" t="s">
        <v>16256</v>
      </c>
      <c r="AB896" s="1" t="s">
        <v>1083</v>
      </c>
      <c r="AC896" s="1" t="s">
        <v>1084</v>
      </c>
      <c r="AD896" s="1">
        <v>8.11</v>
      </c>
      <c r="AE896" s="1" t="s">
        <v>93</v>
      </c>
      <c r="AF896" s="1" t="s">
        <v>16257</v>
      </c>
      <c r="AG896" s="1" t="s">
        <v>16258</v>
      </c>
      <c r="AH896" s="1" t="s">
        <v>337</v>
      </c>
      <c r="AI896" s="1" t="s">
        <v>279</v>
      </c>
      <c r="AJ896" s="1">
        <v>87.4</v>
      </c>
      <c r="AK896" s="1">
        <v>9.2</v>
      </c>
      <c r="AL896" s="1" t="s">
        <v>16259</v>
      </c>
      <c r="AM896" s="1" t="s">
        <v>16260</v>
      </c>
      <c r="AN896" s="1" t="s">
        <v>225</v>
      </c>
      <c r="AO896" s="1" t="s">
        <v>169</v>
      </c>
      <c r="AP896" s="1">
        <v>62</v>
      </c>
      <c r="AQ896" s="1"/>
      <c r="AR896" s="1"/>
      <c r="AS896" s="1"/>
      <c r="AT896" s="1"/>
      <c r="AU896" s="1"/>
      <c r="AV896" s="1"/>
      <c r="AW896" s="1"/>
      <c r="AX896" s="1" t="s">
        <v>3432</v>
      </c>
      <c r="AY896" s="1" t="s">
        <v>16261</v>
      </c>
      <c r="AZ896" s="1" t="s">
        <v>636</v>
      </c>
      <c r="BA896" s="1" t="s">
        <v>682</v>
      </c>
      <c r="BB896" s="1">
        <v>57.3</v>
      </c>
      <c r="BC896" s="1">
        <v>5.73</v>
      </c>
      <c r="BD896" s="1"/>
      <c r="BE896" s="1"/>
      <c r="BF896" s="1"/>
      <c r="BG896" s="1"/>
      <c r="BH896" s="1"/>
      <c r="BI896" s="1"/>
      <c r="BJ896" s="1" t="s">
        <v>16262</v>
      </c>
      <c r="BK896" s="1" t="s">
        <v>16263</v>
      </c>
      <c r="BL896" s="1" t="s">
        <v>2384</v>
      </c>
      <c r="BM896" s="1" t="s">
        <v>16264</v>
      </c>
      <c r="BN896" s="1">
        <v>27</v>
      </c>
      <c r="BO896" s="1" t="s">
        <v>16265</v>
      </c>
      <c r="BP896" s="1" t="str">
        <f>HYPERLINK("https://nconnect.nicmar.ac.in/storage/profile/ProfilePhoto_P25702115_316582.jpg","Download")</f>
        <v>0</v>
      </c>
      <c r="BQ896" s="3"/>
      <c r="BR896" s="3"/>
    </row>
    <row r="897" spans="1:70">
      <c r="A897" s="1" t="s">
        <v>441</v>
      </c>
      <c r="B897" s="1" t="s">
        <v>1269</v>
      </c>
      <c r="C897" s="1" t="s">
        <v>16266</v>
      </c>
      <c r="D897" s="1" t="s">
        <v>2579</v>
      </c>
      <c r="E897" s="1" t="s">
        <v>1566</v>
      </c>
      <c r="F897" s="1" t="s">
        <v>15660</v>
      </c>
      <c r="G897" s="1" t="s">
        <v>16267</v>
      </c>
      <c r="H897" s="1" t="s">
        <v>16268</v>
      </c>
      <c r="I897" s="1" t="s">
        <v>16269</v>
      </c>
      <c r="J897" s="1">
        <v>8379986813</v>
      </c>
      <c r="K897" s="1" t="s">
        <v>79</v>
      </c>
      <c r="L897" s="1" t="s">
        <v>16270</v>
      </c>
      <c r="M897" s="1" t="s">
        <v>81</v>
      </c>
      <c r="N897" s="1" t="s">
        <v>2008</v>
      </c>
      <c r="O897" s="1"/>
      <c r="P897" s="1" t="s">
        <v>1278</v>
      </c>
      <c r="Q897" s="1" t="s">
        <v>16271</v>
      </c>
      <c r="R897" s="1" t="s">
        <v>16272</v>
      </c>
      <c r="S897" s="1">
        <v>9420333127</v>
      </c>
      <c r="T897" s="1" t="s">
        <v>16273</v>
      </c>
      <c r="U897" s="1" t="s">
        <v>16274</v>
      </c>
      <c r="V897" s="1">
        <v>9146896804</v>
      </c>
      <c r="W897" s="1" t="s">
        <v>89</v>
      </c>
      <c r="X897" s="1" t="s">
        <v>16275</v>
      </c>
      <c r="Y897" s="1" t="s">
        <v>429</v>
      </c>
      <c r="Z897" s="1" t="s">
        <v>92</v>
      </c>
      <c r="AA897" s="1" t="s">
        <v>16275</v>
      </c>
      <c r="AB897" s="1" t="s">
        <v>429</v>
      </c>
      <c r="AC897" s="1" t="s">
        <v>92</v>
      </c>
      <c r="AD897" s="1">
        <v>8.24</v>
      </c>
      <c r="AE897" s="1" t="s">
        <v>93</v>
      </c>
      <c r="AF897" s="1" t="s">
        <v>16276</v>
      </c>
      <c r="AG897" s="1" t="s">
        <v>307</v>
      </c>
      <c r="AH897" s="1" t="s">
        <v>165</v>
      </c>
      <c r="AI897" s="1" t="s">
        <v>166</v>
      </c>
      <c r="AJ897" s="1">
        <v>84.3</v>
      </c>
      <c r="AK897" s="1"/>
      <c r="AL897" s="1" t="s">
        <v>16277</v>
      </c>
      <c r="AM897" s="1" t="s">
        <v>476</v>
      </c>
      <c r="AN897" s="1" t="s">
        <v>101</v>
      </c>
      <c r="AO897" s="1" t="s">
        <v>360</v>
      </c>
      <c r="AP897" s="1">
        <v>66.62</v>
      </c>
      <c r="AQ897" s="1"/>
      <c r="AR897" s="1"/>
      <c r="AS897" s="1"/>
      <c r="AT897" s="1"/>
      <c r="AU897" s="1"/>
      <c r="AV897" s="1"/>
      <c r="AW897" s="1"/>
      <c r="AX897" s="1" t="s">
        <v>361</v>
      </c>
      <c r="AY897" s="1" t="s">
        <v>8769</v>
      </c>
      <c r="AZ897" s="1" t="s">
        <v>173</v>
      </c>
      <c r="BA897" s="1" t="s">
        <v>413</v>
      </c>
      <c r="BB897" s="1">
        <v>76.45</v>
      </c>
      <c r="BC897" s="1">
        <v>8.6</v>
      </c>
      <c r="BD897" s="1"/>
      <c r="BE897" s="1"/>
      <c r="BF897" s="1"/>
      <c r="BG897" s="1"/>
      <c r="BH897" s="1"/>
      <c r="BI897" s="1"/>
      <c r="BJ897" s="1" t="s">
        <v>4112</v>
      </c>
      <c r="BK897" s="1"/>
      <c r="BL897" s="1"/>
      <c r="BM897" s="1" t="s">
        <v>16278</v>
      </c>
      <c r="BN897" s="1">
        <v>9</v>
      </c>
      <c r="BO897" s="1"/>
      <c r="BP897" s="1" t="str">
        <f>HYPERLINK("https://nconnect.nicmar.ac.in/storage/profile/ProfilePhoto_P25702116_867945.jpg","Download")</f>
        <v>0</v>
      </c>
      <c r="BQ897" s="3"/>
      <c r="BR897" s="3"/>
    </row>
    <row r="898" spans="1:70">
      <c r="A898" s="1" t="s">
        <v>441</v>
      </c>
      <c r="B898" s="1" t="s">
        <v>1269</v>
      </c>
      <c r="C898" s="1" t="s">
        <v>16279</v>
      </c>
      <c r="D898" s="1" t="s">
        <v>417</v>
      </c>
      <c r="E898" s="1"/>
      <c r="F898" s="1" t="s">
        <v>16280</v>
      </c>
      <c r="G898" s="1" t="s">
        <v>16281</v>
      </c>
      <c r="H898" s="1" t="s">
        <v>16282</v>
      </c>
      <c r="I898" s="1" t="s">
        <v>16283</v>
      </c>
      <c r="J898" s="1">
        <v>9146032642</v>
      </c>
      <c r="K898" s="1" t="s">
        <v>148</v>
      </c>
      <c r="L898" s="1" t="s">
        <v>4765</v>
      </c>
      <c r="M898" s="1" t="s">
        <v>150</v>
      </c>
      <c r="N898" s="1" t="s">
        <v>16284</v>
      </c>
      <c r="O898" s="1"/>
      <c r="P898" s="1" t="s">
        <v>1323</v>
      </c>
      <c r="Q898" s="1" t="s">
        <v>16285</v>
      </c>
      <c r="R898" s="1" t="s">
        <v>16286</v>
      </c>
      <c r="S898" s="1">
        <v>9422220793</v>
      </c>
      <c r="T898" s="1" t="s">
        <v>496</v>
      </c>
      <c r="U898" s="1" t="s">
        <v>16287</v>
      </c>
      <c r="V898" s="1">
        <v>7276430246</v>
      </c>
      <c r="W898" s="1" t="s">
        <v>89</v>
      </c>
      <c r="X898" s="1" t="s">
        <v>16288</v>
      </c>
      <c r="Y898" s="1" t="s">
        <v>191</v>
      </c>
      <c r="Z898" s="1" t="s">
        <v>92</v>
      </c>
      <c r="AA898" s="1" t="s">
        <v>16288</v>
      </c>
      <c r="AB898" s="1" t="s">
        <v>191</v>
      </c>
      <c r="AC898" s="1" t="s">
        <v>92</v>
      </c>
      <c r="AD898" s="1">
        <v>8.16</v>
      </c>
      <c r="AE898" s="1" t="s">
        <v>93</v>
      </c>
      <c r="AF898" s="1" t="s">
        <v>16289</v>
      </c>
      <c r="AG898" s="1" t="s">
        <v>307</v>
      </c>
      <c r="AH898" s="1" t="s">
        <v>14380</v>
      </c>
      <c r="AI898" s="1" t="s">
        <v>165</v>
      </c>
      <c r="AJ898" s="1">
        <v>83.6</v>
      </c>
      <c r="AK898" s="1">
        <v>8.8</v>
      </c>
      <c r="AL898" s="1" t="s">
        <v>16290</v>
      </c>
      <c r="AM898" s="1" t="s">
        <v>160</v>
      </c>
      <c r="AN898" s="1" t="s">
        <v>383</v>
      </c>
      <c r="AO898" s="1" t="s">
        <v>308</v>
      </c>
      <c r="AP898" s="1">
        <v>70</v>
      </c>
      <c r="AQ898" s="1">
        <v>7.37</v>
      </c>
      <c r="AR898" s="1"/>
      <c r="AS898" s="1"/>
      <c r="AT898" s="1"/>
      <c r="AU898" s="1"/>
      <c r="AV898" s="1"/>
      <c r="AW898" s="1"/>
      <c r="AX898" s="1" t="s">
        <v>361</v>
      </c>
      <c r="AY898" s="1" t="s">
        <v>16291</v>
      </c>
      <c r="AZ898" s="1" t="s">
        <v>201</v>
      </c>
      <c r="BA898" s="1" t="s">
        <v>202</v>
      </c>
      <c r="BB898" s="1">
        <v>64.79</v>
      </c>
      <c r="BC898" s="1">
        <v>7.28</v>
      </c>
      <c r="BD898" s="1"/>
      <c r="BE898" s="1"/>
      <c r="BF898" s="1"/>
      <c r="BG898" s="1"/>
      <c r="BH898" s="1"/>
      <c r="BI898" s="1"/>
      <c r="BJ898" s="1" t="s">
        <v>16292</v>
      </c>
      <c r="BK898" s="1" t="s">
        <v>16293</v>
      </c>
      <c r="BL898" s="1" t="s">
        <v>2892</v>
      </c>
      <c r="BM898" s="1" t="s">
        <v>16294</v>
      </c>
      <c r="BN898" s="1">
        <v>29</v>
      </c>
      <c r="BO898" s="1"/>
      <c r="BP898" s="1" t="str">
        <f>HYPERLINK("https://nconnect.nicmar.ac.in/storage/profile/ProfilePhoto_P25702117_738624.jpg","Download")</f>
        <v>0</v>
      </c>
      <c r="BQ898" s="3"/>
      <c r="BR898" s="3"/>
    </row>
    <row r="899" spans="1:70">
      <c r="A899" s="1" t="s">
        <v>441</v>
      </c>
      <c r="B899" s="1" t="s">
        <v>1269</v>
      </c>
      <c r="C899" s="1" t="s">
        <v>16295</v>
      </c>
      <c r="D899" s="1" t="s">
        <v>16296</v>
      </c>
      <c r="E899" s="1"/>
      <c r="F899" s="1" t="s">
        <v>16297</v>
      </c>
      <c r="G899" s="1" t="s">
        <v>16298</v>
      </c>
      <c r="H899" s="1" t="s">
        <v>16299</v>
      </c>
      <c r="I899" s="1" t="s">
        <v>16299</v>
      </c>
      <c r="J899" s="1"/>
      <c r="K899" s="1"/>
      <c r="L899" s="1"/>
      <c r="M899" s="1"/>
      <c r="N899" s="1"/>
      <c r="O899" s="1"/>
      <c r="P899" s="1"/>
      <c r="Q899" s="1"/>
      <c r="R899" s="1"/>
      <c r="S899" s="1"/>
      <c r="T899" s="1"/>
      <c r="U899" s="1"/>
      <c r="V899" s="1"/>
      <c r="W899" s="1"/>
      <c r="X899" s="1"/>
      <c r="Y899" s="1"/>
      <c r="Z899" s="1"/>
      <c r="AA899" s="1"/>
      <c r="AB899" s="1"/>
      <c r="AC899" s="1"/>
      <c r="AD899" s="1" t="s">
        <v>93</v>
      </c>
      <c r="AE899" s="1" t="s">
        <v>93</v>
      </c>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t="s">
        <v>1037</v>
      </c>
      <c r="BQ899" s="3"/>
      <c r="BR899" s="3"/>
    </row>
    <row r="900" spans="1:70">
      <c r="A900" s="1" t="s">
        <v>441</v>
      </c>
      <c r="B900" s="1" t="s">
        <v>1269</v>
      </c>
      <c r="C900" s="1" t="s">
        <v>16300</v>
      </c>
      <c r="D900" s="1" t="s">
        <v>16301</v>
      </c>
      <c r="E900" s="1" t="s">
        <v>9816</v>
      </c>
      <c r="F900" s="1" t="s">
        <v>6098</v>
      </c>
      <c r="G900" s="1" t="s">
        <v>16302</v>
      </c>
      <c r="H900" s="1" t="s">
        <v>16303</v>
      </c>
      <c r="I900" s="1" t="s">
        <v>16304</v>
      </c>
      <c r="J900" s="1">
        <v>9022661537</v>
      </c>
      <c r="K900" s="1" t="s">
        <v>79</v>
      </c>
      <c r="L900" s="1" t="s">
        <v>16305</v>
      </c>
      <c r="M900" s="1" t="s">
        <v>81</v>
      </c>
      <c r="N900" s="1" t="s">
        <v>2008</v>
      </c>
      <c r="O900" s="1"/>
      <c r="P900" s="1" t="s">
        <v>1323</v>
      </c>
      <c r="Q900" s="1" t="s">
        <v>16306</v>
      </c>
      <c r="R900" s="1" t="s">
        <v>9816</v>
      </c>
      <c r="S900" s="1">
        <v>9146029745</v>
      </c>
      <c r="T900" s="1" t="s">
        <v>763</v>
      </c>
      <c r="U900" s="1" t="s">
        <v>16307</v>
      </c>
      <c r="V900" s="1">
        <v>9359001993</v>
      </c>
      <c r="W900" s="1" t="s">
        <v>763</v>
      </c>
      <c r="X900" s="1" t="s">
        <v>16308</v>
      </c>
      <c r="Y900" s="1" t="s">
        <v>405</v>
      </c>
      <c r="Z900" s="1" t="s">
        <v>92</v>
      </c>
      <c r="AA900" s="1" t="s">
        <v>16308</v>
      </c>
      <c r="AB900" s="1" t="s">
        <v>405</v>
      </c>
      <c r="AC900" s="1" t="s">
        <v>92</v>
      </c>
      <c r="AD900" s="1" t="s">
        <v>93</v>
      </c>
      <c r="AE900" s="1" t="s">
        <v>93</v>
      </c>
      <c r="AF900" s="1" t="s">
        <v>16309</v>
      </c>
      <c r="AG900" s="1" t="s">
        <v>160</v>
      </c>
      <c r="AH900" s="1" t="s">
        <v>101</v>
      </c>
      <c r="AI900" s="1" t="s">
        <v>409</v>
      </c>
      <c r="AJ900" s="1">
        <v>79</v>
      </c>
      <c r="AK900" s="1"/>
      <c r="AL900" s="1"/>
      <c r="AM900" s="1"/>
      <c r="AN900" s="1"/>
      <c r="AO900" s="1"/>
      <c r="AP900" s="1"/>
      <c r="AQ900" s="1"/>
      <c r="AR900" s="1" t="s">
        <v>16310</v>
      </c>
      <c r="AS900" s="1" t="s">
        <v>16311</v>
      </c>
      <c r="AT900" s="1" t="s">
        <v>433</v>
      </c>
      <c r="AU900" s="1" t="s">
        <v>105</v>
      </c>
      <c r="AV900" s="1">
        <v>80.21</v>
      </c>
      <c r="AW900" s="1"/>
      <c r="AX900" s="1" t="s">
        <v>410</v>
      </c>
      <c r="AY900" s="1" t="s">
        <v>16312</v>
      </c>
      <c r="AZ900" s="1" t="s">
        <v>2693</v>
      </c>
      <c r="BA900" s="1" t="s">
        <v>1584</v>
      </c>
      <c r="BB900" s="1">
        <v>59.7</v>
      </c>
      <c r="BC900" s="1">
        <v>6.67</v>
      </c>
      <c r="BD900" s="1"/>
      <c r="BE900" s="1"/>
      <c r="BF900" s="1"/>
      <c r="BG900" s="1"/>
      <c r="BH900" s="1"/>
      <c r="BI900" s="1"/>
      <c r="BJ900" s="1" t="s">
        <v>4173</v>
      </c>
      <c r="BK900" s="1"/>
      <c r="BL900" s="1"/>
      <c r="BM900" s="1"/>
      <c r="BN900" s="1"/>
      <c r="BO900" s="1"/>
      <c r="BP900" s="1" t="str">
        <f>HYPERLINK("https://nconnect.nicmar.ac.in/storage/profile/ProfilePhoto_P25702119_651389.jpg","Download")</f>
        <v>0</v>
      </c>
      <c r="BQ900" s="3"/>
      <c r="BR900" s="3"/>
    </row>
    <row r="901" spans="1:70">
      <c r="A901" s="1" t="s">
        <v>441</v>
      </c>
      <c r="B901" s="1" t="s">
        <v>1269</v>
      </c>
      <c r="C901" s="1" t="s">
        <v>16313</v>
      </c>
      <c r="D901" s="1" t="s">
        <v>16314</v>
      </c>
      <c r="E901" s="1"/>
      <c r="F901" s="1" t="s">
        <v>3036</v>
      </c>
      <c r="G901" s="1" t="s">
        <v>16315</v>
      </c>
      <c r="H901" s="1" t="s">
        <v>16316</v>
      </c>
      <c r="I901" s="1" t="s">
        <v>16317</v>
      </c>
      <c r="J901" s="1">
        <v>7000302186</v>
      </c>
      <c r="K901" s="1" t="s">
        <v>148</v>
      </c>
      <c r="L901" s="1" t="s">
        <v>16318</v>
      </c>
      <c r="M901" s="1" t="s">
        <v>81</v>
      </c>
      <c r="N901" s="1" t="s">
        <v>241</v>
      </c>
      <c r="O901" s="1" t="s">
        <v>16319</v>
      </c>
      <c r="P901" s="1" t="s">
        <v>1323</v>
      </c>
      <c r="Q901" s="1" t="s">
        <v>16320</v>
      </c>
      <c r="R901" s="1" t="s">
        <v>9889</v>
      </c>
      <c r="S901" s="1">
        <v>9425311503</v>
      </c>
      <c r="T901" s="1" t="s">
        <v>16321</v>
      </c>
      <c r="U901" s="1" t="s">
        <v>16322</v>
      </c>
      <c r="V901" s="1">
        <v>9039344720</v>
      </c>
      <c r="W901" s="1" t="s">
        <v>2094</v>
      </c>
      <c r="X901" s="1" t="s">
        <v>16323</v>
      </c>
      <c r="Y901" s="1" t="s">
        <v>6382</v>
      </c>
      <c r="Z901" s="1" t="s">
        <v>936</v>
      </c>
      <c r="AA901" s="1" t="s">
        <v>16323</v>
      </c>
      <c r="AB901" s="1" t="s">
        <v>6382</v>
      </c>
      <c r="AC901" s="1" t="s">
        <v>936</v>
      </c>
      <c r="AD901" s="1">
        <v>9.55</v>
      </c>
      <c r="AE901" s="1" t="s">
        <v>93</v>
      </c>
      <c r="AF901" s="1" t="s">
        <v>16324</v>
      </c>
      <c r="AG901" s="1" t="s">
        <v>307</v>
      </c>
      <c r="AH901" s="1" t="s">
        <v>279</v>
      </c>
      <c r="AI901" s="1" t="s">
        <v>165</v>
      </c>
      <c r="AJ901" s="1">
        <v>87.4</v>
      </c>
      <c r="AK901" s="1">
        <v>9.2</v>
      </c>
      <c r="AL901" s="1" t="s">
        <v>16324</v>
      </c>
      <c r="AM901" s="1" t="s">
        <v>307</v>
      </c>
      <c r="AN901" s="1" t="s">
        <v>1307</v>
      </c>
      <c r="AO901" s="1" t="s">
        <v>308</v>
      </c>
      <c r="AP901" s="1">
        <v>79.4</v>
      </c>
      <c r="AQ901" s="1">
        <v>0</v>
      </c>
      <c r="AR901" s="1"/>
      <c r="AS901" s="1"/>
      <c r="AT901" s="1"/>
      <c r="AU901" s="1"/>
      <c r="AV901" s="1"/>
      <c r="AW901" s="1"/>
      <c r="AX901" s="1" t="s">
        <v>16325</v>
      </c>
      <c r="AY901" s="1" t="s">
        <v>16326</v>
      </c>
      <c r="AZ901" s="1" t="s">
        <v>310</v>
      </c>
      <c r="BA901" s="1" t="s">
        <v>3165</v>
      </c>
      <c r="BB901" s="1">
        <v>82.5</v>
      </c>
      <c r="BC901" s="1">
        <v>8.25</v>
      </c>
      <c r="BD901" s="1"/>
      <c r="BE901" s="1"/>
      <c r="BF901" s="1"/>
      <c r="BG901" s="1"/>
      <c r="BH901" s="1"/>
      <c r="BI901" s="1"/>
      <c r="BJ901" s="1" t="s">
        <v>16327</v>
      </c>
      <c r="BK901" s="1" t="s">
        <v>16328</v>
      </c>
      <c r="BL901" s="1" t="s">
        <v>639</v>
      </c>
      <c r="BM901" s="1" t="s">
        <v>16329</v>
      </c>
      <c r="BN901" s="1">
        <v>30</v>
      </c>
      <c r="BO901" s="1"/>
      <c r="BP901" s="1" t="str">
        <f>HYPERLINK("https://nconnect.nicmar.ac.in/storage/profile/ProfilePhoto_P25702120_279461.jpg","Download")</f>
        <v>0</v>
      </c>
      <c r="BQ901" s="3"/>
      <c r="BR901" s="3"/>
    </row>
    <row r="902" spans="1:70">
      <c r="A902" s="1" t="s">
        <v>441</v>
      </c>
      <c r="B902" s="1" t="s">
        <v>1269</v>
      </c>
      <c r="C902" s="1" t="s">
        <v>16330</v>
      </c>
      <c r="D902" s="1" t="s">
        <v>16331</v>
      </c>
      <c r="E902" s="1"/>
      <c r="F902" s="1" t="s">
        <v>111</v>
      </c>
      <c r="G902" s="1" t="s">
        <v>16332</v>
      </c>
      <c r="H902" s="1" t="s">
        <v>16333</v>
      </c>
      <c r="I902" s="1" t="s">
        <v>16334</v>
      </c>
      <c r="J902" s="1">
        <v>7559095521</v>
      </c>
      <c r="K902" s="1" t="s">
        <v>79</v>
      </c>
      <c r="L902" s="1" t="s">
        <v>16335</v>
      </c>
      <c r="M902" s="1" t="s">
        <v>81</v>
      </c>
      <c r="N902" s="1" t="s">
        <v>16336</v>
      </c>
      <c r="O902" s="1"/>
      <c r="P902" s="1" t="s">
        <v>1278</v>
      </c>
      <c r="Q902" s="1" t="s">
        <v>16337</v>
      </c>
      <c r="R902" s="1" t="s">
        <v>16338</v>
      </c>
      <c r="S902" s="1">
        <v>9562551369</v>
      </c>
      <c r="T902" s="1" t="s">
        <v>16339</v>
      </c>
      <c r="U902" s="1" t="s">
        <v>16340</v>
      </c>
      <c r="V902" s="1">
        <v>9544378971</v>
      </c>
      <c r="W902" s="1" t="s">
        <v>16341</v>
      </c>
      <c r="X902" s="1" t="s">
        <v>16342</v>
      </c>
      <c r="Y902" s="1" t="s">
        <v>5679</v>
      </c>
      <c r="Z902" s="1" t="s">
        <v>125</v>
      </c>
      <c r="AA902" s="1" t="s">
        <v>16343</v>
      </c>
      <c r="AB902" s="1" t="s">
        <v>5679</v>
      </c>
      <c r="AC902" s="1" t="s">
        <v>125</v>
      </c>
      <c r="AD902" s="1">
        <v>8.45</v>
      </c>
      <c r="AE902" s="1" t="s">
        <v>93</v>
      </c>
      <c r="AF902" s="1" t="s">
        <v>16344</v>
      </c>
      <c r="AG902" s="1" t="s">
        <v>16345</v>
      </c>
      <c r="AH902" s="1" t="s">
        <v>162</v>
      </c>
      <c r="AI902" s="1" t="s">
        <v>479</v>
      </c>
      <c r="AJ902" s="1">
        <v>90</v>
      </c>
      <c r="AK902" s="1">
        <v>0</v>
      </c>
      <c r="AL902" s="1" t="s">
        <v>16346</v>
      </c>
      <c r="AM902" s="1" t="s">
        <v>16347</v>
      </c>
      <c r="AN902" s="1" t="s">
        <v>383</v>
      </c>
      <c r="AO902" s="1" t="s">
        <v>308</v>
      </c>
      <c r="AP902" s="1">
        <v>93.6</v>
      </c>
      <c r="AQ902" s="1">
        <v>0</v>
      </c>
      <c r="AR902" s="1"/>
      <c r="AS902" s="1"/>
      <c r="AT902" s="1"/>
      <c r="AU902" s="1"/>
      <c r="AV902" s="1"/>
      <c r="AW902" s="1"/>
      <c r="AX902" s="1" t="s">
        <v>132</v>
      </c>
      <c r="AY902" s="1" t="s">
        <v>16348</v>
      </c>
      <c r="AZ902" s="1" t="s">
        <v>170</v>
      </c>
      <c r="BA902" s="1" t="s">
        <v>1408</v>
      </c>
      <c r="BB902" s="1">
        <v>78.6</v>
      </c>
      <c r="BC902" s="1">
        <v>7.86</v>
      </c>
      <c r="BD902" s="1"/>
      <c r="BE902" s="1"/>
      <c r="BF902" s="1"/>
      <c r="BG902" s="1"/>
      <c r="BH902" s="1"/>
      <c r="BI902" s="1"/>
      <c r="BJ902" s="1" t="s">
        <v>16349</v>
      </c>
      <c r="BK902" s="1"/>
      <c r="BL902" s="1"/>
      <c r="BM902" s="1" t="s">
        <v>16350</v>
      </c>
      <c r="BN902" s="1">
        <v>39</v>
      </c>
      <c r="BO902" s="1"/>
      <c r="BP902" s="1" t="str">
        <f>HYPERLINK("https://nconnect.nicmar.ac.in/storage/profile/ProfilePhoto_P25702121_187593.jpg","Download")</f>
        <v>0</v>
      </c>
      <c r="BQ902" s="3"/>
      <c r="BR902" s="3"/>
    </row>
    <row r="903" spans="1:70">
      <c r="A903" s="1" t="s">
        <v>441</v>
      </c>
      <c r="B903" s="1" t="s">
        <v>1269</v>
      </c>
      <c r="C903" s="1" t="s">
        <v>16351</v>
      </c>
      <c r="D903" s="1" t="s">
        <v>16352</v>
      </c>
      <c r="E903" s="1" t="s">
        <v>1875</v>
      </c>
      <c r="F903" s="1" t="s">
        <v>144</v>
      </c>
      <c r="G903" s="1" t="s">
        <v>16353</v>
      </c>
      <c r="H903" s="1" t="s">
        <v>16354</v>
      </c>
      <c r="I903" s="1" t="s">
        <v>16355</v>
      </c>
      <c r="J903" s="1">
        <v>9075578064</v>
      </c>
      <c r="K903" s="1" t="s">
        <v>79</v>
      </c>
      <c r="L903" s="1" t="s">
        <v>2681</v>
      </c>
      <c r="M903" s="1" t="s">
        <v>81</v>
      </c>
      <c r="N903" s="1" t="s">
        <v>6817</v>
      </c>
      <c r="O903" s="1"/>
      <c r="P903" s="1" t="s">
        <v>1462</v>
      </c>
      <c r="Q903" s="1" t="s">
        <v>16356</v>
      </c>
      <c r="R903" s="1" t="s">
        <v>144</v>
      </c>
      <c r="S903" s="1">
        <v>9822768663</v>
      </c>
      <c r="T903" s="1" t="s">
        <v>496</v>
      </c>
      <c r="U903" s="1" t="s">
        <v>3816</v>
      </c>
      <c r="V903" s="1">
        <v>9822768663</v>
      </c>
      <c r="W903" s="1" t="s">
        <v>156</v>
      </c>
      <c r="X903" s="1" t="s">
        <v>16357</v>
      </c>
      <c r="Y903" s="1" t="s">
        <v>191</v>
      </c>
      <c r="Z903" s="1" t="s">
        <v>92</v>
      </c>
      <c r="AA903" s="1" t="s">
        <v>16357</v>
      </c>
      <c r="AB903" s="1" t="s">
        <v>191</v>
      </c>
      <c r="AC903" s="1" t="s">
        <v>92</v>
      </c>
      <c r="AD903" s="1">
        <v>8.29</v>
      </c>
      <c r="AE903" s="1" t="s">
        <v>93</v>
      </c>
      <c r="AF903" s="1" t="s">
        <v>16358</v>
      </c>
      <c r="AG903" s="1" t="s">
        <v>16359</v>
      </c>
      <c r="AH903" s="1" t="s">
        <v>101</v>
      </c>
      <c r="AI903" s="1" t="s">
        <v>409</v>
      </c>
      <c r="AJ903" s="1">
        <v>66.6</v>
      </c>
      <c r="AK903" s="1">
        <v>0</v>
      </c>
      <c r="AL903" s="1"/>
      <c r="AM903" s="1"/>
      <c r="AN903" s="1"/>
      <c r="AO903" s="1"/>
      <c r="AP903" s="1"/>
      <c r="AQ903" s="1"/>
      <c r="AR903" s="1" t="s">
        <v>98</v>
      </c>
      <c r="AS903" s="1" t="s">
        <v>16360</v>
      </c>
      <c r="AT903" s="1" t="s">
        <v>433</v>
      </c>
      <c r="AU903" s="1" t="s">
        <v>575</v>
      </c>
      <c r="AV903" s="1">
        <v>79.42</v>
      </c>
      <c r="AW903" s="1">
        <v>0</v>
      </c>
      <c r="AX903" s="1" t="s">
        <v>361</v>
      </c>
      <c r="AY903" s="1" t="s">
        <v>16361</v>
      </c>
      <c r="AZ903" s="1" t="s">
        <v>284</v>
      </c>
      <c r="BA903" s="1" t="s">
        <v>1714</v>
      </c>
      <c r="BB903" s="1">
        <v>59.75</v>
      </c>
      <c r="BC903" s="1">
        <v>6.7</v>
      </c>
      <c r="BD903" s="1"/>
      <c r="BE903" s="1"/>
      <c r="BF903" s="1"/>
      <c r="BG903" s="1"/>
      <c r="BH903" s="1"/>
      <c r="BI903" s="1"/>
      <c r="BJ903" s="1" t="s">
        <v>14624</v>
      </c>
      <c r="BK903" s="1"/>
      <c r="BL903" s="1"/>
      <c r="BM903" s="1" t="s">
        <v>16362</v>
      </c>
      <c r="BN903" s="1">
        <v>17</v>
      </c>
      <c r="BO903" s="1"/>
      <c r="BP903" s="1" t="str">
        <f>HYPERLINK("https://nconnect.nicmar.ac.in/storage/profile/ProfilePhoto_P25702122_472139.jpg","Download")</f>
        <v>0</v>
      </c>
      <c r="BQ903" s="3"/>
      <c r="BR903" s="3"/>
    </row>
    <row r="904" spans="1:70">
      <c r="A904" s="1" t="s">
        <v>441</v>
      </c>
      <c r="B904" s="1" t="s">
        <v>1269</v>
      </c>
      <c r="C904" s="1" t="s">
        <v>16363</v>
      </c>
      <c r="D904" s="1" t="s">
        <v>1117</v>
      </c>
      <c r="E904" s="1"/>
      <c r="F904" s="1" t="s">
        <v>6726</v>
      </c>
      <c r="G904" s="1" t="s">
        <v>16364</v>
      </c>
      <c r="H904" s="1" t="s">
        <v>16365</v>
      </c>
      <c r="I904" s="1" t="s">
        <v>16366</v>
      </c>
      <c r="J904" s="1">
        <v>7089106717</v>
      </c>
      <c r="K904" s="1" t="s">
        <v>79</v>
      </c>
      <c r="L904" s="1" t="s">
        <v>16367</v>
      </c>
      <c r="M904" s="1" t="s">
        <v>81</v>
      </c>
      <c r="N904" s="1" t="s">
        <v>241</v>
      </c>
      <c r="O904" s="1"/>
      <c r="P904" s="1" t="s">
        <v>1323</v>
      </c>
      <c r="Q904" s="1" t="s">
        <v>16368</v>
      </c>
      <c r="R904" s="1" t="s">
        <v>16369</v>
      </c>
      <c r="S904" s="1">
        <v>7049806717</v>
      </c>
      <c r="T904" s="1" t="s">
        <v>16370</v>
      </c>
      <c r="U904" s="1" t="s">
        <v>16371</v>
      </c>
      <c r="V904" s="1">
        <v>9406834977</v>
      </c>
      <c r="W904" s="1" t="s">
        <v>273</v>
      </c>
      <c r="X904" s="1" t="s">
        <v>16372</v>
      </c>
      <c r="Y904" s="1" t="s">
        <v>6382</v>
      </c>
      <c r="Z904" s="1" t="s">
        <v>936</v>
      </c>
      <c r="AA904" s="1" t="s">
        <v>16372</v>
      </c>
      <c r="AB904" s="1" t="s">
        <v>6382</v>
      </c>
      <c r="AC904" s="1" t="s">
        <v>936</v>
      </c>
      <c r="AD904" s="1" t="s">
        <v>93</v>
      </c>
      <c r="AE904" s="1" t="s">
        <v>93</v>
      </c>
      <c r="AF904" s="1" t="s">
        <v>16373</v>
      </c>
      <c r="AG904" s="1" t="s">
        <v>939</v>
      </c>
      <c r="AH904" s="1" t="s">
        <v>658</v>
      </c>
      <c r="AI904" s="1" t="s">
        <v>129</v>
      </c>
      <c r="AJ904" s="1">
        <v>55.1</v>
      </c>
      <c r="AK904" s="1">
        <v>5.8</v>
      </c>
      <c r="AL904" s="1" t="s">
        <v>16374</v>
      </c>
      <c r="AM904" s="1" t="s">
        <v>16375</v>
      </c>
      <c r="AN904" s="1" t="s">
        <v>131</v>
      </c>
      <c r="AO904" s="1" t="s">
        <v>527</v>
      </c>
      <c r="AP904" s="1">
        <v>67.6</v>
      </c>
      <c r="AQ904" s="1">
        <v>7.12</v>
      </c>
      <c r="AR904" s="1"/>
      <c r="AS904" s="1"/>
      <c r="AT904" s="1"/>
      <c r="AU904" s="1"/>
      <c r="AV904" s="1"/>
      <c r="AW904" s="1"/>
      <c r="AX904" s="1" t="s">
        <v>1835</v>
      </c>
      <c r="AY904" s="1" t="s">
        <v>16376</v>
      </c>
      <c r="AZ904" s="1" t="s">
        <v>733</v>
      </c>
      <c r="BA904" s="1" t="s">
        <v>506</v>
      </c>
      <c r="BB904" s="1">
        <v>58.5</v>
      </c>
      <c r="BC904" s="1">
        <v>5.85</v>
      </c>
      <c r="BD904" s="1"/>
      <c r="BE904" s="1"/>
      <c r="BF904" s="1"/>
      <c r="BG904" s="1"/>
      <c r="BH904" s="1"/>
      <c r="BI904" s="1"/>
      <c r="BJ904" s="1" t="s">
        <v>16377</v>
      </c>
      <c r="BK904" s="1" t="s">
        <v>16378</v>
      </c>
      <c r="BL904" s="1" t="s">
        <v>2654</v>
      </c>
      <c r="BM904" s="1" t="s">
        <v>16379</v>
      </c>
      <c r="BN904" s="1">
        <v>32</v>
      </c>
      <c r="BO904" s="1"/>
      <c r="BP904" s="1" t="str">
        <f>HYPERLINK("https://nconnect.nicmar.ac.in/storage/profile/ProfilePhoto_P25702123_324697.jpg","Download")</f>
        <v>0</v>
      </c>
      <c r="BQ904" s="3"/>
      <c r="BR904" s="3"/>
    </row>
    <row r="905" spans="1:70">
      <c r="A905" s="1" t="s">
        <v>441</v>
      </c>
      <c r="B905" s="1" t="s">
        <v>1269</v>
      </c>
      <c r="C905" s="1" t="s">
        <v>16380</v>
      </c>
      <c r="D905" s="1" t="s">
        <v>6599</v>
      </c>
      <c r="E905" s="1"/>
      <c r="F905" s="1" t="s">
        <v>16381</v>
      </c>
      <c r="G905" s="1" t="s">
        <v>16382</v>
      </c>
      <c r="H905" s="1" t="s">
        <v>16383</v>
      </c>
      <c r="I905" s="1" t="s">
        <v>16384</v>
      </c>
      <c r="J905" s="1">
        <v>9497512916</v>
      </c>
      <c r="K905" s="1" t="s">
        <v>79</v>
      </c>
      <c r="L905" s="1" t="s">
        <v>16385</v>
      </c>
      <c r="M905" s="1" t="s">
        <v>81</v>
      </c>
      <c r="N905" s="1" t="s">
        <v>16386</v>
      </c>
      <c r="O905" s="1"/>
      <c r="P905" s="1" t="s">
        <v>1298</v>
      </c>
      <c r="Q905" s="1" t="s">
        <v>16387</v>
      </c>
      <c r="R905" s="1" t="s">
        <v>16388</v>
      </c>
      <c r="S905" s="1">
        <v>9446511291</v>
      </c>
      <c r="T905" s="1" t="s">
        <v>6751</v>
      </c>
      <c r="U905" s="1" t="s">
        <v>16389</v>
      </c>
      <c r="V905" s="1">
        <v>9496549541</v>
      </c>
      <c r="W905" s="1" t="s">
        <v>16390</v>
      </c>
      <c r="X905" s="1" t="s">
        <v>16391</v>
      </c>
      <c r="Y905" s="1" t="s">
        <v>3998</v>
      </c>
      <c r="Z905" s="1" t="s">
        <v>125</v>
      </c>
      <c r="AA905" s="1" t="s">
        <v>16391</v>
      </c>
      <c r="AB905" s="1" t="s">
        <v>3998</v>
      </c>
      <c r="AC905" s="1" t="s">
        <v>125</v>
      </c>
      <c r="AD905" s="1">
        <v>8.4</v>
      </c>
      <c r="AE905" s="1" t="s">
        <v>93</v>
      </c>
      <c r="AF905" s="1" t="s">
        <v>16392</v>
      </c>
      <c r="AG905" s="1" t="s">
        <v>939</v>
      </c>
      <c r="AH905" s="1" t="s">
        <v>332</v>
      </c>
      <c r="AI905" s="1" t="s">
        <v>1242</v>
      </c>
      <c r="AJ905" s="1">
        <v>85.5</v>
      </c>
      <c r="AK905" s="1">
        <v>9</v>
      </c>
      <c r="AL905" s="1" t="s">
        <v>16393</v>
      </c>
      <c r="AM905" s="1" t="s">
        <v>16394</v>
      </c>
      <c r="AN905" s="1" t="s">
        <v>998</v>
      </c>
      <c r="AO905" s="1" t="s">
        <v>97</v>
      </c>
      <c r="AP905" s="1">
        <v>73.25</v>
      </c>
      <c r="AQ905" s="1">
        <v>0</v>
      </c>
      <c r="AR905" s="1"/>
      <c r="AS905" s="1"/>
      <c r="AT905" s="1"/>
      <c r="AU905" s="1"/>
      <c r="AV905" s="1"/>
      <c r="AW905" s="1"/>
      <c r="AX905" s="1" t="s">
        <v>16395</v>
      </c>
      <c r="AY905" s="1" t="s">
        <v>16396</v>
      </c>
      <c r="AZ905" s="1" t="s">
        <v>100</v>
      </c>
      <c r="BA905" s="1" t="s">
        <v>2103</v>
      </c>
      <c r="BB905" s="1">
        <v>63.5</v>
      </c>
      <c r="BC905" s="1">
        <v>6.35</v>
      </c>
      <c r="BD905" s="1"/>
      <c r="BE905" s="1"/>
      <c r="BF905" s="1"/>
      <c r="BG905" s="1"/>
      <c r="BH905" s="1"/>
      <c r="BI905" s="1"/>
      <c r="BJ905" s="1" t="s">
        <v>1715</v>
      </c>
      <c r="BK905" s="1"/>
      <c r="BL905" s="1"/>
      <c r="BM905" s="1" t="s">
        <v>16397</v>
      </c>
      <c r="BN905" s="1">
        <v>101</v>
      </c>
      <c r="BO905" s="1" t="s">
        <v>16398</v>
      </c>
      <c r="BP905" s="1" t="str">
        <f>HYPERLINK("https://nconnect.nicmar.ac.in/storage/profile/ProfilePhoto_P25702124_236974.jpg","Download")</f>
        <v>0</v>
      </c>
      <c r="BQ905" s="3"/>
      <c r="BR905" s="3"/>
    </row>
    <row r="906" spans="1:70">
      <c r="A906" s="1" t="s">
        <v>441</v>
      </c>
      <c r="B906" s="1" t="s">
        <v>1269</v>
      </c>
      <c r="C906" s="1" t="s">
        <v>16399</v>
      </c>
      <c r="D906" s="1" t="s">
        <v>16400</v>
      </c>
      <c r="E906" s="1" t="s">
        <v>3868</v>
      </c>
      <c r="F906" s="1" t="s">
        <v>16401</v>
      </c>
      <c r="G906" s="1" t="s">
        <v>16402</v>
      </c>
      <c r="H906" s="1" t="s">
        <v>16403</v>
      </c>
      <c r="I906" s="1" t="s">
        <v>16404</v>
      </c>
      <c r="J906" s="1">
        <v>8806047010</v>
      </c>
      <c r="K906" s="1" t="s">
        <v>148</v>
      </c>
      <c r="L906" s="1" t="s">
        <v>8686</v>
      </c>
      <c r="M906" s="1" t="s">
        <v>81</v>
      </c>
      <c r="N906" s="1" t="s">
        <v>3194</v>
      </c>
      <c r="O906" s="1"/>
      <c r="P906" s="1" t="s">
        <v>1323</v>
      </c>
      <c r="Q906" s="1" t="s">
        <v>16405</v>
      </c>
      <c r="R906" s="1" t="s">
        <v>3868</v>
      </c>
      <c r="S906" s="1">
        <v>9422734028</v>
      </c>
      <c r="T906" s="1" t="s">
        <v>377</v>
      </c>
      <c r="U906" s="1" t="s">
        <v>6026</v>
      </c>
      <c r="V906" s="1">
        <v>9850192927</v>
      </c>
      <c r="W906" s="1" t="s">
        <v>273</v>
      </c>
      <c r="X906" s="1" t="s">
        <v>16406</v>
      </c>
      <c r="Y906" s="1" t="s">
        <v>1424</v>
      </c>
      <c r="Z906" s="1" t="s">
        <v>92</v>
      </c>
      <c r="AA906" s="1" t="s">
        <v>16407</v>
      </c>
      <c r="AB906" s="1" t="s">
        <v>1424</v>
      </c>
      <c r="AC906" s="1" t="s">
        <v>92</v>
      </c>
      <c r="AD906" s="1" t="s">
        <v>93</v>
      </c>
      <c r="AE906" s="1" t="s">
        <v>93</v>
      </c>
      <c r="AF906" s="1" t="s">
        <v>16408</v>
      </c>
      <c r="AG906" s="1" t="s">
        <v>160</v>
      </c>
      <c r="AH906" s="1" t="s">
        <v>1516</v>
      </c>
      <c r="AI906" s="1" t="s">
        <v>97</v>
      </c>
      <c r="AJ906" s="1">
        <v>67.6</v>
      </c>
      <c r="AK906" s="1"/>
      <c r="AL906" s="1" t="s">
        <v>16409</v>
      </c>
      <c r="AM906" s="1" t="s">
        <v>160</v>
      </c>
      <c r="AN906" s="1" t="s">
        <v>131</v>
      </c>
      <c r="AO906" s="1" t="s">
        <v>195</v>
      </c>
      <c r="AP906" s="1">
        <v>56.31</v>
      </c>
      <c r="AQ906" s="1"/>
      <c r="AR906" s="1"/>
      <c r="AS906" s="1"/>
      <c r="AT906" s="1"/>
      <c r="AU906" s="1"/>
      <c r="AV906" s="1"/>
      <c r="AW906" s="1"/>
      <c r="AX906" s="1" t="s">
        <v>410</v>
      </c>
      <c r="AY906" s="1" t="s">
        <v>16410</v>
      </c>
      <c r="AZ906" s="1" t="s">
        <v>166</v>
      </c>
      <c r="BA906" s="1" t="s">
        <v>590</v>
      </c>
      <c r="BB906" s="1">
        <v>57.6</v>
      </c>
      <c r="BC906" s="1">
        <v>6.51</v>
      </c>
      <c r="BD906" s="1"/>
      <c r="BE906" s="1"/>
      <c r="BF906" s="1"/>
      <c r="BG906" s="1"/>
      <c r="BH906" s="1"/>
      <c r="BI906" s="1"/>
      <c r="BJ906" s="1" t="s">
        <v>16411</v>
      </c>
      <c r="BK906" s="1" t="s">
        <v>16412</v>
      </c>
      <c r="BL906" s="1" t="s">
        <v>2019</v>
      </c>
      <c r="BM906" s="1" t="s">
        <v>16413</v>
      </c>
      <c r="BN906" s="1">
        <v>48</v>
      </c>
      <c r="BO906" s="1" t="s">
        <v>16414</v>
      </c>
      <c r="BP906" s="1" t="str">
        <f>HYPERLINK("https://nconnect.nicmar.ac.in/storage/profile/ProfilePhoto_P25702125_416987.jpg","Download")</f>
        <v>0</v>
      </c>
      <c r="BQ906" s="3"/>
      <c r="BR906" s="3"/>
    </row>
    <row r="907" spans="1:70">
      <c r="A907" s="1" t="s">
        <v>441</v>
      </c>
      <c r="B907" s="1" t="s">
        <v>1269</v>
      </c>
      <c r="C907" s="1" t="s">
        <v>16415</v>
      </c>
      <c r="D907" s="1" t="s">
        <v>2128</v>
      </c>
      <c r="E907" s="1" t="s">
        <v>5088</v>
      </c>
      <c r="F907" s="1" t="s">
        <v>16416</v>
      </c>
      <c r="G907" s="1" t="s">
        <v>16417</v>
      </c>
      <c r="H907" s="1" t="s">
        <v>16418</v>
      </c>
      <c r="I907" s="1" t="s">
        <v>16419</v>
      </c>
      <c r="J907" s="1">
        <v>7208199285</v>
      </c>
      <c r="K907" s="1" t="s">
        <v>79</v>
      </c>
      <c r="L907" s="1" t="s">
        <v>16420</v>
      </c>
      <c r="M907" s="1" t="s">
        <v>81</v>
      </c>
      <c r="N907" s="1" t="s">
        <v>1618</v>
      </c>
      <c r="O907" s="1" t="s">
        <v>16421</v>
      </c>
      <c r="P907" s="1" t="s">
        <v>1278</v>
      </c>
      <c r="Q907" s="1" t="s">
        <v>16422</v>
      </c>
      <c r="R907" s="1" t="s">
        <v>16423</v>
      </c>
      <c r="S907" s="1">
        <v>9819826367</v>
      </c>
      <c r="T907" s="1" t="s">
        <v>16424</v>
      </c>
      <c r="U907" s="1" t="s">
        <v>16425</v>
      </c>
      <c r="V907" s="1">
        <v>9833102472</v>
      </c>
      <c r="W907" s="1" t="s">
        <v>16426</v>
      </c>
      <c r="X907" s="1" t="s">
        <v>16427</v>
      </c>
      <c r="Y907" s="1" t="s">
        <v>1623</v>
      </c>
      <c r="Z907" s="1" t="s">
        <v>92</v>
      </c>
      <c r="AA907" s="1" t="s">
        <v>16427</v>
      </c>
      <c r="AB907" s="1" t="s">
        <v>1623</v>
      </c>
      <c r="AC907" s="1" t="s">
        <v>92</v>
      </c>
      <c r="AD907" s="1">
        <v>8.0</v>
      </c>
      <c r="AE907" s="1" t="s">
        <v>93</v>
      </c>
      <c r="AF907" s="1" t="s">
        <v>16428</v>
      </c>
      <c r="AG907" s="1" t="s">
        <v>16429</v>
      </c>
      <c r="AH907" s="1" t="s">
        <v>999</v>
      </c>
      <c r="AI907" s="1" t="s">
        <v>97</v>
      </c>
      <c r="AJ907" s="1">
        <v>85</v>
      </c>
      <c r="AK907" s="1"/>
      <c r="AL907" s="1" t="s">
        <v>16430</v>
      </c>
      <c r="AM907" s="1" t="s">
        <v>16431</v>
      </c>
      <c r="AN907" s="1" t="s">
        <v>1001</v>
      </c>
      <c r="AO907" s="1" t="s">
        <v>1332</v>
      </c>
      <c r="AP907" s="1">
        <v>60.77</v>
      </c>
      <c r="AQ907" s="1"/>
      <c r="AR907" s="1"/>
      <c r="AS907" s="1"/>
      <c r="AT907" s="1"/>
      <c r="AU907" s="1"/>
      <c r="AV907" s="1"/>
      <c r="AW907" s="1"/>
      <c r="AX907" s="1" t="s">
        <v>1024</v>
      </c>
      <c r="AY907" s="1" t="s">
        <v>16432</v>
      </c>
      <c r="AZ907" s="1" t="s">
        <v>225</v>
      </c>
      <c r="BA907" s="1" t="s">
        <v>284</v>
      </c>
      <c r="BB907" s="1">
        <v>59.99</v>
      </c>
      <c r="BC907" s="1">
        <v>6.76</v>
      </c>
      <c r="BD907" s="1"/>
      <c r="BE907" s="1"/>
      <c r="BF907" s="1"/>
      <c r="BG907" s="1"/>
      <c r="BH907" s="1"/>
      <c r="BI907" s="1"/>
      <c r="BJ907" s="1" t="s">
        <v>16433</v>
      </c>
      <c r="BK907" s="1" t="s">
        <v>16434</v>
      </c>
      <c r="BL907" s="1" t="s">
        <v>340</v>
      </c>
      <c r="BM907" s="1" t="s">
        <v>16435</v>
      </c>
      <c r="BN907" s="1">
        <v>9</v>
      </c>
      <c r="BO907" s="1"/>
      <c r="BP907" s="1" t="str">
        <f>HYPERLINK("https://nconnect.nicmar.ac.in/storage/profile/ProfilePhoto_P25702126_789261.jpg","Download")</f>
        <v>0</v>
      </c>
      <c r="BQ907" s="3"/>
      <c r="BR907" s="3"/>
    </row>
    <row r="908" spans="1:70">
      <c r="A908" s="1" t="s">
        <v>441</v>
      </c>
      <c r="B908" s="1" t="s">
        <v>1269</v>
      </c>
      <c r="C908" s="1" t="s">
        <v>16436</v>
      </c>
      <c r="D908" s="1" t="s">
        <v>16437</v>
      </c>
      <c r="E908" s="1" t="s">
        <v>368</v>
      </c>
      <c r="F908" s="1" t="s">
        <v>16438</v>
      </c>
      <c r="G908" s="1" t="s">
        <v>16439</v>
      </c>
      <c r="H908" s="1" t="s">
        <v>16440</v>
      </c>
      <c r="I908" s="1" t="s">
        <v>16441</v>
      </c>
      <c r="J908" s="1">
        <v>9673225581</v>
      </c>
      <c r="K908" s="1" t="s">
        <v>79</v>
      </c>
      <c r="L908" s="1" t="s">
        <v>16442</v>
      </c>
      <c r="M908" s="1" t="s">
        <v>81</v>
      </c>
      <c r="N908" s="1" t="s">
        <v>1704</v>
      </c>
      <c r="O908" s="1"/>
      <c r="P908" s="1" t="s">
        <v>1323</v>
      </c>
      <c r="Q908" s="1" t="s">
        <v>16443</v>
      </c>
      <c r="R908" s="1" t="s">
        <v>16444</v>
      </c>
      <c r="S908" s="1">
        <v>9850044357</v>
      </c>
      <c r="T908" s="1" t="s">
        <v>496</v>
      </c>
      <c r="U908" s="1" t="s">
        <v>16445</v>
      </c>
      <c r="V908" s="1">
        <v>8975557446</v>
      </c>
      <c r="W908" s="1" t="s">
        <v>156</v>
      </c>
      <c r="X908" s="1" t="s">
        <v>16446</v>
      </c>
      <c r="Y908" s="1" t="s">
        <v>1174</v>
      </c>
      <c r="Z908" s="1" t="s">
        <v>92</v>
      </c>
      <c r="AA908" s="1" t="s">
        <v>16446</v>
      </c>
      <c r="AB908" s="1" t="s">
        <v>1174</v>
      </c>
      <c r="AC908" s="1" t="s">
        <v>92</v>
      </c>
      <c r="AD908" s="1">
        <v>7.66</v>
      </c>
      <c r="AE908" s="1" t="s">
        <v>93</v>
      </c>
      <c r="AF908" s="1" t="s">
        <v>16447</v>
      </c>
      <c r="AG908" s="1" t="s">
        <v>4453</v>
      </c>
      <c r="AH908" s="1" t="s">
        <v>332</v>
      </c>
      <c r="AI908" s="1" t="s">
        <v>727</v>
      </c>
      <c r="AJ908" s="1">
        <v>65.27</v>
      </c>
      <c r="AK908" s="1"/>
      <c r="AL908" s="1" t="s">
        <v>16448</v>
      </c>
      <c r="AM908" s="1" t="s">
        <v>4453</v>
      </c>
      <c r="AN908" s="1" t="s">
        <v>12104</v>
      </c>
      <c r="AO908" s="1" t="s">
        <v>12104</v>
      </c>
      <c r="AP908" s="1">
        <v>50</v>
      </c>
      <c r="AQ908" s="1"/>
      <c r="AR908" s="1"/>
      <c r="AS908" s="1"/>
      <c r="AT908" s="1"/>
      <c r="AU908" s="1"/>
      <c r="AV908" s="1"/>
      <c r="AW908" s="1"/>
      <c r="AX908" s="1" t="s">
        <v>5048</v>
      </c>
      <c r="AY908" s="1" t="s">
        <v>16449</v>
      </c>
      <c r="AZ908" s="1" t="s">
        <v>100</v>
      </c>
      <c r="BA908" s="1" t="s">
        <v>575</v>
      </c>
      <c r="BB908" s="1">
        <v>56.3</v>
      </c>
      <c r="BC908" s="1"/>
      <c r="BD908" s="1"/>
      <c r="BE908" s="1"/>
      <c r="BF908" s="1"/>
      <c r="BG908" s="1"/>
      <c r="BH908" s="1"/>
      <c r="BI908" s="1"/>
      <c r="BJ908" s="1" t="s">
        <v>16450</v>
      </c>
      <c r="BK908" s="1" t="s">
        <v>16451</v>
      </c>
      <c r="BL908" s="1" t="s">
        <v>16452</v>
      </c>
      <c r="BM908" s="1"/>
      <c r="BN908" s="1"/>
      <c r="BO908" s="1"/>
      <c r="BP908" s="1" t="str">
        <f>HYPERLINK("https://nconnect.nicmar.ac.in/storage/profile/ProfilePhoto_P25702127_783594.jpg","Download")</f>
        <v>0</v>
      </c>
      <c r="BQ908" s="3"/>
      <c r="BR908" s="3"/>
    </row>
    <row r="909" spans="1:70">
      <c r="A909" s="1" t="s">
        <v>441</v>
      </c>
      <c r="B909" s="1" t="s">
        <v>1269</v>
      </c>
      <c r="C909" s="1" t="s">
        <v>16453</v>
      </c>
      <c r="D909" s="1" t="s">
        <v>16078</v>
      </c>
      <c r="E909" s="1" t="s">
        <v>6318</v>
      </c>
      <c r="F909" s="1" t="s">
        <v>16454</v>
      </c>
      <c r="G909" s="1" t="s">
        <v>16455</v>
      </c>
      <c r="H909" s="1" t="s">
        <v>16456</v>
      </c>
      <c r="I909" s="1" t="s">
        <v>16457</v>
      </c>
      <c r="J909" s="1">
        <v>7038130346</v>
      </c>
      <c r="K909" s="1" t="s">
        <v>79</v>
      </c>
      <c r="L909" s="1" t="s">
        <v>15241</v>
      </c>
      <c r="M909" s="1" t="s">
        <v>81</v>
      </c>
      <c r="N909" s="1" t="s">
        <v>16458</v>
      </c>
      <c r="O909" s="1"/>
      <c r="P909" s="1" t="s">
        <v>1298</v>
      </c>
      <c r="Q909" s="1" t="s">
        <v>16459</v>
      </c>
      <c r="R909" s="1" t="s">
        <v>6318</v>
      </c>
      <c r="S909" s="1">
        <v>7038130346</v>
      </c>
      <c r="T909" s="1" t="s">
        <v>2767</v>
      </c>
      <c r="U909" s="1" t="s">
        <v>16460</v>
      </c>
      <c r="V909" s="1">
        <v>8888415475</v>
      </c>
      <c r="W909" s="1" t="s">
        <v>2494</v>
      </c>
      <c r="X909" s="1" t="s">
        <v>16461</v>
      </c>
      <c r="Y909" s="1" t="s">
        <v>191</v>
      </c>
      <c r="Z909" s="1" t="s">
        <v>92</v>
      </c>
      <c r="AA909" s="1" t="s">
        <v>16462</v>
      </c>
      <c r="AB909" s="1" t="s">
        <v>158</v>
      </c>
      <c r="AC909" s="1" t="s">
        <v>92</v>
      </c>
      <c r="AD909" s="1" t="s">
        <v>93</v>
      </c>
      <c r="AE909" s="1" t="s">
        <v>93</v>
      </c>
      <c r="AF909" s="1" t="s">
        <v>16463</v>
      </c>
      <c r="AG909" s="1" t="s">
        <v>11863</v>
      </c>
      <c r="AH909" s="1" t="s">
        <v>162</v>
      </c>
      <c r="AI909" s="1" t="s">
        <v>195</v>
      </c>
      <c r="AJ909" s="1">
        <v>68.8</v>
      </c>
      <c r="AK909" s="1"/>
      <c r="AL909" s="1" t="s">
        <v>16464</v>
      </c>
      <c r="AM909" s="1" t="s">
        <v>11863</v>
      </c>
      <c r="AN909" s="1" t="s">
        <v>433</v>
      </c>
      <c r="AO909" s="1" t="s">
        <v>699</v>
      </c>
      <c r="AP909" s="1">
        <v>56.15</v>
      </c>
      <c r="AQ909" s="1"/>
      <c r="AR909" s="1"/>
      <c r="AS909" s="1"/>
      <c r="AT909" s="1"/>
      <c r="AU909" s="1"/>
      <c r="AV909" s="1"/>
      <c r="AW909" s="1"/>
      <c r="AX909" s="1" t="s">
        <v>5322</v>
      </c>
      <c r="AY909" s="1" t="s">
        <v>16465</v>
      </c>
      <c r="AZ909" s="1" t="s">
        <v>699</v>
      </c>
      <c r="BA909" s="1" t="s">
        <v>202</v>
      </c>
      <c r="BB909" s="1">
        <v>70.9</v>
      </c>
      <c r="BC909" s="1">
        <v>8.24</v>
      </c>
      <c r="BD909" s="1"/>
      <c r="BE909" s="1"/>
      <c r="BF909" s="1"/>
      <c r="BG909" s="1"/>
      <c r="BH909" s="1"/>
      <c r="BI909" s="1"/>
      <c r="BJ909" s="1" t="s">
        <v>1383</v>
      </c>
      <c r="BK909" s="1"/>
      <c r="BL909" s="1"/>
      <c r="BM909" s="1" t="s">
        <v>16466</v>
      </c>
      <c r="BN909" s="1">
        <v>8</v>
      </c>
      <c r="BO909" s="1" t="s">
        <v>16467</v>
      </c>
      <c r="BP909" s="1" t="str">
        <f>HYPERLINK("https://nconnect.nicmar.ac.in/storage/profile/ProfilePhoto_P25702128_617289.jpg","Download")</f>
        <v>0</v>
      </c>
      <c r="BQ909" s="3"/>
      <c r="BR909" s="3"/>
    </row>
    <row r="910" spans="1:70">
      <c r="A910" s="1" t="s">
        <v>441</v>
      </c>
      <c r="B910" s="1" t="s">
        <v>1269</v>
      </c>
      <c r="C910" s="1" t="s">
        <v>16468</v>
      </c>
      <c r="D910" s="1" t="s">
        <v>5071</v>
      </c>
      <c r="E910" s="1" t="s">
        <v>16469</v>
      </c>
      <c r="F910" s="1" t="s">
        <v>16470</v>
      </c>
      <c r="G910" s="1" t="s">
        <v>16471</v>
      </c>
      <c r="H910" s="1" t="s">
        <v>16472</v>
      </c>
      <c r="I910" s="1" t="s">
        <v>16473</v>
      </c>
      <c r="J910" s="1">
        <v>8169943350</v>
      </c>
      <c r="K910" s="1" t="s">
        <v>79</v>
      </c>
      <c r="L910" s="1" t="s">
        <v>16474</v>
      </c>
      <c r="M910" s="1" t="s">
        <v>81</v>
      </c>
      <c r="N910" s="1" t="s">
        <v>16475</v>
      </c>
      <c r="O910" s="1"/>
      <c r="P910" s="1"/>
      <c r="Q910" s="1" t="s">
        <v>16476</v>
      </c>
      <c r="R910" s="1" t="s">
        <v>16477</v>
      </c>
      <c r="S910" s="1">
        <v>9821318051</v>
      </c>
      <c r="T910" s="1" t="s">
        <v>910</v>
      </c>
      <c r="U910" s="1" t="s">
        <v>16478</v>
      </c>
      <c r="V910" s="1">
        <v>9967236103</v>
      </c>
      <c r="W910" s="1" t="s">
        <v>651</v>
      </c>
      <c r="X910" s="1" t="s">
        <v>16479</v>
      </c>
      <c r="Y910" s="1" t="s">
        <v>1623</v>
      </c>
      <c r="Z910" s="1" t="s">
        <v>92</v>
      </c>
      <c r="AA910" s="1" t="s">
        <v>16479</v>
      </c>
      <c r="AB910" s="1" t="s">
        <v>1623</v>
      </c>
      <c r="AC910" s="1" t="s">
        <v>92</v>
      </c>
      <c r="AD910" s="1">
        <v>8.74</v>
      </c>
      <c r="AE910" s="1" t="s">
        <v>93</v>
      </c>
      <c r="AF910" s="1" t="s">
        <v>16480</v>
      </c>
      <c r="AG910" s="1" t="s">
        <v>16481</v>
      </c>
      <c r="AH910" s="1" t="s">
        <v>249</v>
      </c>
      <c r="AI910" s="1" t="s">
        <v>1242</v>
      </c>
      <c r="AJ910" s="1">
        <v>80.91</v>
      </c>
      <c r="AK910" s="1"/>
      <c r="AL910" s="1" t="s">
        <v>16482</v>
      </c>
      <c r="AM910" s="1" t="s">
        <v>16481</v>
      </c>
      <c r="AN910" s="1" t="s">
        <v>130</v>
      </c>
      <c r="AO910" s="1" t="s">
        <v>12104</v>
      </c>
      <c r="AP910" s="1">
        <v>67.23</v>
      </c>
      <c r="AQ910" s="1"/>
      <c r="AR910" s="1"/>
      <c r="AS910" s="1"/>
      <c r="AT910" s="1"/>
      <c r="AU910" s="1"/>
      <c r="AV910" s="1"/>
      <c r="AW910" s="1"/>
      <c r="AX910" s="1" t="s">
        <v>16483</v>
      </c>
      <c r="AY910" s="1" t="s">
        <v>16484</v>
      </c>
      <c r="AZ910" s="1" t="s">
        <v>337</v>
      </c>
      <c r="BA910" s="1" t="s">
        <v>308</v>
      </c>
      <c r="BB910" s="1">
        <v>54.81</v>
      </c>
      <c r="BC910" s="1">
        <v>6.03</v>
      </c>
      <c r="BD910" s="1"/>
      <c r="BE910" s="1"/>
      <c r="BF910" s="1"/>
      <c r="BG910" s="1"/>
      <c r="BH910" s="1"/>
      <c r="BI910" s="1"/>
      <c r="BJ910" s="1" t="s">
        <v>364</v>
      </c>
      <c r="BK910" s="1" t="s">
        <v>16485</v>
      </c>
      <c r="BL910" s="1" t="s">
        <v>5902</v>
      </c>
      <c r="BM910" s="1"/>
      <c r="BN910" s="1"/>
      <c r="BO910" s="1"/>
      <c r="BP910" s="1" t="str">
        <f>HYPERLINK("https://nconnect.nicmar.ac.in/storage/profile/ProfilePhoto_P25702129_946852.jpg","Download")</f>
        <v>0</v>
      </c>
      <c r="BQ910" s="3"/>
      <c r="BR910" s="3"/>
    </row>
    <row r="911" spans="1:70">
      <c r="A911" s="1" t="s">
        <v>441</v>
      </c>
      <c r="B911" s="1" t="s">
        <v>1269</v>
      </c>
      <c r="C911" s="1" t="s">
        <v>16486</v>
      </c>
      <c r="D911" s="1" t="s">
        <v>16487</v>
      </c>
      <c r="E911" s="1"/>
      <c r="F911" s="1" t="s">
        <v>835</v>
      </c>
      <c r="G911" s="1" t="s">
        <v>16488</v>
      </c>
      <c r="H911" s="1" t="s">
        <v>16489</v>
      </c>
      <c r="I911" s="1" t="s">
        <v>16490</v>
      </c>
      <c r="J911" s="1">
        <v>9821737929</v>
      </c>
      <c r="K911" s="1" t="s">
        <v>79</v>
      </c>
      <c r="L911" s="1" t="s">
        <v>16491</v>
      </c>
      <c r="M911" s="1" t="s">
        <v>81</v>
      </c>
      <c r="N911" s="1" t="s">
        <v>16492</v>
      </c>
      <c r="O911" s="1"/>
      <c r="P911" s="1" t="s">
        <v>2821</v>
      </c>
      <c r="Q911" s="1" t="s">
        <v>16493</v>
      </c>
      <c r="R911" s="1" t="s">
        <v>16494</v>
      </c>
      <c r="S911" s="1">
        <v>8595471799</v>
      </c>
      <c r="T911" s="1" t="s">
        <v>87</v>
      </c>
      <c r="U911" s="1" t="s">
        <v>16495</v>
      </c>
      <c r="V911" s="1">
        <v>9315221196</v>
      </c>
      <c r="W911" s="1" t="s">
        <v>9311</v>
      </c>
      <c r="X911" s="1" t="s">
        <v>16496</v>
      </c>
      <c r="Y911" s="1" t="s">
        <v>721</v>
      </c>
      <c r="Z911" s="1" t="s">
        <v>722</v>
      </c>
      <c r="AA911" s="1" t="s">
        <v>16496</v>
      </c>
      <c r="AB911" s="1" t="s">
        <v>721</v>
      </c>
      <c r="AC911" s="1" t="s">
        <v>722</v>
      </c>
      <c r="AD911" s="1">
        <v>8.03</v>
      </c>
      <c r="AE911" s="1" t="s">
        <v>93</v>
      </c>
      <c r="AF911" s="1" t="s">
        <v>16497</v>
      </c>
      <c r="AG911" s="1" t="s">
        <v>16498</v>
      </c>
      <c r="AH911" s="1" t="s">
        <v>281</v>
      </c>
      <c r="AI911" s="1" t="s">
        <v>308</v>
      </c>
      <c r="AJ911" s="1">
        <v>80.6</v>
      </c>
      <c r="AK911" s="1">
        <v>8.48</v>
      </c>
      <c r="AL911" s="1" t="s">
        <v>16497</v>
      </c>
      <c r="AM911" s="1" t="s">
        <v>16498</v>
      </c>
      <c r="AN911" s="1" t="s">
        <v>941</v>
      </c>
      <c r="AO911" s="1" t="s">
        <v>506</v>
      </c>
      <c r="AP911" s="1">
        <v>91.2</v>
      </c>
      <c r="AQ911" s="1">
        <v>9.6</v>
      </c>
      <c r="AR911" s="1"/>
      <c r="AS911" s="1"/>
      <c r="AT911" s="1"/>
      <c r="AU911" s="1"/>
      <c r="AV911" s="1"/>
      <c r="AW911" s="1"/>
      <c r="AX911" s="1" t="s">
        <v>2228</v>
      </c>
      <c r="AY911" s="1" t="s">
        <v>16499</v>
      </c>
      <c r="AZ911" s="1" t="s">
        <v>1051</v>
      </c>
      <c r="BA911" s="1" t="s">
        <v>1584</v>
      </c>
      <c r="BB911" s="1">
        <v>64.3</v>
      </c>
      <c r="BC911" s="1">
        <v>6.43</v>
      </c>
      <c r="BD911" s="1"/>
      <c r="BE911" s="1"/>
      <c r="BF911" s="1"/>
      <c r="BG911" s="1"/>
      <c r="BH911" s="1"/>
      <c r="BI911" s="1"/>
      <c r="BJ911" s="1" t="s">
        <v>1383</v>
      </c>
      <c r="BK911" s="1"/>
      <c r="BL911" s="1"/>
      <c r="BM911" s="1" t="s">
        <v>16500</v>
      </c>
      <c r="BN911" s="1">
        <v>8</v>
      </c>
      <c r="BO911" s="1"/>
      <c r="BP911" s="1" t="str">
        <f>HYPERLINK("https://nconnect.nicmar.ac.in/storage/profile/ProfilePhoto_P25702130_924736.jpg","Download")</f>
        <v>0</v>
      </c>
      <c r="BQ911" s="3"/>
      <c r="BR911" s="3"/>
    </row>
    <row r="912" spans="1:70">
      <c r="A912" s="1" t="s">
        <v>441</v>
      </c>
      <c r="B912" s="1" t="s">
        <v>1269</v>
      </c>
      <c r="C912" s="1" t="s">
        <v>16501</v>
      </c>
      <c r="D912" s="1" t="s">
        <v>2579</v>
      </c>
      <c r="E912" s="1" t="s">
        <v>596</v>
      </c>
      <c r="F912" s="1" t="s">
        <v>16502</v>
      </c>
      <c r="G912" s="1" t="s">
        <v>16503</v>
      </c>
      <c r="H912" s="1" t="s">
        <v>16504</v>
      </c>
      <c r="I912" s="1" t="s">
        <v>16505</v>
      </c>
      <c r="J912" s="1">
        <v>7348925727</v>
      </c>
      <c r="K912" s="1" t="s">
        <v>79</v>
      </c>
      <c r="L912" s="1" t="s">
        <v>16506</v>
      </c>
      <c r="M912" s="1" t="s">
        <v>81</v>
      </c>
      <c r="N912" s="1" t="s">
        <v>16507</v>
      </c>
      <c r="O912" s="1"/>
      <c r="P912" s="1" t="s">
        <v>1323</v>
      </c>
      <c r="Q912" s="1" t="s">
        <v>16508</v>
      </c>
      <c r="R912" s="1" t="s">
        <v>16509</v>
      </c>
      <c r="S912" s="1">
        <v>9448679498</v>
      </c>
      <c r="T912" s="1" t="s">
        <v>16510</v>
      </c>
      <c r="U912" s="1" t="s">
        <v>16511</v>
      </c>
      <c r="V912" s="1">
        <v>8884791237</v>
      </c>
      <c r="W912" s="1" t="s">
        <v>156</v>
      </c>
      <c r="X912" s="1" t="s">
        <v>16512</v>
      </c>
      <c r="Y912" s="1" t="s">
        <v>16513</v>
      </c>
      <c r="Z912" s="1" t="s">
        <v>1084</v>
      </c>
      <c r="AA912" s="1" t="s">
        <v>16514</v>
      </c>
      <c r="AB912" s="1" t="s">
        <v>16513</v>
      </c>
      <c r="AC912" s="1" t="s">
        <v>1084</v>
      </c>
      <c r="AD912" s="1">
        <v>7.35</v>
      </c>
      <c r="AE912" s="1" t="s">
        <v>93</v>
      </c>
      <c r="AF912" s="1" t="s">
        <v>16515</v>
      </c>
      <c r="AG912" s="1" t="s">
        <v>307</v>
      </c>
      <c r="AH912" s="1" t="s">
        <v>678</v>
      </c>
      <c r="AI912" s="1" t="s">
        <v>166</v>
      </c>
      <c r="AJ912" s="1">
        <v>57.6</v>
      </c>
      <c r="AK912" s="1"/>
      <c r="AL912" s="1" t="s">
        <v>16516</v>
      </c>
      <c r="AM912" s="1" t="s">
        <v>4526</v>
      </c>
      <c r="AN912" s="1" t="s">
        <v>433</v>
      </c>
      <c r="AO912" s="1" t="s">
        <v>2463</v>
      </c>
      <c r="AP912" s="1">
        <v>51</v>
      </c>
      <c r="AQ912" s="1"/>
      <c r="AR912" s="1"/>
      <c r="AS912" s="1"/>
      <c r="AT912" s="1"/>
      <c r="AU912" s="1"/>
      <c r="AV912" s="1"/>
      <c r="AW912" s="1"/>
      <c r="AX912" s="1" t="s">
        <v>16517</v>
      </c>
      <c r="AY912" s="1" t="s">
        <v>16518</v>
      </c>
      <c r="AZ912" s="1" t="s">
        <v>681</v>
      </c>
      <c r="BA912" s="1" t="s">
        <v>202</v>
      </c>
      <c r="BB912" s="1">
        <v>56.6</v>
      </c>
      <c r="BC912" s="1">
        <v>6.41</v>
      </c>
      <c r="BD912" s="1"/>
      <c r="BE912" s="1"/>
      <c r="BF912" s="1"/>
      <c r="BG912" s="1"/>
      <c r="BH912" s="1"/>
      <c r="BI912" s="1"/>
      <c r="BJ912" s="1" t="s">
        <v>364</v>
      </c>
      <c r="BK912" s="1"/>
      <c r="BL912" s="1"/>
      <c r="BM912" s="1" t="s">
        <v>16519</v>
      </c>
      <c r="BN912" s="1">
        <v>11</v>
      </c>
      <c r="BO912" s="1" t="s">
        <v>16520</v>
      </c>
      <c r="BP912" s="1" t="str">
        <f>HYPERLINK("https://nconnect.nicmar.ac.in/storage/profile/ProfilePhoto_P25702131_683715.jpg","Download")</f>
        <v>0</v>
      </c>
      <c r="BQ912" s="3"/>
      <c r="BR912" s="3"/>
    </row>
    <row r="913" spans="1:70">
      <c r="A913" s="1" t="s">
        <v>441</v>
      </c>
      <c r="B913" s="1" t="s">
        <v>1269</v>
      </c>
      <c r="C913" s="1" t="s">
        <v>16521</v>
      </c>
      <c r="D913" s="1" t="s">
        <v>16522</v>
      </c>
      <c r="E913" s="1" t="s">
        <v>16523</v>
      </c>
      <c r="F913" s="1" t="s">
        <v>3036</v>
      </c>
      <c r="G913" s="1" t="s">
        <v>16524</v>
      </c>
      <c r="H913" s="1" t="s">
        <v>16525</v>
      </c>
      <c r="I913" s="1" t="s">
        <v>16526</v>
      </c>
      <c r="J913" s="1">
        <v>7045058111</v>
      </c>
      <c r="K913" s="1" t="s">
        <v>148</v>
      </c>
      <c r="L913" s="1" t="s">
        <v>16527</v>
      </c>
      <c r="M913" s="1" t="s">
        <v>81</v>
      </c>
      <c r="N913" s="1" t="s">
        <v>2295</v>
      </c>
      <c r="O913" s="1"/>
      <c r="P913" s="1" t="s">
        <v>1323</v>
      </c>
      <c r="Q913" s="1" t="s">
        <v>16528</v>
      </c>
      <c r="R913" s="1" t="s">
        <v>16529</v>
      </c>
      <c r="S913" s="1">
        <v>9967115111</v>
      </c>
      <c r="T913" s="1" t="s">
        <v>14491</v>
      </c>
      <c r="U913" s="1" t="s">
        <v>16530</v>
      </c>
      <c r="V913" s="1">
        <v>9967771237</v>
      </c>
      <c r="W913" s="1" t="s">
        <v>15976</v>
      </c>
      <c r="X913" s="1" t="s">
        <v>16531</v>
      </c>
      <c r="Y913" s="1" t="s">
        <v>766</v>
      </c>
      <c r="Z913" s="1" t="s">
        <v>92</v>
      </c>
      <c r="AA913" s="1" t="s">
        <v>16531</v>
      </c>
      <c r="AB913" s="1" t="s">
        <v>766</v>
      </c>
      <c r="AC913" s="1" t="s">
        <v>92</v>
      </c>
      <c r="AD913" s="1">
        <v>7.24</v>
      </c>
      <c r="AE913" s="1" t="s">
        <v>93</v>
      </c>
      <c r="AF913" s="1" t="s">
        <v>767</v>
      </c>
      <c r="AG913" s="1" t="s">
        <v>16532</v>
      </c>
      <c r="AH913" s="1" t="s">
        <v>161</v>
      </c>
      <c r="AI913" s="1" t="s">
        <v>456</v>
      </c>
      <c r="AJ913" s="1">
        <v>59.2</v>
      </c>
      <c r="AK913" s="1">
        <v>0</v>
      </c>
      <c r="AL913" s="1" t="s">
        <v>16533</v>
      </c>
      <c r="AM913" s="1" t="s">
        <v>16534</v>
      </c>
      <c r="AN913" s="1" t="s">
        <v>162</v>
      </c>
      <c r="AO913" s="1" t="s">
        <v>166</v>
      </c>
      <c r="AP913" s="1">
        <v>53.85</v>
      </c>
      <c r="AQ913" s="1">
        <v>0</v>
      </c>
      <c r="AR913" s="1"/>
      <c r="AS913" s="1"/>
      <c r="AT913" s="1"/>
      <c r="AU913" s="1"/>
      <c r="AV913" s="1"/>
      <c r="AW913" s="1"/>
      <c r="AX913" s="1" t="s">
        <v>1024</v>
      </c>
      <c r="AY913" s="1" t="s">
        <v>16535</v>
      </c>
      <c r="AZ913" s="1" t="s">
        <v>636</v>
      </c>
      <c r="BA913" s="1" t="s">
        <v>590</v>
      </c>
      <c r="BB913" s="1">
        <v>59.92</v>
      </c>
      <c r="BC913" s="1">
        <v>6.75</v>
      </c>
      <c r="BD913" s="1"/>
      <c r="BE913" s="1"/>
      <c r="BF913" s="1"/>
      <c r="BG913" s="1"/>
      <c r="BH913" s="1"/>
      <c r="BI913" s="1"/>
      <c r="BJ913" s="1" t="s">
        <v>16536</v>
      </c>
      <c r="BK913" s="1" t="s">
        <v>16537</v>
      </c>
      <c r="BL913" s="1" t="s">
        <v>2384</v>
      </c>
      <c r="BM913" s="1" t="s">
        <v>16538</v>
      </c>
      <c r="BN913" s="1">
        <v>24</v>
      </c>
      <c r="BO913" s="1" t="s">
        <v>16539</v>
      </c>
      <c r="BP913" s="1" t="str">
        <f>HYPERLINK("https://nconnect.nicmar.ac.in/storage/profile/ProfilePhoto_P25702132_826143.jpg","Download")</f>
        <v>0</v>
      </c>
      <c r="BQ913" s="3"/>
      <c r="BR913" s="3"/>
    </row>
    <row r="914" spans="1:70">
      <c r="A914" s="1" t="s">
        <v>441</v>
      </c>
      <c r="B914" s="1" t="s">
        <v>1269</v>
      </c>
      <c r="C914" s="1" t="s">
        <v>16540</v>
      </c>
      <c r="D914" s="1" t="s">
        <v>5583</v>
      </c>
      <c r="E914" s="1" t="s">
        <v>16541</v>
      </c>
      <c r="F914" s="1" t="s">
        <v>16542</v>
      </c>
      <c r="G914" s="1" t="s">
        <v>16543</v>
      </c>
      <c r="H914" s="1" t="s">
        <v>16544</v>
      </c>
      <c r="I914" s="1" t="s">
        <v>16545</v>
      </c>
      <c r="J914" s="1">
        <v>9881496921</v>
      </c>
      <c r="K914" s="1" t="s">
        <v>79</v>
      </c>
      <c r="L914" s="1" t="s">
        <v>16546</v>
      </c>
      <c r="M914" s="1" t="s">
        <v>81</v>
      </c>
      <c r="N914" s="1" t="s">
        <v>1765</v>
      </c>
      <c r="O914" s="1"/>
      <c r="P914" s="1" t="s">
        <v>1278</v>
      </c>
      <c r="Q914" s="1" t="s">
        <v>16547</v>
      </c>
      <c r="R914" s="1" t="s">
        <v>16548</v>
      </c>
      <c r="S914" s="1">
        <v>9850834501</v>
      </c>
      <c r="T914" s="1" t="s">
        <v>763</v>
      </c>
      <c r="U914" s="1" t="s">
        <v>16549</v>
      </c>
      <c r="V914" s="1">
        <v>9850107951</v>
      </c>
      <c r="W914" s="1" t="s">
        <v>156</v>
      </c>
      <c r="X914" s="1" t="s">
        <v>16550</v>
      </c>
      <c r="Y914" s="1" t="s">
        <v>191</v>
      </c>
      <c r="Z914" s="1" t="s">
        <v>92</v>
      </c>
      <c r="AA914" s="1" t="s">
        <v>16550</v>
      </c>
      <c r="AB914" s="1" t="s">
        <v>191</v>
      </c>
      <c r="AC914" s="1" t="s">
        <v>92</v>
      </c>
      <c r="AD914" s="1">
        <v>7.34</v>
      </c>
      <c r="AE914" s="1" t="s">
        <v>93</v>
      </c>
      <c r="AF914" s="1" t="s">
        <v>5756</v>
      </c>
      <c r="AG914" s="1" t="s">
        <v>13864</v>
      </c>
      <c r="AH914" s="1" t="s">
        <v>101</v>
      </c>
      <c r="AI914" s="1" t="s">
        <v>433</v>
      </c>
      <c r="AJ914" s="1">
        <v>63.2</v>
      </c>
      <c r="AK914" s="1"/>
      <c r="AL914" s="1"/>
      <c r="AM914" s="1"/>
      <c r="AN914" s="1"/>
      <c r="AO914" s="1"/>
      <c r="AP914" s="1"/>
      <c r="AQ914" s="1"/>
      <c r="AR914" s="1" t="s">
        <v>98</v>
      </c>
      <c r="AS914" s="1" t="s">
        <v>16551</v>
      </c>
      <c r="AT914" s="1" t="s">
        <v>310</v>
      </c>
      <c r="AU914" s="1" t="s">
        <v>481</v>
      </c>
      <c r="AV914" s="1">
        <v>72.05</v>
      </c>
      <c r="AW914" s="1"/>
      <c r="AX914" s="1" t="s">
        <v>361</v>
      </c>
      <c r="AY914" s="1" t="s">
        <v>16552</v>
      </c>
      <c r="AZ914" s="1" t="s">
        <v>2693</v>
      </c>
      <c r="BA914" s="1" t="s">
        <v>6092</v>
      </c>
      <c r="BB914" s="1">
        <v>58.2</v>
      </c>
      <c r="BC914" s="1">
        <v>6.57</v>
      </c>
      <c r="BD914" s="1"/>
      <c r="BE914" s="1"/>
      <c r="BF914" s="1"/>
      <c r="BG914" s="1"/>
      <c r="BH914" s="1"/>
      <c r="BI914" s="1"/>
      <c r="BJ914" s="1" t="s">
        <v>364</v>
      </c>
      <c r="BK914" s="1" t="s">
        <v>16553</v>
      </c>
      <c r="BL914" s="1" t="s">
        <v>947</v>
      </c>
      <c r="BM914" s="1" t="s">
        <v>16554</v>
      </c>
      <c r="BN914" s="1">
        <v>25</v>
      </c>
      <c r="BO914" s="1"/>
      <c r="BP914" s="1" t="str">
        <f>HYPERLINK("https://nconnect.nicmar.ac.in/storage/profile/ProfilePhoto_P25702133_154693.jpg","Download")</f>
        <v>0</v>
      </c>
      <c r="BQ914" s="3"/>
      <c r="BR914" s="3"/>
    </row>
    <row r="915" spans="1:70">
      <c r="A915" s="1" t="s">
        <v>441</v>
      </c>
      <c r="B915" s="1" t="s">
        <v>1269</v>
      </c>
      <c r="C915" s="1" t="s">
        <v>16555</v>
      </c>
      <c r="D915" s="1" t="s">
        <v>15258</v>
      </c>
      <c r="E915" s="1" t="s">
        <v>13032</v>
      </c>
      <c r="F915" s="1" t="s">
        <v>16182</v>
      </c>
      <c r="G915" s="1" t="s">
        <v>16556</v>
      </c>
      <c r="H915" s="1" t="s">
        <v>16557</v>
      </c>
      <c r="I915" s="1" t="s">
        <v>16558</v>
      </c>
      <c r="J915" s="1">
        <v>9898468190</v>
      </c>
      <c r="K915" s="1" t="s">
        <v>79</v>
      </c>
      <c r="L915" s="1" t="s">
        <v>16559</v>
      </c>
      <c r="M915" s="1" t="s">
        <v>81</v>
      </c>
      <c r="N915" s="1" t="s">
        <v>16560</v>
      </c>
      <c r="O915" s="1"/>
      <c r="P915" s="1" t="s">
        <v>1323</v>
      </c>
      <c r="Q915" s="1" t="s">
        <v>16561</v>
      </c>
      <c r="R915" s="1" t="s">
        <v>16182</v>
      </c>
      <c r="S915" s="1">
        <v>9909118656</v>
      </c>
      <c r="T915" s="1" t="s">
        <v>496</v>
      </c>
      <c r="U915" s="1" t="s">
        <v>16562</v>
      </c>
      <c r="V915" s="1">
        <v>9712918656</v>
      </c>
      <c r="W915" s="1" t="s">
        <v>1954</v>
      </c>
      <c r="X915" s="1" t="s">
        <v>16563</v>
      </c>
      <c r="Y915" s="1" t="s">
        <v>15269</v>
      </c>
      <c r="Z915" s="1" t="s">
        <v>1468</v>
      </c>
      <c r="AA915" s="1" t="s">
        <v>16563</v>
      </c>
      <c r="AB915" s="1" t="s">
        <v>15269</v>
      </c>
      <c r="AC915" s="1" t="s">
        <v>1468</v>
      </c>
      <c r="AD915" s="1">
        <v>9.32</v>
      </c>
      <c r="AE915" s="1" t="s">
        <v>93</v>
      </c>
      <c r="AF915" s="1" t="s">
        <v>16564</v>
      </c>
      <c r="AG915" s="1" t="s">
        <v>14823</v>
      </c>
      <c r="AH915" s="1" t="s">
        <v>1307</v>
      </c>
      <c r="AI915" s="1" t="s">
        <v>409</v>
      </c>
      <c r="AJ915" s="1">
        <v>81.5</v>
      </c>
      <c r="AK915" s="1"/>
      <c r="AL915" s="1" t="s">
        <v>15271</v>
      </c>
      <c r="AM915" s="1" t="s">
        <v>14823</v>
      </c>
      <c r="AN915" s="1" t="s">
        <v>699</v>
      </c>
      <c r="AO915" s="1" t="s">
        <v>1712</v>
      </c>
      <c r="AP915" s="1">
        <v>84</v>
      </c>
      <c r="AQ915" s="1"/>
      <c r="AR915" s="1"/>
      <c r="AS915" s="1"/>
      <c r="AT915" s="1"/>
      <c r="AU915" s="1"/>
      <c r="AV915" s="1"/>
      <c r="AW915" s="1"/>
      <c r="AX915" s="1" t="s">
        <v>15273</v>
      </c>
      <c r="AY915" s="1" t="s">
        <v>16565</v>
      </c>
      <c r="AZ915" s="1" t="s">
        <v>1051</v>
      </c>
      <c r="BA915" s="1" t="s">
        <v>1361</v>
      </c>
      <c r="BB915" s="1">
        <v>79.8</v>
      </c>
      <c r="BC915" s="1">
        <v>8.73</v>
      </c>
      <c r="BD915" s="1"/>
      <c r="BE915" s="1"/>
      <c r="BF915" s="1"/>
      <c r="BG915" s="1"/>
      <c r="BH915" s="1"/>
      <c r="BI915" s="1"/>
      <c r="BJ915" s="1" t="s">
        <v>16566</v>
      </c>
      <c r="BK915" s="1"/>
      <c r="BL915" s="1"/>
      <c r="BM915" s="1" t="s">
        <v>16567</v>
      </c>
      <c r="BN915" s="1">
        <v>30</v>
      </c>
      <c r="BO915" s="1"/>
      <c r="BP915" s="1" t="str">
        <f>HYPERLINK("https://nconnect.nicmar.ac.in/storage/profile/ProfilePhoto_P25702134_543796.jpg","Download")</f>
        <v>0</v>
      </c>
      <c r="BQ915" s="3"/>
      <c r="BR915" s="3"/>
    </row>
    <row r="916" spans="1:70">
      <c r="A916" s="1" t="s">
        <v>441</v>
      </c>
      <c r="B916" s="1" t="s">
        <v>1269</v>
      </c>
      <c r="C916" s="1" t="s">
        <v>16568</v>
      </c>
      <c r="D916" s="1" t="s">
        <v>1981</v>
      </c>
      <c r="E916" s="1" t="s">
        <v>16569</v>
      </c>
      <c r="F916" s="1" t="s">
        <v>2677</v>
      </c>
      <c r="G916" s="1" t="s">
        <v>16570</v>
      </c>
      <c r="H916" s="1" t="s">
        <v>16571</v>
      </c>
      <c r="I916" s="1" t="s">
        <v>16572</v>
      </c>
      <c r="J916" s="1">
        <v>8928342149</v>
      </c>
      <c r="K916" s="1" t="s">
        <v>79</v>
      </c>
      <c r="L916" s="1" t="s">
        <v>16573</v>
      </c>
      <c r="M916" s="1" t="s">
        <v>81</v>
      </c>
      <c r="N916" s="1" t="s">
        <v>1765</v>
      </c>
      <c r="O916" s="1"/>
      <c r="P916" s="1" t="s">
        <v>1298</v>
      </c>
      <c r="Q916" s="1" t="s">
        <v>16574</v>
      </c>
      <c r="R916" s="1" t="s">
        <v>16569</v>
      </c>
      <c r="S916" s="1">
        <v>9969972985</v>
      </c>
      <c r="T916" s="1" t="s">
        <v>16575</v>
      </c>
      <c r="U916" s="1" t="s">
        <v>7659</v>
      </c>
      <c r="V916" s="1">
        <v>8850008551</v>
      </c>
      <c r="W916" s="1" t="s">
        <v>156</v>
      </c>
      <c r="X916" s="1" t="s">
        <v>16576</v>
      </c>
      <c r="Y916" s="1" t="s">
        <v>1623</v>
      </c>
      <c r="Z916" s="1" t="s">
        <v>92</v>
      </c>
      <c r="AA916" s="1" t="s">
        <v>16577</v>
      </c>
      <c r="AB916" s="1" t="s">
        <v>1623</v>
      </c>
      <c r="AC916" s="1" t="s">
        <v>92</v>
      </c>
      <c r="AD916" s="1">
        <v>8.34</v>
      </c>
      <c r="AE916" s="1" t="s">
        <v>93</v>
      </c>
      <c r="AF916" s="1" t="s">
        <v>16578</v>
      </c>
      <c r="AG916" s="1" t="s">
        <v>455</v>
      </c>
      <c r="AH916" s="1" t="s">
        <v>527</v>
      </c>
      <c r="AI916" s="1" t="s">
        <v>479</v>
      </c>
      <c r="AJ916" s="1">
        <v>70.6</v>
      </c>
      <c r="AK916" s="1"/>
      <c r="AL916" s="1"/>
      <c r="AM916" s="1"/>
      <c r="AN916" s="1"/>
      <c r="AO916" s="1"/>
      <c r="AP916" s="1"/>
      <c r="AQ916" s="1"/>
      <c r="AR916" s="1" t="s">
        <v>98</v>
      </c>
      <c r="AS916" s="1" t="s">
        <v>16579</v>
      </c>
      <c r="AT916" s="1" t="s">
        <v>225</v>
      </c>
      <c r="AU916" s="1" t="s">
        <v>170</v>
      </c>
      <c r="AV916" s="1">
        <v>81.47</v>
      </c>
      <c r="AW916" s="1"/>
      <c r="AX916" s="1" t="s">
        <v>253</v>
      </c>
      <c r="AY916" s="1" t="s">
        <v>16580</v>
      </c>
      <c r="AZ916" s="1" t="s">
        <v>363</v>
      </c>
      <c r="BA916" s="1" t="s">
        <v>682</v>
      </c>
      <c r="BB916" s="1">
        <v>73.15</v>
      </c>
      <c r="BC916" s="1"/>
      <c r="BD916" s="1"/>
      <c r="BE916" s="1"/>
      <c r="BF916" s="1"/>
      <c r="BG916" s="1"/>
      <c r="BH916" s="1"/>
      <c r="BI916" s="1"/>
      <c r="BJ916" s="1" t="s">
        <v>16581</v>
      </c>
      <c r="BK916" s="1" t="s">
        <v>16582</v>
      </c>
      <c r="BL916" s="1" t="s">
        <v>1385</v>
      </c>
      <c r="BM916" s="1" t="s">
        <v>16583</v>
      </c>
      <c r="BN916" s="1">
        <v>7</v>
      </c>
      <c r="BO916" s="1" t="s">
        <v>16584</v>
      </c>
      <c r="BP916" s="1" t="str">
        <f>HYPERLINK("https://nconnect.nicmar.ac.in/storage/profile/ProfilePhoto_P25702136_837591.jpg","Download")</f>
        <v>0</v>
      </c>
      <c r="BQ916" s="3"/>
      <c r="BR916" s="3"/>
    </row>
    <row r="917" spans="1:70">
      <c r="A917" s="1" t="s">
        <v>441</v>
      </c>
      <c r="B917" s="1" t="s">
        <v>1269</v>
      </c>
      <c r="C917" s="1" t="s">
        <v>16585</v>
      </c>
      <c r="D917" s="1" t="s">
        <v>16586</v>
      </c>
      <c r="E917" s="1" t="s">
        <v>756</v>
      </c>
      <c r="F917" s="1" t="s">
        <v>3763</v>
      </c>
      <c r="G917" s="1" t="s">
        <v>16587</v>
      </c>
      <c r="H917" s="1" t="s">
        <v>16588</v>
      </c>
      <c r="I917" s="1" t="s">
        <v>16589</v>
      </c>
      <c r="J917" s="1">
        <v>9175982549</v>
      </c>
      <c r="K917" s="1" t="s">
        <v>79</v>
      </c>
      <c r="L917" s="1" t="s">
        <v>16590</v>
      </c>
      <c r="M917" s="1" t="s">
        <v>81</v>
      </c>
      <c r="N917" s="1" t="s">
        <v>4140</v>
      </c>
      <c r="O917" s="1"/>
      <c r="P917" s="1"/>
      <c r="Q917" s="1" t="s">
        <v>16591</v>
      </c>
      <c r="R917" s="1" t="s">
        <v>16592</v>
      </c>
      <c r="S917" s="1">
        <v>9890252349</v>
      </c>
      <c r="T917" s="1" t="s">
        <v>496</v>
      </c>
      <c r="U917" s="1" t="s">
        <v>16593</v>
      </c>
      <c r="V917" s="1">
        <v>8698541566</v>
      </c>
      <c r="W917" s="1" t="s">
        <v>156</v>
      </c>
      <c r="X917" s="1" t="s">
        <v>16594</v>
      </c>
      <c r="Y917" s="1" t="s">
        <v>405</v>
      </c>
      <c r="Z917" s="1" t="s">
        <v>92</v>
      </c>
      <c r="AA917" s="1" t="s">
        <v>16595</v>
      </c>
      <c r="AB917" s="1" t="s">
        <v>405</v>
      </c>
      <c r="AC917" s="1" t="s">
        <v>92</v>
      </c>
      <c r="AD917" s="1">
        <v>8.32</v>
      </c>
      <c r="AE917" s="1" t="s">
        <v>93</v>
      </c>
      <c r="AF917" s="1" t="s">
        <v>3409</v>
      </c>
      <c r="AG917" s="1" t="s">
        <v>939</v>
      </c>
      <c r="AH917" s="1" t="s">
        <v>999</v>
      </c>
      <c r="AI917" s="1" t="s">
        <v>97</v>
      </c>
      <c r="AJ917" s="1">
        <v>73.4</v>
      </c>
      <c r="AK917" s="1">
        <v>8</v>
      </c>
      <c r="AL917" s="1" t="s">
        <v>16596</v>
      </c>
      <c r="AM917" s="1" t="s">
        <v>160</v>
      </c>
      <c r="AN917" s="1" t="s">
        <v>1001</v>
      </c>
      <c r="AO917" s="1" t="s">
        <v>1332</v>
      </c>
      <c r="AP917" s="1">
        <v>55.85</v>
      </c>
      <c r="AQ917" s="1"/>
      <c r="AR917" s="1"/>
      <c r="AS917" s="1"/>
      <c r="AT917" s="1"/>
      <c r="AU917" s="1"/>
      <c r="AV917" s="1"/>
      <c r="AW917" s="1"/>
      <c r="AX917" s="1" t="s">
        <v>410</v>
      </c>
      <c r="AY917" s="1" t="s">
        <v>7230</v>
      </c>
      <c r="AZ917" s="1" t="s">
        <v>383</v>
      </c>
      <c r="BA917" s="1" t="s">
        <v>105</v>
      </c>
      <c r="BB917" s="1">
        <v>62.9</v>
      </c>
      <c r="BC917" s="1">
        <v>7.04</v>
      </c>
      <c r="BD917" s="1"/>
      <c r="BE917" s="1"/>
      <c r="BF917" s="1"/>
      <c r="BG917" s="1"/>
      <c r="BH917" s="1"/>
      <c r="BI917" s="1"/>
      <c r="BJ917" s="1" t="s">
        <v>16597</v>
      </c>
      <c r="BK917" s="1" t="s">
        <v>16598</v>
      </c>
      <c r="BL917" s="1" t="s">
        <v>2187</v>
      </c>
      <c r="BM917" s="1" t="s">
        <v>16599</v>
      </c>
      <c r="BN917" s="1">
        <v>29</v>
      </c>
      <c r="BO917" s="1" t="s">
        <v>16600</v>
      </c>
      <c r="BP917" s="1" t="str">
        <f>HYPERLINK("https://nconnect.nicmar.ac.in/storage/profile/ProfilePhoto_P25702137_819267.jpg","Download")</f>
        <v>0</v>
      </c>
      <c r="BQ917" s="3"/>
      <c r="BR917" s="3"/>
    </row>
    <row r="918" spans="1:70">
      <c r="A918" s="1" t="s">
        <v>441</v>
      </c>
      <c r="B918" s="1" t="s">
        <v>1269</v>
      </c>
      <c r="C918" s="1" t="s">
        <v>16601</v>
      </c>
      <c r="D918" s="1" t="s">
        <v>443</v>
      </c>
      <c r="E918" s="1" t="s">
        <v>16602</v>
      </c>
      <c r="F918" s="1" t="s">
        <v>2677</v>
      </c>
      <c r="G918" s="1" t="s">
        <v>16603</v>
      </c>
      <c r="H918" s="1" t="s">
        <v>16604</v>
      </c>
      <c r="I918" s="1" t="s">
        <v>16605</v>
      </c>
      <c r="J918" s="1">
        <v>9139899093</v>
      </c>
      <c r="K918" s="1" t="s">
        <v>79</v>
      </c>
      <c r="L918" s="1" t="s">
        <v>16606</v>
      </c>
      <c r="M918" s="1" t="s">
        <v>81</v>
      </c>
      <c r="N918" s="1" t="s">
        <v>3856</v>
      </c>
      <c r="O918" s="1"/>
      <c r="P918" s="1"/>
      <c r="Q918" s="1" t="s">
        <v>16607</v>
      </c>
      <c r="R918" s="1" t="s">
        <v>16608</v>
      </c>
      <c r="S918" s="1">
        <v>9139899093</v>
      </c>
      <c r="T918" s="1" t="s">
        <v>93</v>
      </c>
      <c r="U918" s="1" t="s">
        <v>16609</v>
      </c>
      <c r="V918" s="1">
        <v>9673781919</v>
      </c>
      <c r="W918" s="1" t="s">
        <v>472</v>
      </c>
      <c r="X918" s="1" t="s">
        <v>16610</v>
      </c>
      <c r="Y918" s="1" t="s">
        <v>191</v>
      </c>
      <c r="Z918" s="1" t="s">
        <v>92</v>
      </c>
      <c r="AA918" s="1" t="s">
        <v>16611</v>
      </c>
      <c r="AB918" s="1" t="s">
        <v>158</v>
      </c>
      <c r="AC918" s="1" t="s">
        <v>92</v>
      </c>
      <c r="AD918" s="1">
        <v>8.82</v>
      </c>
      <c r="AE918" s="1" t="s">
        <v>93</v>
      </c>
      <c r="AF918" s="1" t="s">
        <v>16612</v>
      </c>
      <c r="AG918" s="1" t="s">
        <v>544</v>
      </c>
      <c r="AH918" s="1" t="s">
        <v>225</v>
      </c>
      <c r="AI918" s="1" t="s">
        <v>433</v>
      </c>
      <c r="AJ918" s="1">
        <v>88.4</v>
      </c>
      <c r="AK918" s="1">
        <v>0</v>
      </c>
      <c r="AL918" s="1"/>
      <c r="AM918" s="1"/>
      <c r="AN918" s="1"/>
      <c r="AO918" s="1"/>
      <c r="AP918" s="1"/>
      <c r="AQ918" s="1"/>
      <c r="AR918" s="1" t="s">
        <v>98</v>
      </c>
      <c r="AS918" s="1" t="s">
        <v>16613</v>
      </c>
      <c r="AT918" s="1" t="s">
        <v>201</v>
      </c>
      <c r="AU918" s="1" t="s">
        <v>105</v>
      </c>
      <c r="AV918" s="1">
        <v>77.8</v>
      </c>
      <c r="AW918" s="1"/>
      <c r="AX918" s="1" t="s">
        <v>361</v>
      </c>
      <c r="AY918" s="1" t="s">
        <v>16614</v>
      </c>
      <c r="AZ918" s="1" t="s">
        <v>2693</v>
      </c>
      <c r="BA918" s="1" t="s">
        <v>6092</v>
      </c>
      <c r="BB918" s="1">
        <v>71.1</v>
      </c>
      <c r="BC918" s="1">
        <v>7.86</v>
      </c>
      <c r="BD918" s="1"/>
      <c r="BE918" s="1"/>
      <c r="BF918" s="1"/>
      <c r="BG918" s="1"/>
      <c r="BH918" s="1"/>
      <c r="BI918" s="1"/>
      <c r="BJ918" s="1" t="s">
        <v>1383</v>
      </c>
      <c r="BK918" s="1"/>
      <c r="BL918" s="1"/>
      <c r="BM918" s="1" t="s">
        <v>16615</v>
      </c>
      <c r="BN918" s="1">
        <v>18</v>
      </c>
      <c r="BO918" s="1"/>
      <c r="BP918" s="1" t="str">
        <f>HYPERLINK("https://nconnect.nicmar.ac.in/storage/profile/ProfilePhoto_P25702138_785142.jpg","Download")</f>
        <v>0</v>
      </c>
      <c r="BQ918" s="3"/>
      <c r="BR918" s="3"/>
    </row>
    <row r="919" spans="1:70">
      <c r="A919" s="1" t="s">
        <v>441</v>
      </c>
      <c r="B919" s="1" t="s">
        <v>1269</v>
      </c>
      <c r="C919" s="1" t="s">
        <v>16616</v>
      </c>
      <c r="D919" s="1" t="s">
        <v>1800</v>
      </c>
      <c r="E919" s="1" t="s">
        <v>5565</v>
      </c>
      <c r="F919" s="1" t="s">
        <v>16617</v>
      </c>
      <c r="G919" s="1" t="s">
        <v>16618</v>
      </c>
      <c r="H919" s="1" t="s">
        <v>16619</v>
      </c>
      <c r="I919" s="1" t="s">
        <v>16620</v>
      </c>
      <c r="J919" s="1">
        <v>7892857256</v>
      </c>
      <c r="K919" s="1" t="s">
        <v>79</v>
      </c>
      <c r="L919" s="1" t="s">
        <v>16621</v>
      </c>
      <c r="M919" s="1" t="s">
        <v>81</v>
      </c>
      <c r="N919" s="1" t="s">
        <v>16622</v>
      </c>
      <c r="O919" s="1"/>
      <c r="P919" s="1" t="s">
        <v>1323</v>
      </c>
      <c r="Q919" s="1" t="s">
        <v>16623</v>
      </c>
      <c r="R919" s="1" t="s">
        <v>16624</v>
      </c>
      <c r="S919" s="1">
        <v>7892857256</v>
      </c>
      <c r="T919" s="1" t="s">
        <v>496</v>
      </c>
      <c r="U919" s="1" t="s">
        <v>16625</v>
      </c>
      <c r="V919" s="1">
        <v>9901342825</v>
      </c>
      <c r="W919" s="1" t="s">
        <v>156</v>
      </c>
      <c r="X919" s="1" t="s">
        <v>16626</v>
      </c>
      <c r="Y919" s="1" t="s">
        <v>1083</v>
      </c>
      <c r="Z919" s="1" t="s">
        <v>1084</v>
      </c>
      <c r="AA919" s="1" t="s">
        <v>16627</v>
      </c>
      <c r="AB919" s="1" t="s">
        <v>5193</v>
      </c>
      <c r="AC919" s="1" t="s">
        <v>1084</v>
      </c>
      <c r="AD919" s="1" t="s">
        <v>93</v>
      </c>
      <c r="AE919" s="1" t="s">
        <v>93</v>
      </c>
      <c r="AF919" s="1" t="s">
        <v>16628</v>
      </c>
      <c r="AG919" s="1" t="s">
        <v>2749</v>
      </c>
      <c r="AH919" s="1" t="s">
        <v>479</v>
      </c>
      <c r="AI919" s="1" t="s">
        <v>1307</v>
      </c>
      <c r="AJ919" s="1">
        <v>71.52</v>
      </c>
      <c r="AK919" s="1"/>
      <c r="AL919" s="1" t="s">
        <v>16629</v>
      </c>
      <c r="AM919" s="1" t="s">
        <v>16630</v>
      </c>
      <c r="AN919" s="1" t="s">
        <v>433</v>
      </c>
      <c r="AO919" s="1" t="s">
        <v>941</v>
      </c>
      <c r="AP919" s="1">
        <v>65.33</v>
      </c>
      <c r="AQ919" s="1"/>
      <c r="AR919" s="1"/>
      <c r="AS919" s="1"/>
      <c r="AT919" s="1"/>
      <c r="AU919" s="1"/>
      <c r="AV919" s="1"/>
      <c r="AW919" s="1"/>
      <c r="AX919" s="1" t="s">
        <v>16631</v>
      </c>
      <c r="AY919" s="1" t="s">
        <v>16632</v>
      </c>
      <c r="AZ919" s="1" t="s">
        <v>363</v>
      </c>
      <c r="BA919" s="1" t="s">
        <v>1939</v>
      </c>
      <c r="BB919" s="1">
        <v>52.7</v>
      </c>
      <c r="BC919" s="1">
        <v>6.02</v>
      </c>
      <c r="BD919" s="1"/>
      <c r="BE919" s="1"/>
      <c r="BF919" s="1"/>
      <c r="BG919" s="1"/>
      <c r="BH919" s="1"/>
      <c r="BI919" s="1"/>
      <c r="BJ919" s="1" t="s">
        <v>1383</v>
      </c>
      <c r="BK919" s="1"/>
      <c r="BL919" s="1"/>
      <c r="BM919" s="1" t="s">
        <v>16633</v>
      </c>
      <c r="BN919" s="1">
        <v>15</v>
      </c>
      <c r="BO919" s="1"/>
      <c r="BP919" s="1" t="str">
        <f>HYPERLINK("https://nconnect.nicmar.ac.in/storage/profile/ProfilePhoto_P25702139_653287.jpg","Download")</f>
        <v>0</v>
      </c>
      <c r="BQ919" s="3"/>
      <c r="BR919" s="3"/>
    </row>
    <row r="920" spans="1:70">
      <c r="A920" s="1" t="s">
        <v>441</v>
      </c>
      <c r="B920" s="1" t="s">
        <v>1269</v>
      </c>
      <c r="C920" s="1" t="s">
        <v>16634</v>
      </c>
      <c r="D920" s="1" t="s">
        <v>16635</v>
      </c>
      <c r="E920" s="1"/>
      <c r="F920" s="1" t="s">
        <v>16636</v>
      </c>
      <c r="G920" s="1" t="s">
        <v>16637</v>
      </c>
      <c r="H920" s="1" t="s">
        <v>16638</v>
      </c>
      <c r="I920" s="1" t="s">
        <v>16639</v>
      </c>
      <c r="J920" s="1">
        <v>6370904227</v>
      </c>
      <c r="K920" s="1" t="s">
        <v>148</v>
      </c>
      <c r="L920" s="1" t="s">
        <v>16640</v>
      </c>
      <c r="M920" s="1" t="s">
        <v>81</v>
      </c>
      <c r="N920" s="1" t="s">
        <v>1746</v>
      </c>
      <c r="O920" s="1"/>
      <c r="P920" s="1" t="s">
        <v>1323</v>
      </c>
      <c r="Q920" s="1" t="s">
        <v>16641</v>
      </c>
      <c r="R920" s="1" t="s">
        <v>16642</v>
      </c>
      <c r="S920" s="1">
        <v>9437178753</v>
      </c>
      <c r="T920" s="1" t="s">
        <v>16643</v>
      </c>
      <c r="U920" s="1" t="s">
        <v>16644</v>
      </c>
      <c r="V920" s="1">
        <v>7978271577</v>
      </c>
      <c r="W920" s="1" t="s">
        <v>89</v>
      </c>
      <c r="X920" s="1" t="s">
        <v>16645</v>
      </c>
      <c r="Y920" s="1" t="s">
        <v>2096</v>
      </c>
      <c r="Z920" s="1" t="s">
        <v>1731</v>
      </c>
      <c r="AA920" s="1" t="s">
        <v>16645</v>
      </c>
      <c r="AB920" s="1" t="s">
        <v>2096</v>
      </c>
      <c r="AC920" s="1" t="s">
        <v>1731</v>
      </c>
      <c r="AD920" s="1" t="s">
        <v>93</v>
      </c>
      <c r="AE920" s="1" t="s">
        <v>93</v>
      </c>
      <c r="AF920" s="1" t="s">
        <v>16646</v>
      </c>
      <c r="AG920" s="1" t="s">
        <v>16647</v>
      </c>
      <c r="AH920" s="1" t="s">
        <v>249</v>
      </c>
      <c r="AI920" s="1" t="s">
        <v>129</v>
      </c>
      <c r="AJ920" s="1">
        <v>72.33</v>
      </c>
      <c r="AK920" s="1"/>
      <c r="AL920" s="1"/>
      <c r="AM920" s="1"/>
      <c r="AN920" s="1"/>
      <c r="AO920" s="1"/>
      <c r="AP920" s="1"/>
      <c r="AQ920" s="1"/>
      <c r="AR920" s="1" t="s">
        <v>16648</v>
      </c>
      <c r="AS920" s="1" t="s">
        <v>16649</v>
      </c>
      <c r="AT920" s="1" t="s">
        <v>1245</v>
      </c>
      <c r="AU920" s="1" t="s">
        <v>2910</v>
      </c>
      <c r="AV920" s="1">
        <v>83.36</v>
      </c>
      <c r="AW920" s="1"/>
      <c r="AX920" s="1" t="s">
        <v>2100</v>
      </c>
      <c r="AY920" s="1" t="s">
        <v>16650</v>
      </c>
      <c r="AZ920" s="1" t="s">
        <v>636</v>
      </c>
      <c r="BA920" s="1" t="s">
        <v>1157</v>
      </c>
      <c r="BB920" s="1">
        <v>0</v>
      </c>
      <c r="BC920" s="1">
        <v>7.14</v>
      </c>
      <c r="BD920" s="1"/>
      <c r="BE920" s="1"/>
      <c r="BF920" s="1"/>
      <c r="BG920" s="1"/>
      <c r="BH920" s="1"/>
      <c r="BI920" s="1"/>
      <c r="BJ920" s="1" t="s">
        <v>16651</v>
      </c>
      <c r="BK920" s="1"/>
      <c r="BL920" s="1"/>
      <c r="BM920" s="1" t="s">
        <v>16652</v>
      </c>
      <c r="BN920" s="1">
        <v>8</v>
      </c>
      <c r="BO920" s="1"/>
      <c r="BP920" s="1" t="str">
        <f>HYPERLINK("https://nconnect.nicmar.ac.in/storage/profile/ProfilePhoto_P25702140_617534.jpg","Download")</f>
        <v>0</v>
      </c>
      <c r="BQ920" s="3"/>
      <c r="BR920" s="3"/>
    </row>
    <row r="921" spans="1:70">
      <c r="A921" s="1" t="s">
        <v>441</v>
      </c>
      <c r="B921" s="1" t="s">
        <v>1269</v>
      </c>
      <c r="C921" s="1" t="s">
        <v>16653</v>
      </c>
      <c r="D921" s="1" t="s">
        <v>16654</v>
      </c>
      <c r="E921" s="1" t="s">
        <v>16655</v>
      </c>
      <c r="F921" s="1" t="s">
        <v>3058</v>
      </c>
      <c r="G921" s="1" t="s">
        <v>16656</v>
      </c>
      <c r="H921" s="1" t="s">
        <v>16657</v>
      </c>
      <c r="I921" s="1" t="s">
        <v>16658</v>
      </c>
      <c r="J921" s="1">
        <v>9527427054</v>
      </c>
      <c r="K921" s="1" t="s">
        <v>148</v>
      </c>
      <c r="L921" s="1" t="s">
        <v>16659</v>
      </c>
      <c r="M921" s="1" t="s">
        <v>81</v>
      </c>
      <c r="N921" s="1" t="s">
        <v>2008</v>
      </c>
      <c r="O921" s="1"/>
      <c r="P921" s="1" t="s">
        <v>1323</v>
      </c>
      <c r="Q921" s="1" t="s">
        <v>16660</v>
      </c>
      <c r="R921" s="1" t="s">
        <v>144</v>
      </c>
      <c r="S921" s="1">
        <v>8788634035</v>
      </c>
      <c r="T921" s="1" t="s">
        <v>9922</v>
      </c>
      <c r="U921" s="1" t="s">
        <v>2703</v>
      </c>
      <c r="V921" s="1">
        <v>8237197508</v>
      </c>
      <c r="W921" s="1" t="s">
        <v>89</v>
      </c>
      <c r="X921" s="1" t="s">
        <v>16661</v>
      </c>
      <c r="Y921" s="1" t="s">
        <v>405</v>
      </c>
      <c r="Z921" s="1" t="s">
        <v>92</v>
      </c>
      <c r="AA921" s="1" t="s">
        <v>16661</v>
      </c>
      <c r="AB921" s="1" t="s">
        <v>405</v>
      </c>
      <c r="AC921" s="1" t="s">
        <v>92</v>
      </c>
      <c r="AD921" s="1">
        <v>8.58</v>
      </c>
      <c r="AE921" s="1" t="s">
        <v>93</v>
      </c>
      <c r="AF921" s="1" t="s">
        <v>16662</v>
      </c>
      <c r="AG921" s="1" t="s">
        <v>1539</v>
      </c>
      <c r="AH921" s="1" t="s">
        <v>96</v>
      </c>
      <c r="AI921" s="1" t="s">
        <v>97</v>
      </c>
      <c r="AJ921" s="1">
        <v>93.8</v>
      </c>
      <c r="AK921" s="1"/>
      <c r="AL921" s="1" t="s">
        <v>16662</v>
      </c>
      <c r="AM921" s="1" t="s">
        <v>1539</v>
      </c>
      <c r="AN921" s="1" t="s">
        <v>162</v>
      </c>
      <c r="AO921" s="1" t="s">
        <v>1332</v>
      </c>
      <c r="AP921" s="1">
        <v>74.15</v>
      </c>
      <c r="AQ921" s="1"/>
      <c r="AR921" s="1"/>
      <c r="AS921" s="1"/>
      <c r="AT921" s="1"/>
      <c r="AU921" s="1"/>
      <c r="AV921" s="1"/>
      <c r="AW921" s="1"/>
      <c r="AX921" s="1" t="s">
        <v>1853</v>
      </c>
      <c r="AY921" s="1" t="s">
        <v>16663</v>
      </c>
      <c r="AZ921" s="1" t="s">
        <v>225</v>
      </c>
      <c r="BA921" s="1" t="s">
        <v>284</v>
      </c>
      <c r="BB921" s="1">
        <v>73.9</v>
      </c>
      <c r="BC921" s="1">
        <v>8.14</v>
      </c>
      <c r="BD921" s="1"/>
      <c r="BE921" s="1"/>
      <c r="BF921" s="1"/>
      <c r="BG921" s="1"/>
      <c r="BH921" s="1"/>
      <c r="BI921" s="1"/>
      <c r="BJ921" s="1" t="s">
        <v>16664</v>
      </c>
      <c r="BK921" s="1" t="s">
        <v>16665</v>
      </c>
      <c r="BL921" s="1" t="s">
        <v>4207</v>
      </c>
      <c r="BM921" s="1" t="s">
        <v>16666</v>
      </c>
      <c r="BN921" s="1">
        <v>31</v>
      </c>
      <c r="BO921" s="1"/>
      <c r="BP921" s="1" t="str">
        <f>HYPERLINK("https://nconnect.nicmar.ac.in/storage/profile/ProfilePhoto_P25702141_791462.jpg","Download")</f>
        <v>0</v>
      </c>
      <c r="BQ921" s="3"/>
      <c r="BR921" s="3"/>
    </row>
    <row r="922" spans="1:70">
      <c r="A922" s="1" t="s">
        <v>441</v>
      </c>
      <c r="B922" s="1" t="s">
        <v>1269</v>
      </c>
      <c r="C922" s="1" t="s">
        <v>16667</v>
      </c>
      <c r="D922" s="1" t="s">
        <v>4153</v>
      </c>
      <c r="E922" s="1" t="s">
        <v>13725</v>
      </c>
      <c r="F922" s="1" t="s">
        <v>16668</v>
      </c>
      <c r="G922" s="1" t="s">
        <v>16669</v>
      </c>
      <c r="H922" s="1" t="s">
        <v>16670</v>
      </c>
      <c r="I922" s="1" t="s">
        <v>16671</v>
      </c>
      <c r="J922" s="1">
        <v>9167361846</v>
      </c>
      <c r="K922" s="1" t="s">
        <v>79</v>
      </c>
      <c r="L922" s="1" t="s">
        <v>16672</v>
      </c>
      <c r="M922" s="1" t="s">
        <v>81</v>
      </c>
      <c r="N922" s="1" t="s">
        <v>16673</v>
      </c>
      <c r="O922" s="1"/>
      <c r="P922" s="1" t="s">
        <v>1278</v>
      </c>
      <c r="Q922" s="1" t="s">
        <v>16674</v>
      </c>
      <c r="R922" s="1" t="s">
        <v>16675</v>
      </c>
      <c r="S922" s="1">
        <v>9930165439</v>
      </c>
      <c r="T922" s="1" t="s">
        <v>4486</v>
      </c>
      <c r="U922" s="1" t="s">
        <v>16676</v>
      </c>
      <c r="V922" s="1">
        <v>7506254461</v>
      </c>
      <c r="W922" s="1" t="s">
        <v>156</v>
      </c>
      <c r="X922" s="1" t="s">
        <v>16677</v>
      </c>
      <c r="Y922" s="1" t="s">
        <v>995</v>
      </c>
      <c r="Z922" s="1" t="s">
        <v>92</v>
      </c>
      <c r="AA922" s="1" t="s">
        <v>16678</v>
      </c>
      <c r="AB922" s="1" t="s">
        <v>1623</v>
      </c>
      <c r="AC922" s="1" t="s">
        <v>92</v>
      </c>
      <c r="AD922" s="1">
        <v>8.16</v>
      </c>
      <c r="AE922" s="1" t="s">
        <v>93</v>
      </c>
      <c r="AF922" s="1" t="s">
        <v>16679</v>
      </c>
      <c r="AG922" s="1" t="s">
        <v>16680</v>
      </c>
      <c r="AH922" s="1" t="s">
        <v>337</v>
      </c>
      <c r="AI922" s="1" t="s">
        <v>527</v>
      </c>
      <c r="AJ922" s="1">
        <v>80.8</v>
      </c>
      <c r="AK922" s="1"/>
      <c r="AL922" s="1" t="s">
        <v>16681</v>
      </c>
      <c r="AM922" s="1" t="s">
        <v>16680</v>
      </c>
      <c r="AN922" s="1" t="s">
        <v>162</v>
      </c>
      <c r="AO922" s="1" t="s">
        <v>166</v>
      </c>
      <c r="AP922" s="1">
        <v>60</v>
      </c>
      <c r="AQ922" s="1"/>
      <c r="AR922" s="1"/>
      <c r="AS922" s="1"/>
      <c r="AT922" s="1"/>
      <c r="AU922" s="1"/>
      <c r="AV922" s="1"/>
      <c r="AW922" s="1"/>
      <c r="AX922" s="1" t="s">
        <v>1024</v>
      </c>
      <c r="AY922" s="1" t="s">
        <v>1472</v>
      </c>
      <c r="AZ922" s="1" t="s">
        <v>101</v>
      </c>
      <c r="BA922" s="1" t="s">
        <v>682</v>
      </c>
      <c r="BB922" s="1">
        <v>59.93</v>
      </c>
      <c r="BC922" s="1">
        <v>6.71</v>
      </c>
      <c r="BD922" s="1"/>
      <c r="BE922" s="1"/>
      <c r="BF922" s="1"/>
      <c r="BG922" s="1"/>
      <c r="BH922" s="1"/>
      <c r="BI922" s="1"/>
      <c r="BJ922" s="1" t="s">
        <v>16682</v>
      </c>
      <c r="BK922" s="1" t="s">
        <v>16683</v>
      </c>
      <c r="BL922" s="1" t="s">
        <v>2187</v>
      </c>
      <c r="BM922" s="1" t="s">
        <v>16684</v>
      </c>
      <c r="BN922" s="1">
        <v>18</v>
      </c>
      <c r="BO922" s="1"/>
      <c r="BP922" s="1" t="str">
        <f>HYPERLINK("https://nconnect.nicmar.ac.in/storage/profile/ProfilePhoto_P25702142_975823.jpg","Download")</f>
        <v>0</v>
      </c>
      <c r="BQ922" s="3"/>
      <c r="BR922" s="3"/>
    </row>
    <row r="923" spans="1:70">
      <c r="A923" s="1" t="s">
        <v>441</v>
      </c>
      <c r="B923" s="1" t="s">
        <v>1269</v>
      </c>
      <c r="C923" s="1" t="s">
        <v>16685</v>
      </c>
      <c r="D923" s="1" t="s">
        <v>16686</v>
      </c>
      <c r="E923" s="1"/>
      <c r="F923" s="1" t="s">
        <v>111</v>
      </c>
      <c r="G923" s="1" t="s">
        <v>16687</v>
      </c>
      <c r="H923" s="1" t="s">
        <v>16688</v>
      </c>
      <c r="I923" s="1" t="s">
        <v>16689</v>
      </c>
      <c r="J923" s="1">
        <v>9994020923</v>
      </c>
      <c r="K923" s="1" t="s">
        <v>79</v>
      </c>
      <c r="L923" s="1" t="s">
        <v>16690</v>
      </c>
      <c r="M923" s="1" t="s">
        <v>81</v>
      </c>
      <c r="N923" s="1" t="s">
        <v>16691</v>
      </c>
      <c r="O923" s="1"/>
      <c r="P923" s="1" t="s">
        <v>1298</v>
      </c>
      <c r="Q923" s="1" t="s">
        <v>16692</v>
      </c>
      <c r="R923" s="1" t="s">
        <v>16693</v>
      </c>
      <c r="S923" s="1">
        <v>9789730052</v>
      </c>
      <c r="T923" s="1" t="s">
        <v>16694</v>
      </c>
      <c r="U923" s="1" t="s">
        <v>16695</v>
      </c>
      <c r="V923" s="1">
        <v>9715877739</v>
      </c>
      <c r="W923" s="1" t="s">
        <v>89</v>
      </c>
      <c r="X923" s="1" t="s">
        <v>16696</v>
      </c>
      <c r="Y923" s="1" t="s">
        <v>2929</v>
      </c>
      <c r="Z923" s="1" t="s">
        <v>1377</v>
      </c>
      <c r="AA923" s="1" t="s">
        <v>16696</v>
      </c>
      <c r="AB923" s="1" t="s">
        <v>2929</v>
      </c>
      <c r="AC923" s="1" t="s">
        <v>1377</v>
      </c>
      <c r="AD923" s="1">
        <v>9.13</v>
      </c>
      <c r="AE923" s="1" t="s">
        <v>93</v>
      </c>
      <c r="AF923" s="1" t="s">
        <v>16697</v>
      </c>
      <c r="AG923" s="1" t="s">
        <v>16698</v>
      </c>
      <c r="AH923" s="1" t="s">
        <v>165</v>
      </c>
      <c r="AI923" s="1" t="s">
        <v>281</v>
      </c>
      <c r="AJ923" s="1">
        <v>87.2</v>
      </c>
      <c r="AK923" s="1"/>
      <c r="AL923" s="1" t="s">
        <v>16697</v>
      </c>
      <c r="AM923" s="1" t="s">
        <v>16698</v>
      </c>
      <c r="AN923" s="1" t="s">
        <v>433</v>
      </c>
      <c r="AO923" s="1" t="s">
        <v>941</v>
      </c>
      <c r="AP923" s="1">
        <v>57.66</v>
      </c>
      <c r="AQ923" s="1"/>
      <c r="AR923" s="1"/>
      <c r="AS923" s="1"/>
      <c r="AT923" s="1"/>
      <c r="AU923" s="1"/>
      <c r="AV923" s="1"/>
      <c r="AW923" s="1"/>
      <c r="AX923" s="1" t="s">
        <v>1381</v>
      </c>
      <c r="AY923" s="1" t="s">
        <v>16699</v>
      </c>
      <c r="AZ923" s="1" t="s">
        <v>681</v>
      </c>
      <c r="BA923" s="1" t="s">
        <v>702</v>
      </c>
      <c r="BB923" s="1">
        <v>78.9</v>
      </c>
      <c r="BC923" s="1">
        <v>7.89</v>
      </c>
      <c r="BD923" s="1"/>
      <c r="BE923" s="1"/>
      <c r="BF923" s="1"/>
      <c r="BG923" s="1"/>
      <c r="BH923" s="1"/>
      <c r="BI923" s="1"/>
      <c r="BJ923" s="1" t="s">
        <v>16700</v>
      </c>
      <c r="BK923" s="1" t="s">
        <v>16701</v>
      </c>
      <c r="BL923" s="1" t="s">
        <v>287</v>
      </c>
      <c r="BM923" s="1" t="s">
        <v>16702</v>
      </c>
      <c r="BN923" s="1">
        <v>13</v>
      </c>
      <c r="BO923" s="1" t="s">
        <v>16703</v>
      </c>
      <c r="BP923" s="1" t="str">
        <f>HYPERLINK("https://nconnect.nicmar.ac.in/storage/profile/ProfilePhoto_P25702143_642159.jpg","Download")</f>
        <v>0</v>
      </c>
      <c r="BQ923" s="3"/>
      <c r="BR923" s="3"/>
    </row>
    <row r="924" spans="1:70">
      <c r="A924" s="1" t="s">
        <v>441</v>
      </c>
      <c r="B924" s="1" t="s">
        <v>1269</v>
      </c>
      <c r="C924" s="1" t="s">
        <v>16704</v>
      </c>
      <c r="D924" s="1" t="s">
        <v>14182</v>
      </c>
      <c r="E924" s="1" t="s">
        <v>4294</v>
      </c>
      <c r="F924" s="1" t="s">
        <v>16705</v>
      </c>
      <c r="G924" s="1" t="s">
        <v>16706</v>
      </c>
      <c r="H924" s="1" t="s">
        <v>16707</v>
      </c>
      <c r="I924" s="1" t="s">
        <v>16708</v>
      </c>
      <c r="J924" s="1">
        <v>9158030985</v>
      </c>
      <c r="K924" s="1" t="s">
        <v>79</v>
      </c>
      <c r="L924" s="1" t="s">
        <v>8133</v>
      </c>
      <c r="M924" s="1" t="s">
        <v>81</v>
      </c>
      <c r="N924" s="1" t="s">
        <v>16709</v>
      </c>
      <c r="O924" s="1" t="s">
        <v>16710</v>
      </c>
      <c r="P924" s="1" t="s">
        <v>1766</v>
      </c>
      <c r="Q924" s="1" t="s">
        <v>16711</v>
      </c>
      <c r="R924" s="1" t="s">
        <v>16712</v>
      </c>
      <c r="S924" s="1">
        <v>9860524715</v>
      </c>
      <c r="T924" s="1" t="s">
        <v>763</v>
      </c>
      <c r="U924" s="1" t="s">
        <v>16713</v>
      </c>
      <c r="V924" s="1">
        <v>7823891874</v>
      </c>
      <c r="W924" s="1" t="s">
        <v>156</v>
      </c>
      <c r="X924" s="1" t="s">
        <v>16714</v>
      </c>
      <c r="Y924" s="1" t="s">
        <v>191</v>
      </c>
      <c r="Z924" s="1" t="s">
        <v>92</v>
      </c>
      <c r="AA924" s="1" t="s">
        <v>16714</v>
      </c>
      <c r="AB924" s="1" t="s">
        <v>191</v>
      </c>
      <c r="AC924" s="1" t="s">
        <v>92</v>
      </c>
      <c r="AD924" s="1">
        <v>6.79</v>
      </c>
      <c r="AE924" s="1" t="s">
        <v>93</v>
      </c>
      <c r="AF924" s="1" t="s">
        <v>16715</v>
      </c>
      <c r="AG924" s="1" t="s">
        <v>16716</v>
      </c>
      <c r="AH924" s="1" t="s">
        <v>165</v>
      </c>
      <c r="AI924" s="1" t="s">
        <v>281</v>
      </c>
      <c r="AJ924" s="1">
        <v>63.2</v>
      </c>
      <c r="AK924" s="1"/>
      <c r="AL924" s="1"/>
      <c r="AM924" s="1"/>
      <c r="AN924" s="1"/>
      <c r="AO924" s="1"/>
      <c r="AP924" s="1"/>
      <c r="AQ924" s="1"/>
      <c r="AR924" s="1" t="s">
        <v>98</v>
      </c>
      <c r="AS924" s="1" t="s">
        <v>16717</v>
      </c>
      <c r="AT924" s="1" t="s">
        <v>636</v>
      </c>
      <c r="AU924" s="1" t="s">
        <v>135</v>
      </c>
      <c r="AV924" s="1">
        <v>71.16</v>
      </c>
      <c r="AW924" s="1"/>
      <c r="AX924" s="1" t="s">
        <v>361</v>
      </c>
      <c r="AY924" s="1" t="s">
        <v>16718</v>
      </c>
      <c r="AZ924" s="1" t="s">
        <v>2693</v>
      </c>
      <c r="BA924" s="1" t="s">
        <v>6033</v>
      </c>
      <c r="BB924" s="1">
        <v>56.85</v>
      </c>
      <c r="BC924" s="1">
        <v>6.12</v>
      </c>
      <c r="BD924" s="1"/>
      <c r="BE924" s="1"/>
      <c r="BF924" s="1"/>
      <c r="BG924" s="1"/>
      <c r="BH924" s="1"/>
      <c r="BI924" s="1"/>
      <c r="BJ924" s="1" t="s">
        <v>1777</v>
      </c>
      <c r="BK924" s="1"/>
      <c r="BL924" s="1"/>
      <c r="BM924" s="1" t="s">
        <v>16719</v>
      </c>
      <c r="BN924" s="1">
        <v>21</v>
      </c>
      <c r="BO924" s="1"/>
      <c r="BP924" s="1" t="str">
        <f>HYPERLINK("https://nconnect.nicmar.ac.in/storage/profile/ProfilePhoto_P25702144_513879.jpg","Download")</f>
        <v>0</v>
      </c>
      <c r="BQ924" s="3"/>
      <c r="BR924" s="3"/>
    </row>
    <row r="925" spans="1:70">
      <c r="A925" s="1" t="s">
        <v>441</v>
      </c>
      <c r="B925" s="1" t="s">
        <v>1269</v>
      </c>
      <c r="C925" s="1" t="s">
        <v>16720</v>
      </c>
      <c r="D925" s="1" t="s">
        <v>16721</v>
      </c>
      <c r="E925" s="1" t="s">
        <v>11676</v>
      </c>
      <c r="F925" s="1" t="s">
        <v>2023</v>
      </c>
      <c r="G925" s="1" t="s">
        <v>16722</v>
      </c>
      <c r="H925" s="1" t="s">
        <v>16723</v>
      </c>
      <c r="I925" s="1" t="s">
        <v>16724</v>
      </c>
      <c r="J925" s="1">
        <v>8421897944</v>
      </c>
      <c r="K925" s="1" t="s">
        <v>148</v>
      </c>
      <c r="L925" s="1" t="s">
        <v>3622</v>
      </c>
      <c r="M925" s="1" t="s">
        <v>81</v>
      </c>
      <c r="N925" s="1" t="s">
        <v>860</v>
      </c>
      <c r="O925" s="1"/>
      <c r="P925" s="1" t="s">
        <v>1298</v>
      </c>
      <c r="Q925" s="1" t="s">
        <v>16725</v>
      </c>
      <c r="R925" s="1" t="s">
        <v>2023</v>
      </c>
      <c r="S925" s="1">
        <v>9421894505</v>
      </c>
      <c r="T925" s="1" t="s">
        <v>976</v>
      </c>
      <c r="U925" s="1" t="s">
        <v>7475</v>
      </c>
      <c r="V925" s="1">
        <v>9421899543</v>
      </c>
      <c r="W925" s="1" t="s">
        <v>156</v>
      </c>
      <c r="X925" s="1" t="s">
        <v>16726</v>
      </c>
      <c r="Y925" s="1" t="s">
        <v>219</v>
      </c>
      <c r="Z925" s="1" t="s">
        <v>92</v>
      </c>
      <c r="AA925" s="1" t="s">
        <v>16726</v>
      </c>
      <c r="AB925" s="1" t="s">
        <v>219</v>
      </c>
      <c r="AC925" s="1" t="s">
        <v>92</v>
      </c>
      <c r="AD925" s="1">
        <v>7.87</v>
      </c>
      <c r="AE925" s="1" t="s">
        <v>93</v>
      </c>
      <c r="AF925" s="1" t="s">
        <v>16727</v>
      </c>
      <c r="AG925" s="1" t="s">
        <v>455</v>
      </c>
      <c r="AH925" s="1" t="s">
        <v>96</v>
      </c>
      <c r="AI925" s="1" t="s">
        <v>97</v>
      </c>
      <c r="AJ925" s="1">
        <v>91.2</v>
      </c>
      <c r="AK925" s="1"/>
      <c r="AL925" s="1" t="s">
        <v>13368</v>
      </c>
      <c r="AM925" s="1" t="s">
        <v>455</v>
      </c>
      <c r="AN925" s="1" t="s">
        <v>162</v>
      </c>
      <c r="AO925" s="1" t="s">
        <v>1332</v>
      </c>
      <c r="AP925" s="1">
        <v>70.31</v>
      </c>
      <c r="AQ925" s="1"/>
      <c r="AR925" s="1"/>
      <c r="AS925" s="1"/>
      <c r="AT925" s="1"/>
      <c r="AU925" s="1"/>
      <c r="AV925" s="1"/>
      <c r="AW925" s="1"/>
      <c r="AX925" s="1" t="s">
        <v>11485</v>
      </c>
      <c r="AY925" s="1" t="s">
        <v>16728</v>
      </c>
      <c r="AZ925" s="1" t="s">
        <v>383</v>
      </c>
      <c r="BA925" s="1" t="s">
        <v>386</v>
      </c>
      <c r="BB925" s="1">
        <v>65.55</v>
      </c>
      <c r="BC925" s="1">
        <v>6.91</v>
      </c>
      <c r="BD925" s="1"/>
      <c r="BE925" s="1"/>
      <c r="BF925" s="1"/>
      <c r="BG925" s="1"/>
      <c r="BH925" s="1"/>
      <c r="BI925" s="1"/>
      <c r="BJ925" s="1" t="s">
        <v>16729</v>
      </c>
      <c r="BK925" s="1"/>
      <c r="BL925" s="1"/>
      <c r="BM925" s="1" t="s">
        <v>16730</v>
      </c>
      <c r="BN925" s="1">
        <v>9</v>
      </c>
      <c r="BO925" s="1" t="s">
        <v>16731</v>
      </c>
      <c r="BP925" s="1" t="str">
        <f>HYPERLINK("https://nconnect.nicmar.ac.in/storage/profile/ProfilePhoto_P25702145_537219.jpg","Download")</f>
        <v>0</v>
      </c>
      <c r="BQ925" s="3"/>
      <c r="BR925" s="3"/>
    </row>
    <row r="926" spans="1:70">
      <c r="A926" s="1" t="s">
        <v>441</v>
      </c>
      <c r="B926" s="1" t="s">
        <v>1269</v>
      </c>
      <c r="C926" s="1" t="s">
        <v>16732</v>
      </c>
      <c r="D926" s="1" t="s">
        <v>8366</v>
      </c>
      <c r="E926" s="1"/>
      <c r="F926" s="1" t="s">
        <v>16733</v>
      </c>
      <c r="G926" s="1" t="s">
        <v>16734</v>
      </c>
      <c r="H926" s="1" t="s">
        <v>16735</v>
      </c>
      <c r="I926" s="1" t="s">
        <v>16736</v>
      </c>
      <c r="J926" s="1">
        <v>9140953092</v>
      </c>
      <c r="K926" s="1" t="s">
        <v>79</v>
      </c>
      <c r="L926" s="1" t="s">
        <v>3974</v>
      </c>
      <c r="M926" s="1" t="s">
        <v>81</v>
      </c>
      <c r="N926" s="1" t="s">
        <v>82</v>
      </c>
      <c r="O926" s="1"/>
      <c r="P926" s="1" t="s">
        <v>1462</v>
      </c>
      <c r="Q926" s="1" t="s">
        <v>16737</v>
      </c>
      <c r="R926" s="1" t="s">
        <v>16738</v>
      </c>
      <c r="S926" s="1">
        <v>7052931127</v>
      </c>
      <c r="T926" s="1" t="s">
        <v>976</v>
      </c>
      <c r="U926" s="1" t="s">
        <v>301</v>
      </c>
      <c r="V926" s="1">
        <v>7052931127</v>
      </c>
      <c r="W926" s="1" t="s">
        <v>156</v>
      </c>
      <c r="X926" s="1" t="s">
        <v>16739</v>
      </c>
      <c r="Y926" s="1" t="s">
        <v>1912</v>
      </c>
      <c r="Z926" s="1" t="s">
        <v>1355</v>
      </c>
      <c r="AA926" s="1" t="s">
        <v>16739</v>
      </c>
      <c r="AB926" s="1" t="s">
        <v>1912</v>
      </c>
      <c r="AC926" s="1" t="s">
        <v>1355</v>
      </c>
      <c r="AD926" s="1">
        <v>7.19</v>
      </c>
      <c r="AE926" s="1" t="s">
        <v>93</v>
      </c>
      <c r="AF926" s="1" t="s">
        <v>16740</v>
      </c>
      <c r="AG926" s="1" t="s">
        <v>16741</v>
      </c>
      <c r="AH926" s="1" t="s">
        <v>503</v>
      </c>
      <c r="AI926" s="1" t="s">
        <v>165</v>
      </c>
      <c r="AJ926" s="1">
        <v>57</v>
      </c>
      <c r="AK926" s="1">
        <v>6</v>
      </c>
      <c r="AL926" s="1" t="s">
        <v>16742</v>
      </c>
      <c r="AM926" s="1" t="s">
        <v>16743</v>
      </c>
      <c r="AN926" s="1" t="s">
        <v>678</v>
      </c>
      <c r="AO926" s="1" t="s">
        <v>1065</v>
      </c>
      <c r="AP926" s="1">
        <v>59.4</v>
      </c>
      <c r="AQ926" s="1"/>
      <c r="AR926" s="1"/>
      <c r="AS926" s="1"/>
      <c r="AT926" s="1"/>
      <c r="AU926" s="1"/>
      <c r="AV926" s="1"/>
      <c r="AW926" s="1"/>
      <c r="AX926" s="1" t="s">
        <v>16744</v>
      </c>
      <c r="AY926" s="1" t="s">
        <v>16745</v>
      </c>
      <c r="AZ926" s="1" t="s">
        <v>310</v>
      </c>
      <c r="BA926" s="1" t="s">
        <v>174</v>
      </c>
      <c r="BB926" s="1">
        <v>74.48</v>
      </c>
      <c r="BC926" s="1"/>
      <c r="BD926" s="1"/>
      <c r="BE926" s="1"/>
      <c r="BF926" s="1"/>
      <c r="BG926" s="1"/>
      <c r="BH926" s="1"/>
      <c r="BI926" s="1"/>
      <c r="BJ926" s="1" t="s">
        <v>16746</v>
      </c>
      <c r="BK926" s="1"/>
      <c r="BL926" s="1"/>
      <c r="BM926" s="1" t="s">
        <v>16747</v>
      </c>
      <c r="BN926" s="1">
        <v>42</v>
      </c>
      <c r="BO926" s="1" t="s">
        <v>16748</v>
      </c>
      <c r="BP926" s="1" t="str">
        <f>HYPERLINK("https://nconnect.nicmar.ac.in/storage/profile/ProfilePhoto_P25702146_286534.jpg","Download")</f>
        <v>0</v>
      </c>
      <c r="BQ926" s="3"/>
      <c r="BR926" s="3"/>
    </row>
    <row r="927" spans="1:70">
      <c r="A927" s="1" t="s">
        <v>441</v>
      </c>
      <c r="B927" s="1" t="s">
        <v>1269</v>
      </c>
      <c r="C927" s="1" t="s">
        <v>16749</v>
      </c>
      <c r="D927" s="1" t="s">
        <v>314</v>
      </c>
      <c r="E927" s="1" t="s">
        <v>4294</v>
      </c>
      <c r="F927" s="1" t="s">
        <v>7794</v>
      </c>
      <c r="G927" s="1" t="s">
        <v>16750</v>
      </c>
      <c r="H927" s="1" t="s">
        <v>16751</v>
      </c>
      <c r="I927" s="1" t="s">
        <v>16752</v>
      </c>
      <c r="J927" s="1">
        <v>9559409990</v>
      </c>
      <c r="K927" s="1" t="s">
        <v>79</v>
      </c>
      <c r="L927" s="1" t="s">
        <v>16753</v>
      </c>
      <c r="M927" s="1" t="s">
        <v>81</v>
      </c>
      <c r="N927" s="1" t="s">
        <v>860</v>
      </c>
      <c r="O927" s="1"/>
      <c r="P927" s="1" t="s">
        <v>1278</v>
      </c>
      <c r="Q927" s="1" t="s">
        <v>16754</v>
      </c>
      <c r="R927" s="1" t="s">
        <v>16755</v>
      </c>
      <c r="S927" s="1">
        <v>7020554242</v>
      </c>
      <c r="T927" s="1" t="s">
        <v>496</v>
      </c>
      <c r="U927" s="1" t="s">
        <v>16756</v>
      </c>
      <c r="V927" s="1">
        <v>7020942494</v>
      </c>
      <c r="W927" s="1" t="s">
        <v>156</v>
      </c>
      <c r="X927" s="1" t="s">
        <v>16757</v>
      </c>
      <c r="Y927" s="1" t="s">
        <v>304</v>
      </c>
      <c r="Z927" s="1" t="s">
        <v>92</v>
      </c>
      <c r="AA927" s="1" t="s">
        <v>16757</v>
      </c>
      <c r="AB927" s="1" t="s">
        <v>304</v>
      </c>
      <c r="AC927" s="1" t="s">
        <v>92</v>
      </c>
      <c r="AD927" s="1">
        <v>7.77</v>
      </c>
      <c r="AE927" s="1" t="s">
        <v>93</v>
      </c>
      <c r="AF927" s="1" t="s">
        <v>16758</v>
      </c>
      <c r="AG927" s="1" t="s">
        <v>16759</v>
      </c>
      <c r="AH927" s="1" t="s">
        <v>733</v>
      </c>
      <c r="AI927" s="1" t="s">
        <v>165</v>
      </c>
      <c r="AJ927" s="1">
        <v>56.8</v>
      </c>
      <c r="AK927" s="1">
        <v>0</v>
      </c>
      <c r="AL927" s="1" t="s">
        <v>16760</v>
      </c>
      <c r="AM927" s="1" t="s">
        <v>197</v>
      </c>
      <c r="AN927" s="1" t="s">
        <v>636</v>
      </c>
      <c r="AO927" s="1" t="s">
        <v>198</v>
      </c>
      <c r="AP927" s="1">
        <v>61.54</v>
      </c>
      <c r="AQ927" s="1">
        <v>0</v>
      </c>
      <c r="AR927" s="1" t="s">
        <v>98</v>
      </c>
      <c r="AS927" s="1" t="s">
        <v>16761</v>
      </c>
      <c r="AT927" s="1" t="s">
        <v>310</v>
      </c>
      <c r="AU927" s="1" t="s">
        <v>1131</v>
      </c>
      <c r="AV927" s="1">
        <v>78.78</v>
      </c>
      <c r="AW927" s="1">
        <v>0</v>
      </c>
      <c r="AX927" s="1" t="s">
        <v>16762</v>
      </c>
      <c r="AY927" s="1" t="s">
        <v>16763</v>
      </c>
      <c r="AZ927" s="1" t="s">
        <v>436</v>
      </c>
      <c r="BA927" s="1" t="s">
        <v>1939</v>
      </c>
      <c r="BB927" s="1">
        <v>65.8</v>
      </c>
      <c r="BC927" s="1">
        <v>7.08</v>
      </c>
      <c r="BD927" s="1"/>
      <c r="BE927" s="1"/>
      <c r="BF927" s="1"/>
      <c r="BG927" s="1"/>
      <c r="BH927" s="1"/>
      <c r="BI927" s="1"/>
      <c r="BJ927" s="1" t="s">
        <v>4112</v>
      </c>
      <c r="BK927" s="1"/>
      <c r="BL927" s="1"/>
      <c r="BM927" s="1"/>
      <c r="BN927" s="1"/>
      <c r="BO927" s="1" t="s">
        <v>16764</v>
      </c>
      <c r="BP927" s="1" t="str">
        <f>HYPERLINK("https://nconnect.nicmar.ac.in/storage/profile/ProfilePhoto_P25702147_251638.jpg","Download")</f>
        <v>0</v>
      </c>
      <c r="BQ927" s="3"/>
      <c r="BR927" s="3"/>
    </row>
    <row r="928" spans="1:70">
      <c r="A928" s="1" t="s">
        <v>441</v>
      </c>
      <c r="B928" s="1" t="s">
        <v>1269</v>
      </c>
      <c r="C928" s="1" t="s">
        <v>16765</v>
      </c>
      <c r="D928" s="1" t="s">
        <v>443</v>
      </c>
      <c r="E928" s="1" t="s">
        <v>16766</v>
      </c>
      <c r="F928" s="1" t="s">
        <v>16767</v>
      </c>
      <c r="G928" s="1" t="s">
        <v>16768</v>
      </c>
      <c r="H928" s="1" t="s">
        <v>16769</v>
      </c>
      <c r="I928" s="1" t="s">
        <v>16770</v>
      </c>
      <c r="J928" s="1">
        <v>9112433201</v>
      </c>
      <c r="K928" s="1" t="s">
        <v>79</v>
      </c>
      <c r="L928" s="1" t="s">
        <v>16771</v>
      </c>
      <c r="M928" s="1" t="s">
        <v>81</v>
      </c>
      <c r="N928" s="1" t="s">
        <v>14087</v>
      </c>
      <c r="O928" s="1" t="s">
        <v>16772</v>
      </c>
      <c r="P928" s="1" t="s">
        <v>1323</v>
      </c>
      <c r="Q928" s="1" t="s">
        <v>16773</v>
      </c>
      <c r="R928" s="1" t="s">
        <v>16766</v>
      </c>
      <c r="S928" s="1">
        <v>9373114757</v>
      </c>
      <c r="T928" s="1" t="s">
        <v>496</v>
      </c>
      <c r="U928" s="1" t="s">
        <v>16774</v>
      </c>
      <c r="V928" s="1">
        <v>8329403779</v>
      </c>
      <c r="W928" s="1" t="s">
        <v>273</v>
      </c>
      <c r="X928" s="1" t="s">
        <v>16775</v>
      </c>
      <c r="Y928" s="1" t="s">
        <v>191</v>
      </c>
      <c r="Z928" s="1" t="s">
        <v>92</v>
      </c>
      <c r="AA928" s="1" t="s">
        <v>16776</v>
      </c>
      <c r="AB928" s="1" t="s">
        <v>405</v>
      </c>
      <c r="AC928" s="1" t="s">
        <v>92</v>
      </c>
      <c r="AD928" s="1">
        <v>7.9</v>
      </c>
      <c r="AE928" s="1" t="s">
        <v>93</v>
      </c>
      <c r="AF928" s="1" t="s">
        <v>16777</v>
      </c>
      <c r="AG928" s="1" t="s">
        <v>16778</v>
      </c>
      <c r="AH928" s="1" t="s">
        <v>165</v>
      </c>
      <c r="AI928" s="1" t="s">
        <v>101</v>
      </c>
      <c r="AJ928" s="1">
        <v>86.8</v>
      </c>
      <c r="AK928" s="1"/>
      <c r="AL928" s="1"/>
      <c r="AM928" s="1"/>
      <c r="AN928" s="1"/>
      <c r="AO928" s="1"/>
      <c r="AP928" s="1"/>
      <c r="AQ928" s="1"/>
      <c r="AR928" s="1" t="s">
        <v>98</v>
      </c>
      <c r="AS928" s="1" t="s">
        <v>9071</v>
      </c>
      <c r="AT928" s="1" t="s">
        <v>636</v>
      </c>
      <c r="AU928" s="1" t="s">
        <v>105</v>
      </c>
      <c r="AV928" s="1">
        <v>82.05</v>
      </c>
      <c r="AW928" s="1"/>
      <c r="AX928" s="1" t="s">
        <v>5543</v>
      </c>
      <c r="AY928" s="1" t="s">
        <v>11456</v>
      </c>
      <c r="AZ928" s="1" t="s">
        <v>2693</v>
      </c>
      <c r="BA928" s="1" t="s">
        <v>1714</v>
      </c>
      <c r="BB928" s="1">
        <v>59.3</v>
      </c>
      <c r="BC928" s="1">
        <v>6.68</v>
      </c>
      <c r="BD928" s="1"/>
      <c r="BE928" s="1"/>
      <c r="BF928" s="1"/>
      <c r="BG928" s="1"/>
      <c r="BH928" s="1"/>
      <c r="BI928" s="1"/>
      <c r="BJ928" s="1" t="s">
        <v>16779</v>
      </c>
      <c r="BK928" s="1"/>
      <c r="BL928" s="1"/>
      <c r="BM928" s="1" t="s">
        <v>16780</v>
      </c>
      <c r="BN928" s="1">
        <v>31</v>
      </c>
      <c r="BO928" s="1" t="s">
        <v>16781</v>
      </c>
      <c r="BP928" s="1" t="str">
        <f>HYPERLINK("https://nconnect.nicmar.ac.in/storage/profile/ProfilePhoto_P25702148_256413.jpg","Download")</f>
        <v>0</v>
      </c>
      <c r="BQ928" s="3"/>
      <c r="BR928" s="3"/>
    </row>
    <row r="929" spans="1:70">
      <c r="A929" s="1" t="s">
        <v>441</v>
      </c>
      <c r="B929" s="1" t="s">
        <v>1269</v>
      </c>
      <c r="C929" s="1" t="s">
        <v>16782</v>
      </c>
      <c r="D929" s="1" t="s">
        <v>14147</v>
      </c>
      <c r="E929" s="1" t="s">
        <v>9192</v>
      </c>
      <c r="F929" s="1" t="s">
        <v>2897</v>
      </c>
      <c r="G929" s="1" t="s">
        <v>14148</v>
      </c>
      <c r="H929" s="1" t="s">
        <v>16783</v>
      </c>
      <c r="I929" s="1" t="s">
        <v>16783</v>
      </c>
      <c r="J929" s="1"/>
      <c r="K929" s="1"/>
      <c r="L929" s="1"/>
      <c r="M929" s="1"/>
      <c r="N929" s="1"/>
      <c r="O929" s="1"/>
      <c r="P929" s="1"/>
      <c r="Q929" s="1"/>
      <c r="R929" s="1"/>
      <c r="S929" s="1"/>
      <c r="T929" s="1"/>
      <c r="U929" s="1"/>
      <c r="V929" s="1"/>
      <c r="W929" s="1"/>
      <c r="X929" s="1"/>
      <c r="Y929" s="1"/>
      <c r="Z929" s="1"/>
      <c r="AA929" s="1"/>
      <c r="AB929" s="1"/>
      <c r="AC929" s="1"/>
      <c r="AD929" s="1" t="s">
        <v>93</v>
      </c>
      <c r="AE929" s="1" t="s">
        <v>93</v>
      </c>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t="s">
        <v>1037</v>
      </c>
      <c r="BQ929" s="3"/>
      <c r="BR929" s="3"/>
    </row>
    <row r="930" spans="1:70">
      <c r="A930" s="1" t="s">
        <v>441</v>
      </c>
      <c r="B930" s="1" t="s">
        <v>1269</v>
      </c>
      <c r="C930" s="1" t="s">
        <v>16784</v>
      </c>
      <c r="D930" s="1" t="s">
        <v>16785</v>
      </c>
      <c r="E930" s="1" t="s">
        <v>9700</v>
      </c>
      <c r="F930" s="1" t="s">
        <v>16786</v>
      </c>
      <c r="G930" s="1" t="s">
        <v>16787</v>
      </c>
      <c r="H930" s="1" t="s">
        <v>16788</v>
      </c>
      <c r="I930" s="1" t="s">
        <v>16789</v>
      </c>
      <c r="J930" s="1">
        <v>9423963810</v>
      </c>
      <c r="K930" s="1" t="s">
        <v>148</v>
      </c>
      <c r="L930" s="1" t="s">
        <v>15120</v>
      </c>
      <c r="M930" s="1" t="s">
        <v>81</v>
      </c>
      <c r="N930" s="1" t="s">
        <v>8166</v>
      </c>
      <c r="O930" s="1"/>
      <c r="P930" s="1" t="s">
        <v>1298</v>
      </c>
      <c r="Q930" s="1" t="s">
        <v>16790</v>
      </c>
      <c r="R930" s="1" t="s">
        <v>16791</v>
      </c>
      <c r="S930" s="1">
        <v>8600040181</v>
      </c>
      <c r="T930" s="1" t="s">
        <v>496</v>
      </c>
      <c r="U930" s="1" t="s">
        <v>16792</v>
      </c>
      <c r="V930" s="1">
        <v>8600040182</v>
      </c>
      <c r="W930" s="1" t="s">
        <v>496</v>
      </c>
      <c r="X930" s="1" t="s">
        <v>16793</v>
      </c>
      <c r="Y930" s="1" t="s">
        <v>191</v>
      </c>
      <c r="Z930" s="1" t="s">
        <v>92</v>
      </c>
      <c r="AA930" s="1" t="s">
        <v>16794</v>
      </c>
      <c r="AB930" s="1" t="s">
        <v>1174</v>
      </c>
      <c r="AC930" s="1" t="s">
        <v>92</v>
      </c>
      <c r="AD930" s="1">
        <v>8.48</v>
      </c>
      <c r="AE930" s="1" t="s">
        <v>93</v>
      </c>
      <c r="AF930" s="1" t="s">
        <v>16795</v>
      </c>
      <c r="AG930" s="1" t="s">
        <v>307</v>
      </c>
      <c r="AH930" s="1" t="s">
        <v>165</v>
      </c>
      <c r="AI930" s="1" t="s">
        <v>166</v>
      </c>
      <c r="AJ930" s="1">
        <v>79.2</v>
      </c>
      <c r="AK930" s="1"/>
      <c r="AL930" s="1" t="s">
        <v>16796</v>
      </c>
      <c r="AM930" s="1" t="s">
        <v>160</v>
      </c>
      <c r="AN930" s="1" t="s">
        <v>198</v>
      </c>
      <c r="AO930" s="1" t="s">
        <v>360</v>
      </c>
      <c r="AP930" s="1">
        <v>74.77</v>
      </c>
      <c r="AQ930" s="1"/>
      <c r="AR930" s="1"/>
      <c r="AS930" s="1"/>
      <c r="AT930" s="1"/>
      <c r="AU930" s="1"/>
      <c r="AV930" s="1"/>
      <c r="AW930" s="1"/>
      <c r="AX930" s="1" t="s">
        <v>361</v>
      </c>
      <c r="AY930" s="1" t="s">
        <v>480</v>
      </c>
      <c r="AZ930" s="1" t="s">
        <v>504</v>
      </c>
      <c r="BA930" s="1" t="s">
        <v>1714</v>
      </c>
      <c r="BB930" s="1">
        <v>57.8</v>
      </c>
      <c r="BC930" s="1"/>
      <c r="BD930" s="1"/>
      <c r="BE930" s="1"/>
      <c r="BF930" s="1"/>
      <c r="BG930" s="1"/>
      <c r="BH930" s="1"/>
      <c r="BI930" s="1"/>
      <c r="BJ930" s="1" t="s">
        <v>1715</v>
      </c>
      <c r="BK930" s="1"/>
      <c r="BL930" s="1"/>
      <c r="BM930" s="1" t="s">
        <v>16797</v>
      </c>
      <c r="BN930" s="1">
        <v>28</v>
      </c>
      <c r="BO930" s="1" t="s">
        <v>16798</v>
      </c>
      <c r="BP930" s="1" t="str">
        <f>HYPERLINK("https://nconnect.nicmar.ac.in/storage/profile/ProfilePhoto_P25702150_823791.jpg","Download")</f>
        <v>0</v>
      </c>
      <c r="BQ930" s="3"/>
      <c r="BR930" s="3"/>
    </row>
    <row r="931" spans="1:70">
      <c r="A931" s="1" t="s">
        <v>441</v>
      </c>
      <c r="B931" s="1" t="s">
        <v>1269</v>
      </c>
      <c r="C931" s="1" t="s">
        <v>16799</v>
      </c>
      <c r="D931" s="1" t="s">
        <v>16800</v>
      </c>
      <c r="E931" s="1" t="s">
        <v>2128</v>
      </c>
      <c r="F931" s="1" t="s">
        <v>16801</v>
      </c>
      <c r="G931" s="1" t="s">
        <v>16802</v>
      </c>
      <c r="H931" s="1" t="s">
        <v>16803</v>
      </c>
      <c r="I931" s="1" t="s">
        <v>16804</v>
      </c>
      <c r="J931" s="1">
        <v>8888645609</v>
      </c>
      <c r="K931" s="1" t="s">
        <v>79</v>
      </c>
      <c r="L931" s="1" t="s">
        <v>16805</v>
      </c>
      <c r="M931" s="1" t="s">
        <v>81</v>
      </c>
      <c r="N931" s="1" t="s">
        <v>1418</v>
      </c>
      <c r="O931" s="1"/>
      <c r="P931" s="1" t="s">
        <v>1278</v>
      </c>
      <c r="Q931" s="1" t="s">
        <v>16806</v>
      </c>
      <c r="R931" s="1" t="s">
        <v>16807</v>
      </c>
      <c r="S931" s="1">
        <v>9371011109</v>
      </c>
      <c r="T931" s="1" t="s">
        <v>496</v>
      </c>
      <c r="U931" s="1" t="s">
        <v>16808</v>
      </c>
      <c r="V931" s="1">
        <v>9325132116</v>
      </c>
      <c r="W931" s="1" t="s">
        <v>156</v>
      </c>
      <c r="X931" s="1" t="s">
        <v>16809</v>
      </c>
      <c r="Y931" s="1" t="s">
        <v>191</v>
      </c>
      <c r="Z931" s="1" t="s">
        <v>92</v>
      </c>
      <c r="AA931" s="1" t="s">
        <v>16809</v>
      </c>
      <c r="AB931" s="1" t="s">
        <v>191</v>
      </c>
      <c r="AC931" s="1" t="s">
        <v>92</v>
      </c>
      <c r="AD931" s="1">
        <v>8.47</v>
      </c>
      <c r="AE931" s="1" t="s">
        <v>93</v>
      </c>
      <c r="AF931" s="1" t="s">
        <v>16810</v>
      </c>
      <c r="AG931" s="1" t="s">
        <v>1086</v>
      </c>
      <c r="AH931" s="1" t="s">
        <v>2953</v>
      </c>
      <c r="AI931" s="1" t="s">
        <v>166</v>
      </c>
      <c r="AJ931" s="1">
        <v>90.33</v>
      </c>
      <c r="AK931" s="1"/>
      <c r="AL931" s="1" t="s">
        <v>16811</v>
      </c>
      <c r="AM931" s="1" t="s">
        <v>160</v>
      </c>
      <c r="AN931" s="1" t="s">
        <v>101</v>
      </c>
      <c r="AO931" s="1" t="s">
        <v>173</v>
      </c>
      <c r="AP931" s="1">
        <v>80.31</v>
      </c>
      <c r="AQ931" s="1"/>
      <c r="AR931" s="1"/>
      <c r="AS931" s="1"/>
      <c r="AT931" s="1"/>
      <c r="AU931" s="1"/>
      <c r="AV931" s="1"/>
      <c r="AW931" s="1"/>
      <c r="AX931" s="1" t="s">
        <v>361</v>
      </c>
      <c r="AY931" s="1" t="s">
        <v>8769</v>
      </c>
      <c r="AZ931" s="1" t="s">
        <v>363</v>
      </c>
      <c r="BA931" s="1" t="s">
        <v>413</v>
      </c>
      <c r="BB931" s="1">
        <v>87.84</v>
      </c>
      <c r="BC931" s="1"/>
      <c r="BD931" s="1"/>
      <c r="BE931" s="1"/>
      <c r="BF931" s="1"/>
      <c r="BG931" s="1"/>
      <c r="BH931" s="1"/>
      <c r="BI931" s="1"/>
      <c r="BJ931" s="1" t="s">
        <v>4112</v>
      </c>
      <c r="BK931" s="1" t="s">
        <v>16812</v>
      </c>
      <c r="BL931" s="1" t="s">
        <v>2914</v>
      </c>
      <c r="BM931" s="1"/>
      <c r="BN931" s="1"/>
      <c r="BO931" s="1" t="s">
        <v>16813</v>
      </c>
      <c r="BP931" s="1" t="str">
        <f>HYPERLINK("https://nconnect.nicmar.ac.in/storage/profile/ProfilePhoto_P25702151_527439.jpg","Download")</f>
        <v>0</v>
      </c>
      <c r="BQ931" s="3"/>
      <c r="BR931" s="3"/>
    </row>
    <row r="932" spans="1:70">
      <c r="A932" s="1" t="s">
        <v>441</v>
      </c>
      <c r="B932" s="1" t="s">
        <v>1269</v>
      </c>
      <c r="C932" s="1" t="s">
        <v>16814</v>
      </c>
      <c r="D932" s="1" t="s">
        <v>16815</v>
      </c>
      <c r="E932" s="1" t="s">
        <v>16816</v>
      </c>
      <c r="F932" s="1" t="s">
        <v>16817</v>
      </c>
      <c r="G932" s="1" t="s">
        <v>16818</v>
      </c>
      <c r="H932" s="1" t="s">
        <v>16819</v>
      </c>
      <c r="I932" s="1" t="s">
        <v>16820</v>
      </c>
      <c r="J932" s="1">
        <v>8459527261</v>
      </c>
      <c r="K932" s="1" t="s">
        <v>79</v>
      </c>
      <c r="L932" s="1" t="s">
        <v>16821</v>
      </c>
      <c r="M932" s="1" t="s">
        <v>81</v>
      </c>
      <c r="N932" s="1" t="s">
        <v>1418</v>
      </c>
      <c r="O932" s="1"/>
      <c r="P932" s="1" t="s">
        <v>1323</v>
      </c>
      <c r="Q932" s="1" t="s">
        <v>16822</v>
      </c>
      <c r="R932" s="1" t="s">
        <v>235</v>
      </c>
      <c r="S932" s="1">
        <v>9921708099</v>
      </c>
      <c r="T932" s="1" t="s">
        <v>154</v>
      </c>
      <c r="U932" s="1" t="s">
        <v>1071</v>
      </c>
      <c r="V932" s="1">
        <v>9921708099</v>
      </c>
      <c r="W932" s="1" t="s">
        <v>156</v>
      </c>
      <c r="X932" s="1" t="s">
        <v>16823</v>
      </c>
      <c r="Y932" s="1" t="s">
        <v>379</v>
      </c>
      <c r="Z932" s="1" t="s">
        <v>92</v>
      </c>
      <c r="AA932" s="1" t="s">
        <v>16823</v>
      </c>
      <c r="AB932" s="1" t="s">
        <v>379</v>
      </c>
      <c r="AC932" s="1" t="s">
        <v>92</v>
      </c>
      <c r="AD932" s="1">
        <v>7.61</v>
      </c>
      <c r="AE932" s="1" t="s">
        <v>93</v>
      </c>
      <c r="AF932" s="1" t="s">
        <v>16824</v>
      </c>
      <c r="AG932" s="1" t="s">
        <v>160</v>
      </c>
      <c r="AH932" s="1" t="s">
        <v>161</v>
      </c>
      <c r="AI932" s="1" t="s">
        <v>456</v>
      </c>
      <c r="AJ932" s="1">
        <v>71.6</v>
      </c>
      <c r="AK932" s="1"/>
      <c r="AL932" s="1" t="s">
        <v>16825</v>
      </c>
      <c r="AM932" s="1" t="s">
        <v>160</v>
      </c>
      <c r="AN932" s="1" t="s">
        <v>165</v>
      </c>
      <c r="AO932" s="1" t="s">
        <v>457</v>
      </c>
      <c r="AP932" s="1">
        <v>52.77</v>
      </c>
      <c r="AQ932" s="1"/>
      <c r="AR932" s="1"/>
      <c r="AS932" s="1"/>
      <c r="AT932" s="1"/>
      <c r="AU932" s="1"/>
      <c r="AV932" s="1"/>
      <c r="AW932" s="1"/>
      <c r="AX932" s="1" t="s">
        <v>102</v>
      </c>
      <c r="AY932" s="1" t="s">
        <v>3542</v>
      </c>
      <c r="AZ932" s="1" t="s">
        <v>169</v>
      </c>
      <c r="BA932" s="1" t="s">
        <v>105</v>
      </c>
      <c r="BB932" s="1">
        <v>73.1</v>
      </c>
      <c r="BC932" s="1">
        <v>7.81</v>
      </c>
      <c r="BD932" s="1"/>
      <c r="BE932" s="1"/>
      <c r="BF932" s="1"/>
      <c r="BG932" s="1"/>
      <c r="BH932" s="1"/>
      <c r="BI932" s="1"/>
      <c r="BJ932" s="1" t="s">
        <v>16826</v>
      </c>
      <c r="BK932" s="1"/>
      <c r="BL932" s="1"/>
      <c r="BM932" s="1" t="s">
        <v>16827</v>
      </c>
      <c r="BN932" s="1">
        <v>34</v>
      </c>
      <c r="BO932" s="1" t="s">
        <v>16828</v>
      </c>
      <c r="BP932" s="1" t="str">
        <f>HYPERLINK("https://nconnect.nicmar.ac.in/storage/profile/ProfilePhoto_P25702152_836721.jpg","Download")</f>
        <v>0</v>
      </c>
      <c r="BQ932" s="3"/>
      <c r="BR932" s="3"/>
    </row>
    <row r="933" spans="1:70">
      <c r="A933" s="1" t="s">
        <v>441</v>
      </c>
      <c r="B933" s="1" t="s">
        <v>1269</v>
      </c>
      <c r="C933" s="1" t="s">
        <v>16829</v>
      </c>
      <c r="D933" s="1" t="s">
        <v>1740</v>
      </c>
      <c r="E933" s="1" t="s">
        <v>8242</v>
      </c>
      <c r="F933" s="1" t="s">
        <v>16830</v>
      </c>
      <c r="G933" s="1" t="s">
        <v>16831</v>
      </c>
      <c r="H933" s="1" t="s">
        <v>16832</v>
      </c>
      <c r="I933" s="1" t="s">
        <v>16833</v>
      </c>
      <c r="J933" s="1">
        <v>8999729446</v>
      </c>
      <c r="K933" s="1" t="s">
        <v>79</v>
      </c>
      <c r="L933" s="1" t="s">
        <v>16834</v>
      </c>
      <c r="M933" s="1" t="s">
        <v>81</v>
      </c>
      <c r="N933" s="1" t="s">
        <v>860</v>
      </c>
      <c r="O933" s="1"/>
      <c r="P933" s="1" t="s">
        <v>1462</v>
      </c>
      <c r="Q933" s="1" t="s">
        <v>16835</v>
      </c>
      <c r="R933" s="1" t="s">
        <v>8242</v>
      </c>
      <c r="S933" s="1">
        <v>8999729446</v>
      </c>
      <c r="T933" s="1" t="s">
        <v>496</v>
      </c>
      <c r="U933" s="1" t="s">
        <v>217</v>
      </c>
      <c r="V933" s="1">
        <v>9881023699</v>
      </c>
      <c r="W933" s="1" t="s">
        <v>273</v>
      </c>
      <c r="X933" s="1" t="s">
        <v>16836</v>
      </c>
      <c r="Y933" s="1" t="s">
        <v>191</v>
      </c>
      <c r="Z933" s="1" t="s">
        <v>92</v>
      </c>
      <c r="AA933" s="1" t="s">
        <v>16837</v>
      </c>
      <c r="AB933" s="1" t="s">
        <v>405</v>
      </c>
      <c r="AC933" s="1" t="s">
        <v>92</v>
      </c>
      <c r="AD933" s="1">
        <v>7.66</v>
      </c>
      <c r="AE933" s="1" t="s">
        <v>93</v>
      </c>
      <c r="AF933" s="1" t="s">
        <v>16838</v>
      </c>
      <c r="AG933" s="1" t="s">
        <v>1086</v>
      </c>
      <c r="AH933" s="1" t="s">
        <v>166</v>
      </c>
      <c r="AI933" s="1" t="s">
        <v>308</v>
      </c>
      <c r="AJ933" s="1">
        <v>81.5</v>
      </c>
      <c r="AK933" s="1"/>
      <c r="AL933" s="1" t="s">
        <v>16839</v>
      </c>
      <c r="AM933" s="1" t="s">
        <v>307</v>
      </c>
      <c r="AN933" s="1" t="s">
        <v>173</v>
      </c>
      <c r="AO933" s="1" t="s">
        <v>506</v>
      </c>
      <c r="AP933" s="1">
        <v>64.8</v>
      </c>
      <c r="AQ933" s="1"/>
      <c r="AR933" s="1"/>
      <c r="AS933" s="1"/>
      <c r="AT933" s="1"/>
      <c r="AU933" s="1"/>
      <c r="AV933" s="1"/>
      <c r="AW933" s="1"/>
      <c r="AX933" s="1" t="s">
        <v>410</v>
      </c>
      <c r="AY933" s="1" t="s">
        <v>16840</v>
      </c>
      <c r="AZ933" s="1" t="s">
        <v>1003</v>
      </c>
      <c r="BA933" s="1" t="s">
        <v>1361</v>
      </c>
      <c r="BB933" s="1">
        <v>61.8</v>
      </c>
      <c r="BC933" s="1">
        <v>6.93</v>
      </c>
      <c r="BD933" s="1"/>
      <c r="BE933" s="1"/>
      <c r="BF933" s="1"/>
      <c r="BG933" s="1"/>
      <c r="BH933" s="1"/>
      <c r="BI933" s="1"/>
      <c r="BJ933" s="1" t="s">
        <v>4112</v>
      </c>
      <c r="BK933" s="1"/>
      <c r="BL933" s="1"/>
      <c r="BM933" s="1" t="s">
        <v>16841</v>
      </c>
      <c r="BN933" s="1">
        <v>13</v>
      </c>
      <c r="BO933" s="1"/>
      <c r="BP933" s="1" t="str">
        <f>HYPERLINK("https://nconnect.nicmar.ac.in/storage/profile/ProfilePhoto_P25702153_428956.jpg","Download")</f>
        <v>0</v>
      </c>
      <c r="BQ933" s="3"/>
      <c r="BR933" s="3"/>
    </row>
    <row r="934" spans="1:70">
      <c r="A934" s="1" t="s">
        <v>552</v>
      </c>
      <c r="B934" s="1" t="s">
        <v>1269</v>
      </c>
      <c r="C934" s="1" t="s">
        <v>16842</v>
      </c>
      <c r="D934" s="1" t="s">
        <v>16843</v>
      </c>
      <c r="E934" s="1" t="s">
        <v>4434</v>
      </c>
      <c r="F934" s="1" t="s">
        <v>2024</v>
      </c>
      <c r="G934" s="1" t="s">
        <v>16844</v>
      </c>
      <c r="H934" s="1" t="s">
        <v>16845</v>
      </c>
      <c r="I934" s="1" t="s">
        <v>16846</v>
      </c>
      <c r="J934" s="1">
        <v>9422168171</v>
      </c>
      <c r="K934" s="1" t="s">
        <v>148</v>
      </c>
      <c r="L934" s="1" t="s">
        <v>16847</v>
      </c>
      <c r="M934" s="1" t="s">
        <v>81</v>
      </c>
      <c r="N934" s="1" t="s">
        <v>8166</v>
      </c>
      <c r="O934" s="1" t="s">
        <v>16848</v>
      </c>
      <c r="P934" s="1" t="s">
        <v>1323</v>
      </c>
      <c r="Q934" s="1" t="s">
        <v>16849</v>
      </c>
      <c r="R934" s="1" t="s">
        <v>16850</v>
      </c>
      <c r="S934" s="1">
        <v>9545328800</v>
      </c>
      <c r="T934" s="1" t="s">
        <v>496</v>
      </c>
      <c r="U934" s="1" t="s">
        <v>16851</v>
      </c>
      <c r="V934" s="1">
        <v>9325474638</v>
      </c>
      <c r="W934" s="1" t="s">
        <v>156</v>
      </c>
      <c r="X934" s="1" t="s">
        <v>16852</v>
      </c>
      <c r="Y934" s="1" t="s">
        <v>191</v>
      </c>
      <c r="Z934" s="1" t="s">
        <v>92</v>
      </c>
      <c r="AA934" s="1" t="s">
        <v>16852</v>
      </c>
      <c r="AB934" s="1" t="s">
        <v>191</v>
      </c>
      <c r="AC934" s="1" t="s">
        <v>92</v>
      </c>
      <c r="AD934" s="1">
        <v>8.1</v>
      </c>
      <c r="AE934" s="1" t="s">
        <v>93</v>
      </c>
      <c r="AF934" s="1" t="s">
        <v>16853</v>
      </c>
      <c r="AG934" s="1" t="s">
        <v>939</v>
      </c>
      <c r="AH934" s="1" t="s">
        <v>433</v>
      </c>
      <c r="AI934" s="1" t="s">
        <v>173</v>
      </c>
      <c r="AJ934" s="1">
        <v>76.6</v>
      </c>
      <c r="AK934" s="1"/>
      <c r="AL934" s="1" t="s">
        <v>16854</v>
      </c>
      <c r="AM934" s="1" t="s">
        <v>939</v>
      </c>
      <c r="AN934" s="1" t="s">
        <v>1131</v>
      </c>
      <c r="AO934" s="1" t="s">
        <v>284</v>
      </c>
      <c r="AP934" s="1">
        <v>73</v>
      </c>
      <c r="AQ934" s="1"/>
      <c r="AR934" s="1"/>
      <c r="AS934" s="1"/>
      <c r="AT934" s="1"/>
      <c r="AU934" s="1"/>
      <c r="AV934" s="1"/>
      <c r="AW934" s="1"/>
      <c r="AX934" s="1" t="s">
        <v>12259</v>
      </c>
      <c r="AY934" s="1" t="s">
        <v>16855</v>
      </c>
      <c r="AZ934" s="1" t="s">
        <v>874</v>
      </c>
      <c r="BA934" s="1" t="s">
        <v>1408</v>
      </c>
      <c r="BB934" s="1">
        <v>80.56</v>
      </c>
      <c r="BC934" s="1">
        <v>8.48</v>
      </c>
      <c r="BD934" s="1"/>
      <c r="BE934" s="1"/>
      <c r="BF934" s="1"/>
      <c r="BG934" s="1"/>
      <c r="BH934" s="1"/>
      <c r="BI934" s="1"/>
      <c r="BJ934" s="1" t="s">
        <v>16856</v>
      </c>
      <c r="BK934" s="1"/>
      <c r="BL934" s="1"/>
      <c r="BM934" s="1" t="s">
        <v>16857</v>
      </c>
      <c r="BN934" s="1">
        <v>17</v>
      </c>
      <c r="BO934" s="1" t="s">
        <v>16858</v>
      </c>
      <c r="BP934" s="1" t="str">
        <f>HYPERLINK("https://nconnect.nicmar.ac.in/storage/profile/ProfilePhoto_P2201001_514287.jpg","Download")</f>
        <v>0</v>
      </c>
      <c r="BQ934" s="3"/>
      <c r="BR934" s="3"/>
    </row>
    <row r="935" spans="1:70">
      <c r="A935" s="1" t="s">
        <v>552</v>
      </c>
      <c r="B935" s="1" t="s">
        <v>1269</v>
      </c>
      <c r="C935" s="1" t="s">
        <v>16859</v>
      </c>
      <c r="D935" s="1" t="s">
        <v>16860</v>
      </c>
      <c r="E935" s="1"/>
      <c r="F935" s="1" t="s">
        <v>835</v>
      </c>
      <c r="G935" s="1" t="s">
        <v>16861</v>
      </c>
      <c r="H935" s="1" t="s">
        <v>16862</v>
      </c>
      <c r="I935" s="1" t="s">
        <v>16863</v>
      </c>
      <c r="J935" s="1">
        <v>9528374944</v>
      </c>
      <c r="K935" s="1" t="s">
        <v>79</v>
      </c>
      <c r="L935" s="1" t="s">
        <v>16864</v>
      </c>
      <c r="M935" s="1" t="s">
        <v>81</v>
      </c>
      <c r="N935" s="1" t="s">
        <v>241</v>
      </c>
      <c r="O935" s="1"/>
      <c r="P935" s="1" t="s">
        <v>1323</v>
      </c>
      <c r="Q935" s="1" t="s">
        <v>16865</v>
      </c>
      <c r="R935" s="1" t="s">
        <v>16866</v>
      </c>
      <c r="S935" s="1">
        <v>9719106374</v>
      </c>
      <c r="T935" s="1" t="s">
        <v>496</v>
      </c>
      <c r="U935" s="1" t="s">
        <v>16867</v>
      </c>
      <c r="V935" s="1">
        <v>7454057502</v>
      </c>
      <c r="W935" s="1" t="s">
        <v>156</v>
      </c>
      <c r="X935" s="1" t="s">
        <v>16868</v>
      </c>
      <c r="Y935" s="1" t="s">
        <v>191</v>
      </c>
      <c r="Z935" s="1" t="s">
        <v>92</v>
      </c>
      <c r="AA935" s="1" t="s">
        <v>16869</v>
      </c>
      <c r="AB935" s="1" t="s">
        <v>16870</v>
      </c>
      <c r="AC935" s="1" t="s">
        <v>1355</v>
      </c>
      <c r="AD935" s="1">
        <v>9.34</v>
      </c>
      <c r="AE935" s="1" t="s">
        <v>93</v>
      </c>
      <c r="AF935" s="1" t="s">
        <v>16871</v>
      </c>
      <c r="AG935" s="1" t="s">
        <v>16872</v>
      </c>
      <c r="AH935" s="1" t="s">
        <v>169</v>
      </c>
      <c r="AI935" s="1" t="s">
        <v>173</v>
      </c>
      <c r="AJ935" s="1">
        <v>88.4</v>
      </c>
      <c r="AK935" s="1"/>
      <c r="AL935" s="1" t="s">
        <v>16873</v>
      </c>
      <c r="AM935" s="1" t="s">
        <v>16874</v>
      </c>
      <c r="AN935" s="1" t="s">
        <v>173</v>
      </c>
      <c r="AO935" s="1" t="s">
        <v>481</v>
      </c>
      <c r="AP935" s="1">
        <v>74</v>
      </c>
      <c r="AQ935" s="1"/>
      <c r="AR935" s="1"/>
      <c r="AS935" s="1"/>
      <c r="AT935" s="1"/>
      <c r="AU935" s="1"/>
      <c r="AV935" s="1"/>
      <c r="AW935" s="1"/>
      <c r="AX935" s="1" t="s">
        <v>12259</v>
      </c>
      <c r="AY935" s="1" t="s">
        <v>16855</v>
      </c>
      <c r="AZ935" s="1" t="s">
        <v>874</v>
      </c>
      <c r="BA935" s="1" t="s">
        <v>1408</v>
      </c>
      <c r="BB935" s="1">
        <v>91.1</v>
      </c>
      <c r="BC935" s="1">
        <v>9.59</v>
      </c>
      <c r="BD935" s="1"/>
      <c r="BE935" s="1"/>
      <c r="BF935" s="1"/>
      <c r="BG935" s="1"/>
      <c r="BH935" s="1"/>
      <c r="BI935" s="1"/>
      <c r="BJ935" s="1" t="s">
        <v>16875</v>
      </c>
      <c r="BK935" s="1"/>
      <c r="BL935" s="1"/>
      <c r="BM935" s="1" t="s">
        <v>16876</v>
      </c>
      <c r="BN935" s="1">
        <v>26</v>
      </c>
      <c r="BO935" s="1"/>
      <c r="BP935" s="1" t="str">
        <f>HYPERLINK("https://nconnect.nicmar.ac.in/storage/profile/ProfilePhoto_P2201002_875142.jpg","Download")</f>
        <v>0</v>
      </c>
      <c r="BQ935" s="3"/>
      <c r="BR935" s="3"/>
    </row>
    <row r="936" spans="1:70">
      <c r="A936" s="1" t="s">
        <v>552</v>
      </c>
      <c r="B936" s="1" t="s">
        <v>1269</v>
      </c>
      <c r="C936" s="1" t="s">
        <v>16877</v>
      </c>
      <c r="D936" s="1" t="s">
        <v>16878</v>
      </c>
      <c r="E936" s="1"/>
      <c r="F936" s="1" t="s">
        <v>345</v>
      </c>
      <c r="G936" s="1" t="s">
        <v>16879</v>
      </c>
      <c r="H936" s="1" t="s">
        <v>16880</v>
      </c>
      <c r="I936" s="1" t="s">
        <v>16881</v>
      </c>
      <c r="J936" s="1">
        <v>8923689871</v>
      </c>
      <c r="K936" s="1" t="s">
        <v>79</v>
      </c>
      <c r="L936" s="1" t="s">
        <v>16882</v>
      </c>
      <c r="M936" s="1" t="s">
        <v>81</v>
      </c>
      <c r="N936" s="1" t="s">
        <v>16883</v>
      </c>
      <c r="O936" s="1" t="s">
        <v>16884</v>
      </c>
      <c r="P936" s="1" t="s">
        <v>1323</v>
      </c>
      <c r="Q936" s="1" t="s">
        <v>16885</v>
      </c>
      <c r="R936" s="1" t="s">
        <v>16886</v>
      </c>
      <c r="S936" s="1">
        <v>9897879360</v>
      </c>
      <c r="T936" s="1" t="s">
        <v>16887</v>
      </c>
      <c r="U936" s="1" t="s">
        <v>16888</v>
      </c>
      <c r="V936" s="1">
        <v>9627704002</v>
      </c>
      <c r="W936" s="1" t="s">
        <v>716</v>
      </c>
      <c r="X936" s="1" t="s">
        <v>16889</v>
      </c>
      <c r="Y936" s="1" t="s">
        <v>191</v>
      </c>
      <c r="Z936" s="1" t="s">
        <v>92</v>
      </c>
      <c r="AA936" s="1" t="s">
        <v>16890</v>
      </c>
      <c r="AB936" s="1" t="s">
        <v>16870</v>
      </c>
      <c r="AC936" s="1" t="s">
        <v>1355</v>
      </c>
      <c r="AD936" s="1">
        <v>7.76</v>
      </c>
      <c r="AE936" s="1" t="s">
        <v>93</v>
      </c>
      <c r="AF936" s="1" t="s">
        <v>16891</v>
      </c>
      <c r="AG936" s="1" t="s">
        <v>16874</v>
      </c>
      <c r="AH936" s="1" t="s">
        <v>1065</v>
      </c>
      <c r="AI936" s="1" t="s">
        <v>173</v>
      </c>
      <c r="AJ936" s="1">
        <v>65.4</v>
      </c>
      <c r="AK936" s="1"/>
      <c r="AL936" s="1" t="s">
        <v>16891</v>
      </c>
      <c r="AM936" s="1" t="s">
        <v>16874</v>
      </c>
      <c r="AN936" s="1" t="s">
        <v>3088</v>
      </c>
      <c r="AO936" s="1" t="s">
        <v>481</v>
      </c>
      <c r="AP936" s="1">
        <v>70.4</v>
      </c>
      <c r="AQ936" s="1"/>
      <c r="AR936" s="1"/>
      <c r="AS936" s="1"/>
      <c r="AT936" s="1"/>
      <c r="AU936" s="1"/>
      <c r="AV936" s="1"/>
      <c r="AW936" s="1"/>
      <c r="AX936" s="1" t="s">
        <v>12259</v>
      </c>
      <c r="AY936" s="1" t="s">
        <v>16855</v>
      </c>
      <c r="AZ936" s="1" t="s">
        <v>874</v>
      </c>
      <c r="BA936" s="1" t="s">
        <v>1408</v>
      </c>
      <c r="BB936" s="1">
        <v>81.25</v>
      </c>
      <c r="BC936" s="1">
        <v>8.55</v>
      </c>
      <c r="BD936" s="1"/>
      <c r="BE936" s="1"/>
      <c r="BF936" s="1"/>
      <c r="BG936" s="1"/>
      <c r="BH936" s="1"/>
      <c r="BI936" s="1"/>
      <c r="BJ936" s="1" t="s">
        <v>16892</v>
      </c>
      <c r="BK936" s="1"/>
      <c r="BL936" s="1"/>
      <c r="BM936" s="1" t="s">
        <v>16893</v>
      </c>
      <c r="BN936" s="1">
        <v>17</v>
      </c>
      <c r="BO936" s="1" t="s">
        <v>16894</v>
      </c>
      <c r="BP936" s="1" t="str">
        <f>HYPERLINK("https://nconnect.nicmar.ac.in/storage/profile/ProfilePhoto_P2201003_674125.jpg","Download")</f>
        <v>0</v>
      </c>
      <c r="BQ936" s="3"/>
      <c r="BR936" s="3"/>
    </row>
    <row r="937" spans="1:70">
      <c r="A937" s="1" t="s">
        <v>552</v>
      </c>
      <c r="B937" s="1" t="s">
        <v>1269</v>
      </c>
      <c r="C937" s="1" t="s">
        <v>16895</v>
      </c>
      <c r="D937" s="1" t="s">
        <v>16896</v>
      </c>
      <c r="E937" s="1"/>
      <c r="F937" s="1" t="s">
        <v>16897</v>
      </c>
      <c r="G937" s="1" t="s">
        <v>16898</v>
      </c>
      <c r="H937" s="1" t="s">
        <v>16899</v>
      </c>
      <c r="I937" s="1" t="s">
        <v>16900</v>
      </c>
      <c r="J937" s="1">
        <v>8408012525</v>
      </c>
      <c r="K937" s="1" t="s">
        <v>148</v>
      </c>
      <c r="L937" s="1" t="s">
        <v>16901</v>
      </c>
      <c r="M937" s="1" t="s">
        <v>81</v>
      </c>
      <c r="N937" s="1" t="s">
        <v>16902</v>
      </c>
      <c r="O937" s="1" t="s">
        <v>16903</v>
      </c>
      <c r="P937" s="1" t="s">
        <v>1278</v>
      </c>
      <c r="Q937" s="1" t="s">
        <v>16904</v>
      </c>
      <c r="R937" s="1" t="s">
        <v>16905</v>
      </c>
      <c r="S937" s="1">
        <v>9373314174</v>
      </c>
      <c r="T937" s="1" t="s">
        <v>496</v>
      </c>
      <c r="U937" s="1" t="s">
        <v>16906</v>
      </c>
      <c r="V937" s="1">
        <v>9370276220</v>
      </c>
      <c r="W937" s="1" t="s">
        <v>496</v>
      </c>
      <c r="X937" s="1" t="s">
        <v>16907</v>
      </c>
      <c r="Y937" s="1" t="s">
        <v>191</v>
      </c>
      <c r="Z937" s="1" t="s">
        <v>92</v>
      </c>
      <c r="AA937" s="1" t="s">
        <v>16907</v>
      </c>
      <c r="AB937" s="1" t="s">
        <v>191</v>
      </c>
      <c r="AC937" s="1" t="s">
        <v>92</v>
      </c>
      <c r="AD937" s="1">
        <v>8.7</v>
      </c>
      <c r="AE937" s="1" t="s">
        <v>93</v>
      </c>
      <c r="AF937" s="1" t="s">
        <v>16908</v>
      </c>
      <c r="AG937" s="1" t="s">
        <v>16909</v>
      </c>
      <c r="AH937" s="1" t="s">
        <v>1197</v>
      </c>
      <c r="AI937" s="1" t="s">
        <v>308</v>
      </c>
      <c r="AJ937" s="1">
        <v>83.4</v>
      </c>
      <c r="AK937" s="1"/>
      <c r="AL937" s="1" t="s">
        <v>16908</v>
      </c>
      <c r="AM937" s="1" t="s">
        <v>16909</v>
      </c>
      <c r="AN937" s="1" t="s">
        <v>1065</v>
      </c>
      <c r="AO937" s="1" t="s">
        <v>506</v>
      </c>
      <c r="AP937" s="1">
        <v>84.4</v>
      </c>
      <c r="AQ937" s="1"/>
      <c r="AR937" s="1"/>
      <c r="AS937" s="1"/>
      <c r="AT937" s="1"/>
      <c r="AU937" s="1"/>
      <c r="AV937" s="1"/>
      <c r="AW937" s="1"/>
      <c r="AX937" s="1" t="s">
        <v>12259</v>
      </c>
      <c r="AY937" s="1" t="s">
        <v>16855</v>
      </c>
      <c r="AZ937" s="1" t="s">
        <v>874</v>
      </c>
      <c r="BA937" s="1" t="s">
        <v>1361</v>
      </c>
      <c r="BB937" s="1">
        <v>84.93</v>
      </c>
      <c r="BC937" s="1">
        <v>8.94</v>
      </c>
      <c r="BD937" s="1"/>
      <c r="BE937" s="1"/>
      <c r="BF937" s="1"/>
      <c r="BG937" s="1"/>
      <c r="BH937" s="1"/>
      <c r="BI937" s="1"/>
      <c r="BJ937" s="1" t="s">
        <v>16910</v>
      </c>
      <c r="BK937" s="1" t="s">
        <v>16911</v>
      </c>
      <c r="BL937" s="1" t="s">
        <v>10266</v>
      </c>
      <c r="BM937" s="1" t="s">
        <v>16912</v>
      </c>
      <c r="BN937" s="1">
        <v>16</v>
      </c>
      <c r="BO937" s="1" t="s">
        <v>16913</v>
      </c>
      <c r="BP937" s="1" t="str">
        <f>HYPERLINK("https://nconnect.nicmar.ac.in/storage/profile/ProfilePhoto_P2201006_126385.jpg","Download")</f>
        <v>0</v>
      </c>
      <c r="BQ937" s="3"/>
      <c r="BR937" s="3"/>
    </row>
    <row r="938" spans="1:70">
      <c r="A938" s="1" t="s">
        <v>552</v>
      </c>
      <c r="B938" s="1" t="s">
        <v>1269</v>
      </c>
      <c r="C938" s="1" t="s">
        <v>16914</v>
      </c>
      <c r="D938" s="1" t="s">
        <v>3808</v>
      </c>
      <c r="E938" s="1" t="s">
        <v>1632</v>
      </c>
      <c r="F938" s="1" t="s">
        <v>16915</v>
      </c>
      <c r="G938" s="1" t="s">
        <v>16916</v>
      </c>
      <c r="H938" s="1" t="s">
        <v>16917</v>
      </c>
      <c r="I938" s="1" t="s">
        <v>16918</v>
      </c>
      <c r="J938" s="1">
        <v>8459361169</v>
      </c>
      <c r="K938" s="1" t="s">
        <v>148</v>
      </c>
      <c r="L938" s="1" t="s">
        <v>16919</v>
      </c>
      <c r="M938" s="1" t="s">
        <v>81</v>
      </c>
      <c r="N938" s="1" t="s">
        <v>5731</v>
      </c>
      <c r="O938" s="1" t="s">
        <v>16920</v>
      </c>
      <c r="P938" s="1" t="s">
        <v>1298</v>
      </c>
      <c r="Q938" s="1" t="s">
        <v>16921</v>
      </c>
      <c r="R938" s="1" t="s">
        <v>1632</v>
      </c>
      <c r="S938" s="1">
        <v>9850660573</v>
      </c>
      <c r="T938" s="1" t="s">
        <v>763</v>
      </c>
      <c r="U938" s="1" t="s">
        <v>16922</v>
      </c>
      <c r="V938" s="1">
        <v>9011140176</v>
      </c>
      <c r="W938" s="1" t="s">
        <v>763</v>
      </c>
      <c r="X938" s="1" t="s">
        <v>16923</v>
      </c>
      <c r="Y938" s="1" t="s">
        <v>1174</v>
      </c>
      <c r="Z938" s="1" t="s">
        <v>92</v>
      </c>
      <c r="AA938" s="1" t="s">
        <v>16923</v>
      </c>
      <c r="AB938" s="1" t="s">
        <v>1174</v>
      </c>
      <c r="AC938" s="1" t="s">
        <v>92</v>
      </c>
      <c r="AD938" s="1">
        <v>6.98</v>
      </c>
      <c r="AE938" s="1" t="s">
        <v>93</v>
      </c>
      <c r="AF938" s="1" t="s">
        <v>16924</v>
      </c>
      <c r="AG938" s="1" t="s">
        <v>4110</v>
      </c>
      <c r="AH938" s="1" t="s">
        <v>101</v>
      </c>
      <c r="AI938" s="1" t="s">
        <v>308</v>
      </c>
      <c r="AJ938" s="1">
        <v>75.5</v>
      </c>
      <c r="AK938" s="1"/>
      <c r="AL938" s="1" t="s">
        <v>16925</v>
      </c>
      <c r="AM938" s="1" t="s">
        <v>4110</v>
      </c>
      <c r="AN938" s="1" t="s">
        <v>699</v>
      </c>
      <c r="AO938" s="1" t="s">
        <v>436</v>
      </c>
      <c r="AP938" s="1">
        <v>84.67</v>
      </c>
      <c r="AQ938" s="1"/>
      <c r="AR938" s="1"/>
      <c r="AS938" s="1"/>
      <c r="AT938" s="1"/>
      <c r="AU938" s="1"/>
      <c r="AV938" s="1"/>
      <c r="AW938" s="1"/>
      <c r="AX938" s="1" t="s">
        <v>12259</v>
      </c>
      <c r="AY938" s="1" t="s">
        <v>16926</v>
      </c>
      <c r="AZ938" s="1" t="s">
        <v>874</v>
      </c>
      <c r="BA938" s="1" t="s">
        <v>1408</v>
      </c>
      <c r="BB938" s="1">
        <v>75.43</v>
      </c>
      <c r="BC938" s="1">
        <v>7.94</v>
      </c>
      <c r="BD938" s="1"/>
      <c r="BE938" s="1"/>
      <c r="BF938" s="1"/>
      <c r="BG938" s="1"/>
      <c r="BH938" s="1"/>
      <c r="BI938" s="1"/>
      <c r="BJ938" s="1" t="s">
        <v>16927</v>
      </c>
      <c r="BK938" s="1"/>
      <c r="BL938" s="1"/>
      <c r="BM938" s="1" t="s">
        <v>16928</v>
      </c>
      <c r="BN938" s="1">
        <v>17</v>
      </c>
      <c r="BO938" s="1" t="s">
        <v>16929</v>
      </c>
      <c r="BP938" s="1" t="str">
        <f>HYPERLINK("https://nconnect.nicmar.ac.in/storage/profile/ProfilePhoto_P2201007_873615.jpg","Download")</f>
        <v>0</v>
      </c>
      <c r="BQ938" s="3"/>
      <c r="BR938" s="3"/>
    </row>
    <row r="939" spans="1:70">
      <c r="A939" s="1" t="s">
        <v>552</v>
      </c>
      <c r="B939" s="1" t="s">
        <v>1269</v>
      </c>
      <c r="C939" s="1" t="s">
        <v>16930</v>
      </c>
      <c r="D939" s="1" t="s">
        <v>16931</v>
      </c>
      <c r="E939" s="1" t="s">
        <v>16932</v>
      </c>
      <c r="F939" s="1" t="s">
        <v>16933</v>
      </c>
      <c r="G939" s="1" t="s">
        <v>16934</v>
      </c>
      <c r="H939" s="1" t="s">
        <v>16935</v>
      </c>
      <c r="I939" s="1" t="s">
        <v>16936</v>
      </c>
      <c r="J939" s="1">
        <v>9168407860</v>
      </c>
      <c r="K939" s="1" t="s">
        <v>148</v>
      </c>
      <c r="L939" s="1" t="s">
        <v>16937</v>
      </c>
      <c r="M939" s="1" t="s">
        <v>81</v>
      </c>
      <c r="N939" s="1" t="s">
        <v>16938</v>
      </c>
      <c r="O939" s="1" t="s">
        <v>16939</v>
      </c>
      <c r="P939" s="1" t="s">
        <v>1278</v>
      </c>
      <c r="Q939" s="1" t="s">
        <v>16940</v>
      </c>
      <c r="R939" s="1" t="s">
        <v>16932</v>
      </c>
      <c r="S939" s="1">
        <v>9822975444</v>
      </c>
      <c r="T939" s="1" t="s">
        <v>16941</v>
      </c>
      <c r="U939" s="1" t="s">
        <v>16942</v>
      </c>
      <c r="V939" s="1">
        <v>9881197444</v>
      </c>
      <c r="W939" s="1" t="s">
        <v>89</v>
      </c>
      <c r="X939" s="1" t="s">
        <v>16943</v>
      </c>
      <c r="Y939" s="1" t="s">
        <v>191</v>
      </c>
      <c r="Z939" s="1" t="s">
        <v>92</v>
      </c>
      <c r="AA939" s="1" t="s">
        <v>16943</v>
      </c>
      <c r="AB939" s="1" t="s">
        <v>191</v>
      </c>
      <c r="AC939" s="1" t="s">
        <v>92</v>
      </c>
      <c r="AD939" s="1" t="s">
        <v>93</v>
      </c>
      <c r="AE939" s="1" t="s">
        <v>93</v>
      </c>
      <c r="AF939" s="1" t="s">
        <v>16944</v>
      </c>
      <c r="AG939" s="1" t="s">
        <v>6978</v>
      </c>
      <c r="AH939" s="1" t="s">
        <v>1065</v>
      </c>
      <c r="AI939" s="1" t="s">
        <v>173</v>
      </c>
      <c r="AJ939" s="1">
        <v>85.2</v>
      </c>
      <c r="AK939" s="1"/>
      <c r="AL939" s="1" t="s">
        <v>16945</v>
      </c>
      <c r="AM939" s="1" t="s">
        <v>6978</v>
      </c>
      <c r="AN939" s="1" t="s">
        <v>1131</v>
      </c>
      <c r="AO939" s="1" t="s">
        <v>481</v>
      </c>
      <c r="AP939" s="1">
        <v>80.4</v>
      </c>
      <c r="AQ939" s="1"/>
      <c r="AR939" s="1"/>
      <c r="AS939" s="1"/>
      <c r="AT939" s="1"/>
      <c r="AU939" s="1"/>
      <c r="AV939" s="1"/>
      <c r="AW939" s="1"/>
      <c r="AX939" s="1" t="s">
        <v>12259</v>
      </c>
      <c r="AY939" s="1" t="s">
        <v>16946</v>
      </c>
      <c r="AZ939" s="1" t="s">
        <v>874</v>
      </c>
      <c r="BA939" s="1" t="s">
        <v>1408</v>
      </c>
      <c r="BB939" s="1">
        <v>92.34</v>
      </c>
      <c r="BC939" s="1">
        <v>9.72</v>
      </c>
      <c r="BD939" s="1"/>
      <c r="BE939" s="1"/>
      <c r="BF939" s="1"/>
      <c r="BG939" s="1"/>
      <c r="BH939" s="1"/>
      <c r="BI939" s="1"/>
      <c r="BJ939" s="1" t="s">
        <v>16947</v>
      </c>
      <c r="BK939" s="1"/>
      <c r="BL939" s="1"/>
      <c r="BM939" s="1" t="s">
        <v>16948</v>
      </c>
      <c r="BN939" s="1">
        <v>24</v>
      </c>
      <c r="BO939" s="1" t="s">
        <v>16949</v>
      </c>
      <c r="BP939" s="1" t="str">
        <f>HYPERLINK("https://nconnect.nicmar.ac.in/storage/profile/ProfilePhoto_P2201008_187945.jpg","Download")</f>
        <v>0</v>
      </c>
      <c r="BQ939" s="3"/>
      <c r="BR939" s="3"/>
    </row>
    <row r="940" spans="1:70">
      <c r="A940" s="1" t="s">
        <v>552</v>
      </c>
      <c r="B940" s="1" t="s">
        <v>1269</v>
      </c>
      <c r="C940" s="1" t="s">
        <v>16950</v>
      </c>
      <c r="D940" s="1" t="s">
        <v>16951</v>
      </c>
      <c r="E940" s="1" t="s">
        <v>13929</v>
      </c>
      <c r="F940" s="1" t="s">
        <v>3036</v>
      </c>
      <c r="G940" s="1" t="s">
        <v>16952</v>
      </c>
      <c r="H940" s="1" t="s">
        <v>16953</v>
      </c>
      <c r="I940" s="1" t="s">
        <v>16954</v>
      </c>
      <c r="J940" s="1">
        <v>9619180968</v>
      </c>
      <c r="K940" s="1" t="s">
        <v>79</v>
      </c>
      <c r="L940" s="1" t="s">
        <v>16955</v>
      </c>
      <c r="M940" s="1" t="s">
        <v>81</v>
      </c>
      <c r="N940" s="1" t="s">
        <v>5056</v>
      </c>
      <c r="O940" s="1" t="s">
        <v>16956</v>
      </c>
      <c r="P940" s="1" t="s">
        <v>1766</v>
      </c>
      <c r="Q940" s="1" t="s">
        <v>16957</v>
      </c>
      <c r="R940" s="1" t="s">
        <v>4328</v>
      </c>
      <c r="S940" s="1">
        <v>9833171720</v>
      </c>
      <c r="T940" s="1" t="s">
        <v>16958</v>
      </c>
      <c r="U940" s="1" t="s">
        <v>16959</v>
      </c>
      <c r="V940" s="1">
        <v>9082491354</v>
      </c>
      <c r="W940" s="1" t="s">
        <v>16960</v>
      </c>
      <c r="X940" s="1" t="s">
        <v>16961</v>
      </c>
      <c r="Y940" s="1" t="s">
        <v>191</v>
      </c>
      <c r="Z940" s="1" t="s">
        <v>92</v>
      </c>
      <c r="AA940" s="1" t="s">
        <v>16961</v>
      </c>
      <c r="AB940" s="1" t="s">
        <v>191</v>
      </c>
      <c r="AC940" s="1" t="s">
        <v>92</v>
      </c>
      <c r="AD940" s="1">
        <v>6.81</v>
      </c>
      <c r="AE940" s="1" t="s">
        <v>93</v>
      </c>
      <c r="AF940" s="1" t="s">
        <v>16962</v>
      </c>
      <c r="AG940" s="1" t="s">
        <v>16963</v>
      </c>
      <c r="AH940" s="1" t="s">
        <v>409</v>
      </c>
      <c r="AI940" s="1" t="s">
        <v>941</v>
      </c>
      <c r="AJ940" s="1">
        <v>64.2</v>
      </c>
      <c r="AK940" s="1">
        <v>0</v>
      </c>
      <c r="AL940" s="1" t="s">
        <v>16964</v>
      </c>
      <c r="AM940" s="1" t="s">
        <v>16965</v>
      </c>
      <c r="AN940" s="1" t="s">
        <v>173</v>
      </c>
      <c r="AO940" s="1" t="s">
        <v>284</v>
      </c>
      <c r="AP940" s="1">
        <v>61.4</v>
      </c>
      <c r="AQ940" s="1">
        <v>0</v>
      </c>
      <c r="AR940" s="1"/>
      <c r="AS940" s="1"/>
      <c r="AT940" s="1"/>
      <c r="AU940" s="1"/>
      <c r="AV940" s="1"/>
      <c r="AW940" s="1"/>
      <c r="AX940" s="1" t="s">
        <v>12259</v>
      </c>
      <c r="AY940" s="1" t="s">
        <v>16966</v>
      </c>
      <c r="AZ940" s="1" t="s">
        <v>874</v>
      </c>
      <c r="BA940" s="1" t="s">
        <v>1408</v>
      </c>
      <c r="BB940" s="1">
        <v>69</v>
      </c>
      <c r="BC940" s="1">
        <v>7.27</v>
      </c>
      <c r="BD940" s="1"/>
      <c r="BE940" s="1"/>
      <c r="BF940" s="1"/>
      <c r="BG940" s="1"/>
      <c r="BH940" s="1"/>
      <c r="BI940" s="1"/>
      <c r="BJ940" s="1" t="s">
        <v>16967</v>
      </c>
      <c r="BK940" s="1"/>
      <c r="BL940" s="1"/>
      <c r="BM940" s="1" t="s">
        <v>16968</v>
      </c>
      <c r="BN940" s="1">
        <v>17</v>
      </c>
      <c r="BO940" s="1"/>
      <c r="BP940" s="1" t="str">
        <f>HYPERLINK("https://nconnect.nicmar.ac.in/storage/profile/ProfilePhoto_P2201010_518643.jpg","Download")</f>
        <v>0</v>
      </c>
      <c r="BQ940" s="3"/>
      <c r="BR940" s="3"/>
    </row>
    <row r="941" spans="1:70">
      <c r="A941" s="1" t="s">
        <v>552</v>
      </c>
      <c r="B941" s="1" t="s">
        <v>1269</v>
      </c>
      <c r="C941" s="1" t="s">
        <v>16969</v>
      </c>
      <c r="D941" s="1" t="s">
        <v>10052</v>
      </c>
      <c r="E941" s="1" t="s">
        <v>16970</v>
      </c>
      <c r="F941" s="1" t="s">
        <v>16971</v>
      </c>
      <c r="G941" s="1" t="s">
        <v>16972</v>
      </c>
      <c r="H941" s="1" t="s">
        <v>16973</v>
      </c>
      <c r="I941" s="1" t="s">
        <v>16974</v>
      </c>
      <c r="J941" s="1">
        <v>8669508463</v>
      </c>
      <c r="K941" s="1" t="s">
        <v>79</v>
      </c>
      <c r="L941" s="1" t="s">
        <v>16975</v>
      </c>
      <c r="M941" s="1" t="s">
        <v>81</v>
      </c>
      <c r="N941" s="1" t="s">
        <v>2008</v>
      </c>
      <c r="O941" s="1"/>
      <c r="P941" s="1" t="s">
        <v>1323</v>
      </c>
      <c r="Q941" s="1" t="s">
        <v>16976</v>
      </c>
      <c r="R941" s="1" t="s">
        <v>16977</v>
      </c>
      <c r="S941" s="1">
        <v>8408915929</v>
      </c>
      <c r="T941" s="1" t="s">
        <v>9922</v>
      </c>
      <c r="U941" s="1" t="s">
        <v>16978</v>
      </c>
      <c r="V941" s="1">
        <v>9673796235</v>
      </c>
      <c r="W941" s="1" t="s">
        <v>273</v>
      </c>
      <c r="X941" s="1" t="s">
        <v>16979</v>
      </c>
      <c r="Y941" s="1" t="s">
        <v>191</v>
      </c>
      <c r="Z941" s="1" t="s">
        <v>92</v>
      </c>
      <c r="AA941" s="1" t="s">
        <v>16980</v>
      </c>
      <c r="AB941" s="1" t="s">
        <v>567</v>
      </c>
      <c r="AC941" s="1" t="s">
        <v>92</v>
      </c>
      <c r="AD941" s="1">
        <v>7.31</v>
      </c>
      <c r="AE941" s="1" t="s">
        <v>93</v>
      </c>
      <c r="AF941" s="1" t="s">
        <v>16981</v>
      </c>
      <c r="AG941" s="1" t="s">
        <v>16982</v>
      </c>
      <c r="AH941" s="1" t="s">
        <v>733</v>
      </c>
      <c r="AI941" s="1" t="s">
        <v>195</v>
      </c>
      <c r="AJ941" s="1">
        <v>85.4</v>
      </c>
      <c r="AK941" s="1"/>
      <c r="AL941" s="1" t="s">
        <v>16983</v>
      </c>
      <c r="AM941" s="1" t="s">
        <v>16982</v>
      </c>
      <c r="AN941" s="1" t="s">
        <v>169</v>
      </c>
      <c r="AO941" s="1" t="s">
        <v>198</v>
      </c>
      <c r="AP941" s="1">
        <v>67.23</v>
      </c>
      <c r="AQ941" s="1"/>
      <c r="AR941" s="1"/>
      <c r="AS941" s="1"/>
      <c r="AT941" s="1"/>
      <c r="AU941" s="1"/>
      <c r="AV941" s="1"/>
      <c r="AW941" s="1"/>
      <c r="AX941" s="1" t="s">
        <v>1853</v>
      </c>
      <c r="AY941" s="1" t="s">
        <v>16984</v>
      </c>
      <c r="AZ941" s="1" t="s">
        <v>201</v>
      </c>
      <c r="BA941" s="1" t="s">
        <v>682</v>
      </c>
      <c r="BB941" s="1">
        <v>53.3</v>
      </c>
      <c r="BC941" s="1">
        <v>6.08</v>
      </c>
      <c r="BD941" s="1"/>
      <c r="BE941" s="1"/>
      <c r="BF941" s="1"/>
      <c r="BG941" s="1"/>
      <c r="BH941" s="1"/>
      <c r="BI941" s="1"/>
      <c r="BJ941" s="1" t="s">
        <v>1715</v>
      </c>
      <c r="BK941" s="1"/>
      <c r="BL941" s="1"/>
      <c r="BM941" s="1"/>
      <c r="BN941" s="1"/>
      <c r="BO941" s="1"/>
      <c r="BP941" s="1" t="str">
        <f>HYPERLINK("https://nconnect.nicmar.ac.in/storage/profile/ProfilePhoto_P25703001_183497.jpg","Download")</f>
        <v>0</v>
      </c>
      <c r="BQ941" s="3"/>
      <c r="BR941" s="3"/>
    </row>
    <row r="942" spans="1:70">
      <c r="A942" s="1" t="s">
        <v>552</v>
      </c>
      <c r="B942" s="1" t="s">
        <v>1269</v>
      </c>
      <c r="C942" s="1" t="s">
        <v>16985</v>
      </c>
      <c r="D942" s="1" t="s">
        <v>16986</v>
      </c>
      <c r="E942" s="1" t="s">
        <v>16987</v>
      </c>
      <c r="F942" s="1" t="s">
        <v>16988</v>
      </c>
      <c r="G942" s="1" t="s">
        <v>16989</v>
      </c>
      <c r="H942" s="1" t="s">
        <v>16990</v>
      </c>
      <c r="I942" s="1" t="s">
        <v>16991</v>
      </c>
      <c r="J942" s="1">
        <v>7057599949</v>
      </c>
      <c r="K942" s="1" t="s">
        <v>148</v>
      </c>
      <c r="L942" s="1" t="s">
        <v>16992</v>
      </c>
      <c r="M942" s="1" t="s">
        <v>81</v>
      </c>
      <c r="N942" s="1" t="s">
        <v>2008</v>
      </c>
      <c r="O942" s="1"/>
      <c r="P942" s="1" t="s">
        <v>1298</v>
      </c>
      <c r="Q942" s="1" t="s">
        <v>16993</v>
      </c>
      <c r="R942" s="1" t="s">
        <v>16994</v>
      </c>
      <c r="S942" s="1">
        <v>9923602457</v>
      </c>
      <c r="T942" s="1" t="s">
        <v>496</v>
      </c>
      <c r="U942" s="1" t="s">
        <v>16995</v>
      </c>
      <c r="V942" s="1">
        <v>9890426216</v>
      </c>
      <c r="W942" s="1" t="s">
        <v>520</v>
      </c>
      <c r="X942" s="1" t="s">
        <v>16996</v>
      </c>
      <c r="Y942" s="1" t="s">
        <v>191</v>
      </c>
      <c r="Z942" s="1" t="s">
        <v>92</v>
      </c>
      <c r="AA942" s="1" t="s">
        <v>16996</v>
      </c>
      <c r="AB942" s="1" t="s">
        <v>191</v>
      </c>
      <c r="AC942" s="1" t="s">
        <v>92</v>
      </c>
      <c r="AD942" s="1">
        <v>9.59</v>
      </c>
      <c r="AE942" s="1" t="s">
        <v>93</v>
      </c>
      <c r="AF942" s="1" t="s">
        <v>16997</v>
      </c>
      <c r="AG942" s="1" t="s">
        <v>939</v>
      </c>
      <c r="AH942" s="1" t="s">
        <v>101</v>
      </c>
      <c r="AI942" s="1" t="s">
        <v>308</v>
      </c>
      <c r="AJ942" s="1">
        <v>95.4</v>
      </c>
      <c r="AK942" s="1">
        <v>0</v>
      </c>
      <c r="AL942" s="1"/>
      <c r="AM942" s="1"/>
      <c r="AN942" s="1"/>
      <c r="AO942" s="1"/>
      <c r="AP942" s="1"/>
      <c r="AQ942" s="1"/>
      <c r="AR942" s="1" t="s">
        <v>16998</v>
      </c>
      <c r="AS942" s="1" t="s">
        <v>16999</v>
      </c>
      <c r="AT942" s="1" t="s">
        <v>201</v>
      </c>
      <c r="AU942" s="1" t="s">
        <v>105</v>
      </c>
      <c r="AV942" s="1">
        <v>92.8</v>
      </c>
      <c r="AW942" s="1">
        <v>0</v>
      </c>
      <c r="AX942" s="1" t="s">
        <v>361</v>
      </c>
      <c r="AY942" s="1" t="s">
        <v>17000</v>
      </c>
      <c r="AZ942" s="1" t="s">
        <v>2632</v>
      </c>
      <c r="BA942" s="1" t="s">
        <v>1361</v>
      </c>
      <c r="BB942" s="1">
        <v>82.56</v>
      </c>
      <c r="BC942" s="1">
        <v>8.69</v>
      </c>
      <c r="BD942" s="1"/>
      <c r="BE942" s="1"/>
      <c r="BF942" s="1"/>
      <c r="BG942" s="1"/>
      <c r="BH942" s="1"/>
      <c r="BI942" s="1"/>
      <c r="BJ942" s="1" t="s">
        <v>17001</v>
      </c>
      <c r="BK942" s="1"/>
      <c r="BL942" s="1"/>
      <c r="BM942" s="1" t="s">
        <v>17002</v>
      </c>
      <c r="BN942" s="1">
        <v>18</v>
      </c>
      <c r="BO942" s="1" t="s">
        <v>17003</v>
      </c>
      <c r="BP942" s="1" t="str">
        <f>HYPERLINK("https://nconnect.nicmar.ac.in/storage/profile/ProfilePhoto_P25703002_482139.jpg","Download")</f>
        <v>0</v>
      </c>
      <c r="BQ942" s="3"/>
      <c r="BR942" s="3"/>
    </row>
    <row r="943" spans="1:70">
      <c r="A943" s="1" t="s">
        <v>552</v>
      </c>
      <c r="B943" s="1" t="s">
        <v>1269</v>
      </c>
      <c r="C943" s="1" t="s">
        <v>17004</v>
      </c>
      <c r="D943" s="1" t="s">
        <v>17005</v>
      </c>
      <c r="E943" s="1"/>
      <c r="F943" s="1" t="s">
        <v>5688</v>
      </c>
      <c r="G943" s="1" t="s">
        <v>17006</v>
      </c>
      <c r="H943" s="1" t="s">
        <v>17007</v>
      </c>
      <c r="I943" s="1" t="s">
        <v>17008</v>
      </c>
      <c r="J943" s="1">
        <v>8409003373</v>
      </c>
      <c r="K943" s="1" t="s">
        <v>148</v>
      </c>
      <c r="L943" s="1" t="s">
        <v>17009</v>
      </c>
      <c r="M943" s="1" t="s">
        <v>81</v>
      </c>
      <c r="N943" s="1" t="s">
        <v>241</v>
      </c>
      <c r="O943" s="1"/>
      <c r="P943" s="1" t="s">
        <v>1323</v>
      </c>
      <c r="Q943" s="1" t="s">
        <v>17010</v>
      </c>
      <c r="R943" s="1" t="s">
        <v>17011</v>
      </c>
      <c r="S943" s="1">
        <v>9472331379</v>
      </c>
      <c r="T943" s="1" t="s">
        <v>842</v>
      </c>
      <c r="U943" s="1" t="s">
        <v>17012</v>
      </c>
      <c r="V943" s="1">
        <v>7870030728</v>
      </c>
      <c r="W943" s="1" t="s">
        <v>273</v>
      </c>
      <c r="X943" s="1" t="s">
        <v>17013</v>
      </c>
      <c r="Y943" s="1" t="s">
        <v>191</v>
      </c>
      <c r="Z943" s="1" t="s">
        <v>92</v>
      </c>
      <c r="AA943" s="1" t="s">
        <v>17014</v>
      </c>
      <c r="AB943" s="1" t="s">
        <v>845</v>
      </c>
      <c r="AC943" s="1" t="s">
        <v>846</v>
      </c>
      <c r="AD943" s="1" t="s">
        <v>93</v>
      </c>
      <c r="AE943" s="1" t="s">
        <v>93</v>
      </c>
      <c r="AF943" s="1" t="s">
        <v>17015</v>
      </c>
      <c r="AG943" s="1" t="s">
        <v>307</v>
      </c>
      <c r="AH943" s="1" t="s">
        <v>1065</v>
      </c>
      <c r="AI943" s="1" t="s">
        <v>173</v>
      </c>
      <c r="AJ943" s="1">
        <v>61.83</v>
      </c>
      <c r="AK943" s="1">
        <v>0</v>
      </c>
      <c r="AL943" s="1" t="s">
        <v>17016</v>
      </c>
      <c r="AM943" s="1" t="s">
        <v>307</v>
      </c>
      <c r="AN943" s="1" t="s">
        <v>3088</v>
      </c>
      <c r="AO943" s="1" t="s">
        <v>481</v>
      </c>
      <c r="AP943" s="1">
        <v>60</v>
      </c>
      <c r="AQ943" s="1">
        <v>0</v>
      </c>
      <c r="AR943" s="1"/>
      <c r="AS943" s="1"/>
      <c r="AT943" s="1"/>
      <c r="AU943" s="1"/>
      <c r="AV943" s="1"/>
      <c r="AW943" s="1"/>
      <c r="AX943" s="1" t="s">
        <v>17017</v>
      </c>
      <c r="AY943" s="1" t="s">
        <v>17018</v>
      </c>
      <c r="AZ943" s="1" t="s">
        <v>105</v>
      </c>
      <c r="BA943" s="1" t="s">
        <v>1584</v>
      </c>
      <c r="BB943" s="1">
        <v>65.06</v>
      </c>
      <c r="BC943" s="1">
        <v>0</v>
      </c>
      <c r="BD943" s="1"/>
      <c r="BE943" s="1"/>
      <c r="BF943" s="1"/>
      <c r="BG943" s="1"/>
      <c r="BH943" s="1"/>
      <c r="BI943" s="1"/>
      <c r="BJ943" s="1" t="s">
        <v>17019</v>
      </c>
      <c r="BK943" s="1"/>
      <c r="BL943" s="1"/>
      <c r="BM943" s="1"/>
      <c r="BN943" s="1"/>
      <c r="BO943" s="1" t="s">
        <v>17020</v>
      </c>
      <c r="BP943" s="1" t="str">
        <f>HYPERLINK("https://nconnect.nicmar.ac.in/storage/profile/ProfilePhoto_P25703003_426193.jpg","Download")</f>
        <v>0</v>
      </c>
      <c r="BQ943" s="3"/>
      <c r="BR943" s="3"/>
    </row>
    <row r="944" spans="1:70">
      <c r="A944" s="1" t="s">
        <v>552</v>
      </c>
      <c r="B944" s="1" t="s">
        <v>1269</v>
      </c>
      <c r="C944" s="1" t="s">
        <v>17021</v>
      </c>
      <c r="D944" s="1" t="s">
        <v>10541</v>
      </c>
      <c r="E944" s="1"/>
      <c r="F944" s="1" t="s">
        <v>5688</v>
      </c>
      <c r="G944" s="1" t="s">
        <v>17022</v>
      </c>
      <c r="H944" s="1" t="s">
        <v>17023</v>
      </c>
      <c r="I944" s="1" t="s">
        <v>17024</v>
      </c>
      <c r="J944" s="1">
        <v>7004504753</v>
      </c>
      <c r="K944" s="1" t="s">
        <v>148</v>
      </c>
      <c r="L944" s="1" t="s">
        <v>17025</v>
      </c>
      <c r="M944" s="1" t="s">
        <v>81</v>
      </c>
      <c r="N944" s="1" t="s">
        <v>82</v>
      </c>
      <c r="O944" s="1"/>
      <c r="P944" s="1" t="s">
        <v>1278</v>
      </c>
      <c r="Q944" s="1" t="s">
        <v>17026</v>
      </c>
      <c r="R944" s="1" t="s">
        <v>17027</v>
      </c>
      <c r="S944" s="1">
        <v>9631289451</v>
      </c>
      <c r="T944" s="1" t="s">
        <v>842</v>
      </c>
      <c r="U944" s="1" t="s">
        <v>17028</v>
      </c>
      <c r="V944" s="1">
        <v>9431492181</v>
      </c>
      <c r="W944" s="1" t="s">
        <v>156</v>
      </c>
      <c r="X944" s="1" t="s">
        <v>17029</v>
      </c>
      <c r="Y944" s="1" t="s">
        <v>191</v>
      </c>
      <c r="Z944" s="1" t="s">
        <v>92</v>
      </c>
      <c r="AA944" s="1" t="s">
        <v>17030</v>
      </c>
      <c r="AB944" s="1" t="s">
        <v>845</v>
      </c>
      <c r="AC944" s="1" t="s">
        <v>846</v>
      </c>
      <c r="AD944" s="1" t="s">
        <v>93</v>
      </c>
      <c r="AE944" s="1" t="s">
        <v>93</v>
      </c>
      <c r="AF944" s="1" t="s">
        <v>17031</v>
      </c>
      <c r="AG944" s="1" t="s">
        <v>307</v>
      </c>
      <c r="AH944" s="1" t="s">
        <v>678</v>
      </c>
      <c r="AI944" s="1" t="s">
        <v>166</v>
      </c>
      <c r="AJ944" s="1">
        <v>69</v>
      </c>
      <c r="AK944" s="1">
        <v>0</v>
      </c>
      <c r="AL944" s="1" t="s">
        <v>17032</v>
      </c>
      <c r="AM944" s="1" t="s">
        <v>17033</v>
      </c>
      <c r="AN944" s="1" t="s">
        <v>3088</v>
      </c>
      <c r="AO944" s="1" t="s">
        <v>2690</v>
      </c>
      <c r="AP944" s="1">
        <v>71.2</v>
      </c>
      <c r="AQ944" s="1"/>
      <c r="AR944" s="1"/>
      <c r="AS944" s="1"/>
      <c r="AT944" s="1"/>
      <c r="AU944" s="1"/>
      <c r="AV944" s="1"/>
      <c r="AW944" s="1"/>
      <c r="AX944" s="1" t="s">
        <v>17017</v>
      </c>
      <c r="AY944" s="1" t="s">
        <v>17034</v>
      </c>
      <c r="AZ944" s="1" t="s">
        <v>105</v>
      </c>
      <c r="BA944" s="1" t="s">
        <v>1584</v>
      </c>
      <c r="BB944" s="1">
        <v>66.46</v>
      </c>
      <c r="BC944" s="1"/>
      <c r="BD944" s="1"/>
      <c r="BE944" s="1"/>
      <c r="BF944" s="1"/>
      <c r="BG944" s="1"/>
      <c r="BH944" s="1"/>
      <c r="BI944" s="1"/>
      <c r="BJ944" s="1" t="s">
        <v>17035</v>
      </c>
      <c r="BK944" s="1"/>
      <c r="BL944" s="1"/>
      <c r="BM944" s="1"/>
      <c r="BN944" s="1"/>
      <c r="BO944" s="1" t="s">
        <v>17036</v>
      </c>
      <c r="BP944" s="1" t="str">
        <f>HYPERLINK("https://nconnect.nicmar.ac.in/storage/profile/ProfilePhoto_P25703004_138697.jpg","Download")</f>
        <v>0</v>
      </c>
      <c r="BQ944" s="3"/>
      <c r="BR944" s="3"/>
    </row>
    <row r="945" spans="1:70">
      <c r="A945" s="1" t="s">
        <v>552</v>
      </c>
      <c r="B945" s="1" t="s">
        <v>1269</v>
      </c>
      <c r="C945" s="1" t="s">
        <v>17037</v>
      </c>
      <c r="D945" s="1" t="s">
        <v>1740</v>
      </c>
      <c r="E945" s="1"/>
      <c r="F945" s="1" t="s">
        <v>17038</v>
      </c>
      <c r="G945" s="1" t="s">
        <v>17039</v>
      </c>
      <c r="H945" s="1" t="s">
        <v>17040</v>
      </c>
      <c r="I945" s="1" t="s">
        <v>17041</v>
      </c>
      <c r="J945" s="1">
        <v>9890516956</v>
      </c>
      <c r="K945" s="1" t="s">
        <v>79</v>
      </c>
      <c r="L945" s="1" t="s">
        <v>4902</v>
      </c>
      <c r="M945" s="1" t="s">
        <v>81</v>
      </c>
      <c r="N945" s="1" t="s">
        <v>17042</v>
      </c>
      <c r="O945" s="1"/>
      <c r="P945" s="1" t="s">
        <v>1323</v>
      </c>
      <c r="Q945" s="1" t="s">
        <v>17043</v>
      </c>
      <c r="R945" s="1" t="s">
        <v>17044</v>
      </c>
      <c r="S945" s="1">
        <v>9167700476</v>
      </c>
      <c r="T945" s="1" t="s">
        <v>763</v>
      </c>
      <c r="U945" s="1" t="s">
        <v>17045</v>
      </c>
      <c r="V945" s="1">
        <v>7008334452</v>
      </c>
      <c r="W945" s="1" t="s">
        <v>674</v>
      </c>
      <c r="X945" s="1" t="s">
        <v>17046</v>
      </c>
      <c r="Y945" s="1" t="s">
        <v>191</v>
      </c>
      <c r="Z945" s="1" t="s">
        <v>92</v>
      </c>
      <c r="AA945" s="1" t="s">
        <v>17047</v>
      </c>
      <c r="AB945" s="1" t="s">
        <v>17048</v>
      </c>
      <c r="AC945" s="1" t="s">
        <v>1731</v>
      </c>
      <c r="AD945" s="1">
        <v>7.63</v>
      </c>
      <c r="AE945" s="1" t="s">
        <v>93</v>
      </c>
      <c r="AF945" s="1" t="s">
        <v>17049</v>
      </c>
      <c r="AG945" s="1" t="s">
        <v>6127</v>
      </c>
      <c r="AH945" s="1" t="s">
        <v>279</v>
      </c>
      <c r="AI945" s="1" t="s">
        <v>165</v>
      </c>
      <c r="AJ945" s="1">
        <v>85.5</v>
      </c>
      <c r="AK945" s="1">
        <v>9</v>
      </c>
      <c r="AL945" s="1" t="s">
        <v>17049</v>
      </c>
      <c r="AM945" s="1" t="s">
        <v>6127</v>
      </c>
      <c r="AN945" s="1" t="s">
        <v>383</v>
      </c>
      <c r="AO945" s="1" t="s">
        <v>310</v>
      </c>
      <c r="AP945" s="1">
        <v>67.2</v>
      </c>
      <c r="AQ945" s="1"/>
      <c r="AR945" s="1"/>
      <c r="AS945" s="1"/>
      <c r="AT945" s="1"/>
      <c r="AU945" s="1"/>
      <c r="AV945" s="1"/>
      <c r="AW945" s="1"/>
      <c r="AX945" s="1" t="s">
        <v>10834</v>
      </c>
      <c r="AY945" s="1" t="s">
        <v>17050</v>
      </c>
      <c r="AZ945" s="1" t="s">
        <v>201</v>
      </c>
      <c r="BA945" s="1" t="s">
        <v>682</v>
      </c>
      <c r="BB945" s="1">
        <v>70.27</v>
      </c>
      <c r="BC945" s="1">
        <v>7.35</v>
      </c>
      <c r="BD945" s="1"/>
      <c r="BE945" s="1"/>
      <c r="BF945" s="1"/>
      <c r="BG945" s="1"/>
      <c r="BH945" s="1"/>
      <c r="BI945" s="1"/>
      <c r="BJ945" s="1" t="s">
        <v>364</v>
      </c>
      <c r="BK945" s="1" t="s">
        <v>17051</v>
      </c>
      <c r="BL945" s="1" t="s">
        <v>5645</v>
      </c>
      <c r="BM945" s="1"/>
      <c r="BN945" s="1"/>
      <c r="BO945" s="1"/>
      <c r="BP945" s="1" t="str">
        <f>HYPERLINK("https://nconnect.nicmar.ac.in/storage/profile/ProfilePhoto_P25703005_859241.jpg","Download")</f>
        <v>0</v>
      </c>
      <c r="BQ945" s="3"/>
      <c r="BR945" s="3"/>
    </row>
    <row r="946" spans="1:70">
      <c r="A946" s="1" t="s">
        <v>552</v>
      </c>
      <c r="B946" s="1" t="s">
        <v>1269</v>
      </c>
      <c r="C946" s="1" t="s">
        <v>17052</v>
      </c>
      <c r="D946" s="1" t="s">
        <v>17053</v>
      </c>
      <c r="E946" s="1"/>
      <c r="F946" s="1" t="s">
        <v>12288</v>
      </c>
      <c r="G946" s="1" t="s">
        <v>17054</v>
      </c>
      <c r="H946" s="1" t="s">
        <v>17055</v>
      </c>
      <c r="I946" s="1" t="s">
        <v>17056</v>
      </c>
      <c r="J946" s="1">
        <v>9953915250</v>
      </c>
      <c r="K946" s="1" t="s">
        <v>148</v>
      </c>
      <c r="L946" s="1" t="s">
        <v>5418</v>
      </c>
      <c r="M946" s="1" t="s">
        <v>81</v>
      </c>
      <c r="N946" s="1" t="s">
        <v>5056</v>
      </c>
      <c r="O946" s="1"/>
      <c r="P946" s="1" t="s">
        <v>1298</v>
      </c>
      <c r="Q946" s="1" t="s">
        <v>17057</v>
      </c>
      <c r="R946" s="1" t="s">
        <v>17058</v>
      </c>
      <c r="S946" s="1">
        <v>9873715250</v>
      </c>
      <c r="T946" s="1" t="s">
        <v>5823</v>
      </c>
      <c r="U946" s="1" t="s">
        <v>17059</v>
      </c>
      <c r="V946" s="1">
        <v>9999228350</v>
      </c>
      <c r="W946" s="1" t="s">
        <v>156</v>
      </c>
      <c r="X946" s="1" t="s">
        <v>17060</v>
      </c>
      <c r="Y946" s="1" t="s">
        <v>17061</v>
      </c>
      <c r="Z946" s="1" t="s">
        <v>722</v>
      </c>
      <c r="AA946" s="1" t="s">
        <v>17060</v>
      </c>
      <c r="AB946" s="1" t="s">
        <v>17061</v>
      </c>
      <c r="AC946" s="1" t="s">
        <v>722</v>
      </c>
      <c r="AD946" s="1">
        <v>8.99</v>
      </c>
      <c r="AE946" s="1" t="s">
        <v>93</v>
      </c>
      <c r="AF946" s="1" t="s">
        <v>14110</v>
      </c>
      <c r="AG946" s="1" t="s">
        <v>7210</v>
      </c>
      <c r="AH946" s="1" t="s">
        <v>1307</v>
      </c>
      <c r="AI946" s="1" t="s">
        <v>409</v>
      </c>
      <c r="AJ946" s="1">
        <v>88.6</v>
      </c>
      <c r="AK946" s="1"/>
      <c r="AL946" s="1" t="s">
        <v>14110</v>
      </c>
      <c r="AM946" s="1" t="s">
        <v>7210</v>
      </c>
      <c r="AN946" s="1" t="s">
        <v>1834</v>
      </c>
      <c r="AO946" s="1" t="s">
        <v>506</v>
      </c>
      <c r="AP946" s="1">
        <v>84.6</v>
      </c>
      <c r="AQ946" s="1"/>
      <c r="AR946" s="1"/>
      <c r="AS946" s="1"/>
      <c r="AT946" s="1"/>
      <c r="AU946" s="1"/>
      <c r="AV946" s="1"/>
      <c r="AW946" s="1"/>
      <c r="AX946" s="1" t="s">
        <v>17062</v>
      </c>
      <c r="AY946" s="1" t="s">
        <v>17063</v>
      </c>
      <c r="AZ946" s="1" t="s">
        <v>1407</v>
      </c>
      <c r="BA946" s="1" t="s">
        <v>202</v>
      </c>
      <c r="BB946" s="1">
        <v>64.2</v>
      </c>
      <c r="BC946" s="1"/>
      <c r="BD946" s="1"/>
      <c r="BE946" s="1"/>
      <c r="BF946" s="1"/>
      <c r="BG946" s="1"/>
      <c r="BH946" s="1"/>
      <c r="BI946" s="1"/>
      <c r="BJ946" s="1" t="s">
        <v>17064</v>
      </c>
      <c r="BK946" s="1"/>
      <c r="BL946" s="1"/>
      <c r="BM946" s="1" t="s">
        <v>17065</v>
      </c>
      <c r="BN946" s="1">
        <v>30</v>
      </c>
      <c r="BO946" s="1" t="s">
        <v>17066</v>
      </c>
      <c r="BP946" s="1" t="str">
        <f>HYPERLINK("https://nconnect.nicmar.ac.in/storage/profile/ProfilePhoto_P25703006_431582.jpg","Download")</f>
        <v>0</v>
      </c>
      <c r="BQ946" s="3"/>
      <c r="BR946" s="3"/>
    </row>
    <row r="947" spans="1:70">
      <c r="A947" s="1" t="s">
        <v>552</v>
      </c>
      <c r="B947" s="1" t="s">
        <v>1269</v>
      </c>
      <c r="C947" s="1" t="s">
        <v>17067</v>
      </c>
      <c r="D947" s="1" t="s">
        <v>417</v>
      </c>
      <c r="E947" s="1"/>
      <c r="F947" s="1" t="s">
        <v>16228</v>
      </c>
      <c r="G947" s="1" t="s">
        <v>17068</v>
      </c>
      <c r="H947" s="1" t="s">
        <v>17069</v>
      </c>
      <c r="I947" s="1" t="s">
        <v>17070</v>
      </c>
      <c r="J947" s="1">
        <v>6386400862</v>
      </c>
      <c r="K947" s="1" t="s">
        <v>148</v>
      </c>
      <c r="L947" s="1" t="s">
        <v>10236</v>
      </c>
      <c r="M947" s="1" t="s">
        <v>81</v>
      </c>
      <c r="N947" s="1" t="s">
        <v>350</v>
      </c>
      <c r="O947" s="1"/>
      <c r="P947" s="1" t="s">
        <v>1323</v>
      </c>
      <c r="Q947" s="1" t="s">
        <v>17071</v>
      </c>
      <c r="R947" s="1" t="s">
        <v>17072</v>
      </c>
      <c r="S947" s="1">
        <v>7007661585</v>
      </c>
      <c r="T947" s="1" t="s">
        <v>377</v>
      </c>
      <c r="U947" s="1" t="s">
        <v>17073</v>
      </c>
      <c r="V947" s="1">
        <v>8318599386</v>
      </c>
      <c r="W947" s="1" t="s">
        <v>273</v>
      </c>
      <c r="X947" s="1" t="s">
        <v>17074</v>
      </c>
      <c r="Y947" s="1" t="s">
        <v>1912</v>
      </c>
      <c r="Z947" s="1" t="s">
        <v>1355</v>
      </c>
      <c r="AA947" s="1" t="s">
        <v>17075</v>
      </c>
      <c r="AB947" s="1" t="s">
        <v>17076</v>
      </c>
      <c r="AC947" s="1" t="s">
        <v>1355</v>
      </c>
      <c r="AD947" s="1">
        <v>8.4</v>
      </c>
      <c r="AE947" s="1" t="s">
        <v>93</v>
      </c>
      <c r="AF947" s="1" t="s">
        <v>17077</v>
      </c>
      <c r="AG947" s="1" t="s">
        <v>1470</v>
      </c>
      <c r="AH947" s="1" t="s">
        <v>678</v>
      </c>
      <c r="AI947" s="1" t="s">
        <v>166</v>
      </c>
      <c r="AJ947" s="1">
        <v>71</v>
      </c>
      <c r="AK947" s="1"/>
      <c r="AL947" s="1" t="s">
        <v>17078</v>
      </c>
      <c r="AM947" s="1" t="s">
        <v>307</v>
      </c>
      <c r="AN947" s="1" t="s">
        <v>169</v>
      </c>
      <c r="AO947" s="1" t="s">
        <v>173</v>
      </c>
      <c r="AP947" s="1">
        <v>71.6</v>
      </c>
      <c r="AQ947" s="1"/>
      <c r="AR947" s="1"/>
      <c r="AS947" s="1"/>
      <c r="AT947" s="1"/>
      <c r="AU947" s="1"/>
      <c r="AV947" s="1"/>
      <c r="AW947" s="1"/>
      <c r="AX947" s="1" t="s">
        <v>17079</v>
      </c>
      <c r="AY947" s="1" t="s">
        <v>17080</v>
      </c>
      <c r="AZ947" s="1" t="s">
        <v>681</v>
      </c>
      <c r="BA947" s="1" t="s">
        <v>10191</v>
      </c>
      <c r="BB947" s="1">
        <v>77.58</v>
      </c>
      <c r="BC947" s="1"/>
      <c r="BD947" s="1"/>
      <c r="BE947" s="1"/>
      <c r="BF947" s="1"/>
      <c r="BG947" s="1"/>
      <c r="BH947" s="1"/>
      <c r="BI947" s="1"/>
      <c r="BJ947" s="1" t="s">
        <v>734</v>
      </c>
      <c r="BK947" s="1"/>
      <c r="BL947" s="1"/>
      <c r="BM947" s="1"/>
      <c r="BN947" s="1"/>
      <c r="BO947" s="1" t="s">
        <v>17081</v>
      </c>
      <c r="BP947" s="1" t="str">
        <f>HYPERLINK("https://nconnect.nicmar.ac.in/storage/profile/ProfilePhoto_P25703007_257863.jpg","Download")</f>
        <v>0</v>
      </c>
      <c r="BQ947" s="3"/>
      <c r="BR947" s="3"/>
    </row>
    <row r="948" spans="1:70">
      <c r="A948" s="1" t="s">
        <v>552</v>
      </c>
      <c r="B948" s="1" t="s">
        <v>1269</v>
      </c>
      <c r="C948" s="1" t="s">
        <v>17082</v>
      </c>
      <c r="D948" s="1" t="s">
        <v>3187</v>
      </c>
      <c r="E948" s="1" t="s">
        <v>6811</v>
      </c>
      <c r="F948" s="1" t="s">
        <v>17083</v>
      </c>
      <c r="G948" s="1" t="s">
        <v>17084</v>
      </c>
      <c r="H948" s="1" t="s">
        <v>17085</v>
      </c>
      <c r="I948" s="1" t="s">
        <v>17086</v>
      </c>
      <c r="J948" s="1">
        <v>9370792447</v>
      </c>
      <c r="K948" s="1" t="s">
        <v>79</v>
      </c>
      <c r="L948" s="1" t="s">
        <v>13558</v>
      </c>
      <c r="M948" s="1" t="s">
        <v>81</v>
      </c>
      <c r="N948" s="1" t="s">
        <v>1618</v>
      </c>
      <c r="O948" s="1"/>
      <c r="P948" s="1" t="s">
        <v>1298</v>
      </c>
      <c r="Q948" s="1" t="s">
        <v>17087</v>
      </c>
      <c r="R948" s="1" t="s">
        <v>17088</v>
      </c>
      <c r="S948" s="1">
        <v>9370792447</v>
      </c>
      <c r="T948" s="1" t="s">
        <v>17089</v>
      </c>
      <c r="U948" s="1" t="s">
        <v>17090</v>
      </c>
      <c r="V948" s="1">
        <v>8208767064</v>
      </c>
      <c r="W948" s="1" t="s">
        <v>156</v>
      </c>
      <c r="X948" s="1" t="s">
        <v>17091</v>
      </c>
      <c r="Y948" s="1" t="s">
        <v>405</v>
      </c>
      <c r="Z948" s="1" t="s">
        <v>92</v>
      </c>
      <c r="AA948" s="1" t="s">
        <v>17091</v>
      </c>
      <c r="AB948" s="1" t="s">
        <v>405</v>
      </c>
      <c r="AC948" s="1" t="s">
        <v>92</v>
      </c>
      <c r="AD948" s="1">
        <v>7.97</v>
      </c>
      <c r="AE948" s="1" t="s">
        <v>93</v>
      </c>
      <c r="AF948" s="1" t="s">
        <v>17092</v>
      </c>
      <c r="AG948" s="1" t="s">
        <v>17093</v>
      </c>
      <c r="AH948" s="1" t="s">
        <v>165</v>
      </c>
      <c r="AI948" s="1" t="s">
        <v>281</v>
      </c>
      <c r="AJ948" s="1">
        <v>83.4</v>
      </c>
      <c r="AK948" s="1">
        <v>0</v>
      </c>
      <c r="AL948" s="1"/>
      <c r="AM948" s="1"/>
      <c r="AN948" s="1"/>
      <c r="AO948" s="1"/>
      <c r="AP948" s="1"/>
      <c r="AQ948" s="1"/>
      <c r="AR948" s="1" t="s">
        <v>17094</v>
      </c>
      <c r="AS948" s="1" t="s">
        <v>8173</v>
      </c>
      <c r="AT948" s="1" t="s">
        <v>636</v>
      </c>
      <c r="AU948" s="1" t="s">
        <v>1051</v>
      </c>
      <c r="AV948" s="1">
        <v>91.6</v>
      </c>
      <c r="AW948" s="1">
        <v>0</v>
      </c>
      <c r="AX948" s="1" t="s">
        <v>17095</v>
      </c>
      <c r="AY948" s="1" t="s">
        <v>17095</v>
      </c>
      <c r="AZ948" s="1" t="s">
        <v>897</v>
      </c>
      <c r="BA948" s="1" t="s">
        <v>413</v>
      </c>
      <c r="BB948" s="1">
        <v>77.6</v>
      </c>
      <c r="BC948" s="1">
        <v>8.51</v>
      </c>
      <c r="BD948" s="1"/>
      <c r="BE948" s="1"/>
      <c r="BF948" s="1"/>
      <c r="BG948" s="1"/>
      <c r="BH948" s="1"/>
      <c r="BI948" s="1"/>
      <c r="BJ948" s="1" t="s">
        <v>17096</v>
      </c>
      <c r="BK948" s="1" t="s">
        <v>17097</v>
      </c>
      <c r="BL948" s="1" t="s">
        <v>1896</v>
      </c>
      <c r="BM948" s="1" t="s">
        <v>17098</v>
      </c>
      <c r="BN948" s="1">
        <v>29</v>
      </c>
      <c r="BO948" s="1"/>
      <c r="BP948" s="1" t="str">
        <f>HYPERLINK("https://nconnect.nicmar.ac.in/storage/profile/ProfilePhoto_P25703008_815249.jpg","Download")</f>
        <v>0</v>
      </c>
      <c r="BQ948" s="3"/>
      <c r="BR948" s="3"/>
    </row>
    <row r="949" spans="1:70">
      <c r="A949" s="1" t="s">
        <v>552</v>
      </c>
      <c r="B949" s="1" t="s">
        <v>1269</v>
      </c>
      <c r="C949" s="1" t="s">
        <v>17099</v>
      </c>
      <c r="D949" s="1" t="s">
        <v>17100</v>
      </c>
      <c r="E949" s="1"/>
      <c r="F949" s="1" t="s">
        <v>111</v>
      </c>
      <c r="G949" s="1" t="s">
        <v>17101</v>
      </c>
      <c r="H949" s="1" t="s">
        <v>17102</v>
      </c>
      <c r="I949" s="1" t="s">
        <v>17103</v>
      </c>
      <c r="J949" s="1">
        <v>8970457027</v>
      </c>
      <c r="K949" s="1" t="s">
        <v>148</v>
      </c>
      <c r="L949" s="1" t="s">
        <v>17104</v>
      </c>
      <c r="M949" s="1" t="s">
        <v>81</v>
      </c>
      <c r="N949" s="1" t="s">
        <v>17105</v>
      </c>
      <c r="O949" s="1"/>
      <c r="P949" s="1" t="s">
        <v>1323</v>
      </c>
      <c r="Q949" s="1" t="s">
        <v>17106</v>
      </c>
      <c r="R949" s="1" t="s">
        <v>17107</v>
      </c>
      <c r="S949" s="1">
        <v>8618498638</v>
      </c>
      <c r="T949" s="1" t="s">
        <v>87</v>
      </c>
      <c r="U949" s="1" t="s">
        <v>11999</v>
      </c>
      <c r="V949" s="1">
        <v>8618831030</v>
      </c>
      <c r="W949" s="1" t="s">
        <v>89</v>
      </c>
      <c r="X949" s="1" t="s">
        <v>17108</v>
      </c>
      <c r="Y949" s="1" t="s">
        <v>1083</v>
      </c>
      <c r="Z949" s="1" t="s">
        <v>1084</v>
      </c>
      <c r="AA949" s="1" t="s">
        <v>17108</v>
      </c>
      <c r="AB949" s="1" t="s">
        <v>1083</v>
      </c>
      <c r="AC949" s="1" t="s">
        <v>1084</v>
      </c>
      <c r="AD949" s="1">
        <v>9.26</v>
      </c>
      <c r="AE949" s="1" t="s">
        <v>93</v>
      </c>
      <c r="AF949" s="1" t="s">
        <v>17109</v>
      </c>
      <c r="AG949" s="1" t="s">
        <v>17110</v>
      </c>
      <c r="AH949" s="1" t="s">
        <v>658</v>
      </c>
      <c r="AI949" s="1" t="s">
        <v>129</v>
      </c>
      <c r="AJ949" s="1">
        <v>81.7</v>
      </c>
      <c r="AK949" s="1">
        <v>8.6</v>
      </c>
      <c r="AL949" s="1" t="s">
        <v>17111</v>
      </c>
      <c r="AM949" s="1" t="s">
        <v>11501</v>
      </c>
      <c r="AN949" s="1" t="s">
        <v>96</v>
      </c>
      <c r="AO949" s="1" t="s">
        <v>131</v>
      </c>
      <c r="AP949" s="1">
        <v>75.5</v>
      </c>
      <c r="AQ949" s="1"/>
      <c r="AR949" s="1"/>
      <c r="AS949" s="1"/>
      <c r="AT949" s="1"/>
      <c r="AU949" s="1"/>
      <c r="AV949" s="1"/>
      <c r="AW949" s="1"/>
      <c r="AX949" s="1" t="s">
        <v>1088</v>
      </c>
      <c r="AY949" s="1" t="s">
        <v>17112</v>
      </c>
      <c r="AZ949" s="1" t="s">
        <v>100</v>
      </c>
      <c r="BA949" s="1" t="s">
        <v>201</v>
      </c>
      <c r="BB949" s="1">
        <v>65.5</v>
      </c>
      <c r="BC949" s="1">
        <v>7.3</v>
      </c>
      <c r="BD949" s="1"/>
      <c r="BE949" s="1"/>
      <c r="BF949" s="1"/>
      <c r="BG949" s="1"/>
      <c r="BH949" s="1"/>
      <c r="BI949" s="1"/>
      <c r="BJ949" s="1" t="s">
        <v>17113</v>
      </c>
      <c r="BK949" s="1" t="s">
        <v>17114</v>
      </c>
      <c r="BL949" s="1" t="s">
        <v>17115</v>
      </c>
      <c r="BM949" s="1" t="s">
        <v>17116</v>
      </c>
      <c r="BN949" s="1">
        <v>13</v>
      </c>
      <c r="BO949" s="1"/>
      <c r="BP949" s="1" t="str">
        <f>HYPERLINK("https://nconnect.nicmar.ac.in/storage/profile/ProfilePhoto_P25703009_857219.jpg","Download")</f>
        <v>0</v>
      </c>
      <c r="BQ949" s="3"/>
      <c r="BR949" s="3"/>
    </row>
    <row r="950" spans="1:70">
      <c r="A950" s="1" t="s">
        <v>552</v>
      </c>
      <c r="B950" s="1" t="s">
        <v>1269</v>
      </c>
      <c r="C950" s="1" t="s">
        <v>17117</v>
      </c>
      <c r="D950" s="1" t="s">
        <v>1759</v>
      </c>
      <c r="E950" s="1" t="s">
        <v>13698</v>
      </c>
      <c r="F950" s="1" t="s">
        <v>17118</v>
      </c>
      <c r="G950" s="1" t="s">
        <v>17119</v>
      </c>
      <c r="H950" s="1" t="s">
        <v>17120</v>
      </c>
      <c r="I950" s="1" t="s">
        <v>17121</v>
      </c>
      <c r="J950" s="1">
        <v>7498649773</v>
      </c>
      <c r="K950" s="1" t="s">
        <v>79</v>
      </c>
      <c r="L950" s="1" t="s">
        <v>17122</v>
      </c>
      <c r="M950" s="1" t="s">
        <v>81</v>
      </c>
      <c r="N950" s="1" t="s">
        <v>860</v>
      </c>
      <c r="O950" s="1"/>
      <c r="P950" s="1" t="s">
        <v>1298</v>
      </c>
      <c r="Q950" s="1" t="s">
        <v>17123</v>
      </c>
      <c r="R950" s="1" t="s">
        <v>17124</v>
      </c>
      <c r="S950" s="1">
        <v>9823403493</v>
      </c>
      <c r="T950" s="1" t="s">
        <v>154</v>
      </c>
      <c r="U950" s="1" t="s">
        <v>17125</v>
      </c>
      <c r="V950" s="1">
        <v>8390555647</v>
      </c>
      <c r="W950" s="1" t="s">
        <v>156</v>
      </c>
      <c r="X950" s="1" t="s">
        <v>17126</v>
      </c>
      <c r="Y950" s="1" t="s">
        <v>523</v>
      </c>
      <c r="Z950" s="1" t="s">
        <v>92</v>
      </c>
      <c r="AA950" s="1" t="s">
        <v>17126</v>
      </c>
      <c r="AB950" s="1" t="s">
        <v>523</v>
      </c>
      <c r="AC950" s="1" t="s">
        <v>92</v>
      </c>
      <c r="AD950" s="1" t="s">
        <v>93</v>
      </c>
      <c r="AE950" s="1" t="s">
        <v>93</v>
      </c>
      <c r="AF950" s="1" t="s">
        <v>17127</v>
      </c>
      <c r="AG950" s="1" t="s">
        <v>17128</v>
      </c>
      <c r="AH950" s="1" t="s">
        <v>17129</v>
      </c>
      <c r="AI950" s="1" t="s">
        <v>281</v>
      </c>
      <c r="AJ950" s="1">
        <v>76</v>
      </c>
      <c r="AK950" s="1"/>
      <c r="AL950" s="1" t="s">
        <v>17130</v>
      </c>
      <c r="AM950" s="1" t="s">
        <v>544</v>
      </c>
      <c r="AN950" s="1" t="s">
        <v>169</v>
      </c>
      <c r="AO950" s="1" t="s">
        <v>941</v>
      </c>
      <c r="AP950" s="1">
        <v>67.85</v>
      </c>
      <c r="AQ950" s="1"/>
      <c r="AR950" s="1"/>
      <c r="AS950" s="1"/>
      <c r="AT950" s="1"/>
      <c r="AU950" s="1"/>
      <c r="AV950" s="1"/>
      <c r="AW950" s="1"/>
      <c r="AX950" s="1" t="s">
        <v>17131</v>
      </c>
      <c r="AY950" s="1" t="s">
        <v>17132</v>
      </c>
      <c r="AZ950" s="1" t="s">
        <v>173</v>
      </c>
      <c r="BA950" s="1" t="s">
        <v>702</v>
      </c>
      <c r="BB950" s="1">
        <v>71.1</v>
      </c>
      <c r="BC950" s="1">
        <v>7.86</v>
      </c>
      <c r="BD950" s="1"/>
      <c r="BE950" s="1"/>
      <c r="BF950" s="1"/>
      <c r="BG950" s="1"/>
      <c r="BH950" s="1"/>
      <c r="BI950" s="1"/>
      <c r="BJ950" s="1" t="s">
        <v>17133</v>
      </c>
      <c r="BK950" s="1"/>
      <c r="BL950" s="1"/>
      <c r="BM950" s="1" t="s">
        <v>17134</v>
      </c>
      <c r="BN950" s="1">
        <v>16</v>
      </c>
      <c r="BO950" s="1"/>
      <c r="BP950" s="1" t="str">
        <f>HYPERLINK("https://nconnect.nicmar.ac.in/storage/profile/ProfilePhoto_P25703010_526749.jpg","Download")</f>
        <v>0</v>
      </c>
      <c r="BQ950" s="3"/>
      <c r="BR950" s="3"/>
    </row>
    <row r="951" spans="1:70">
      <c r="A951" s="1" t="s">
        <v>552</v>
      </c>
      <c r="B951" s="1" t="s">
        <v>1269</v>
      </c>
      <c r="C951" s="1" t="s">
        <v>17135</v>
      </c>
      <c r="D951" s="1" t="s">
        <v>17136</v>
      </c>
      <c r="E951" s="1"/>
      <c r="F951" s="1" t="s">
        <v>17137</v>
      </c>
      <c r="G951" s="1" t="s">
        <v>17138</v>
      </c>
      <c r="H951" s="1" t="s">
        <v>17139</v>
      </c>
      <c r="I951" s="1" t="s">
        <v>17140</v>
      </c>
      <c r="J951" s="1">
        <v>8102412210</v>
      </c>
      <c r="K951" s="1" t="s">
        <v>148</v>
      </c>
      <c r="L951" s="1" t="s">
        <v>17141</v>
      </c>
      <c r="M951" s="1" t="s">
        <v>81</v>
      </c>
      <c r="N951" s="1" t="s">
        <v>3788</v>
      </c>
      <c r="O951" s="1"/>
      <c r="P951" s="1" t="s">
        <v>2821</v>
      </c>
      <c r="Q951" s="1" t="s">
        <v>17142</v>
      </c>
      <c r="R951" s="1" t="s">
        <v>17143</v>
      </c>
      <c r="S951" s="1">
        <v>8986562633</v>
      </c>
      <c r="T951" s="1" t="s">
        <v>17144</v>
      </c>
      <c r="U951" s="1" t="s">
        <v>17145</v>
      </c>
      <c r="V951" s="1">
        <v>8318824248</v>
      </c>
      <c r="W951" s="1" t="s">
        <v>122</v>
      </c>
      <c r="X951" s="1" t="s">
        <v>17146</v>
      </c>
      <c r="Y951" s="1" t="s">
        <v>845</v>
      </c>
      <c r="Z951" s="1" t="s">
        <v>846</v>
      </c>
      <c r="AA951" s="1" t="s">
        <v>17146</v>
      </c>
      <c r="AB951" s="1" t="s">
        <v>845</v>
      </c>
      <c r="AC951" s="1" t="s">
        <v>846</v>
      </c>
      <c r="AD951" s="1">
        <v>7.65</v>
      </c>
      <c r="AE951" s="1" t="s">
        <v>93</v>
      </c>
      <c r="AF951" s="1" t="s">
        <v>17147</v>
      </c>
      <c r="AG951" s="1" t="s">
        <v>17148</v>
      </c>
      <c r="AH951" s="1" t="s">
        <v>281</v>
      </c>
      <c r="AI951" s="1" t="s">
        <v>308</v>
      </c>
      <c r="AJ951" s="1">
        <v>66.4</v>
      </c>
      <c r="AK951" s="1"/>
      <c r="AL951" s="1" t="s">
        <v>17147</v>
      </c>
      <c r="AM951" s="1" t="s">
        <v>17149</v>
      </c>
      <c r="AN951" s="1" t="s">
        <v>941</v>
      </c>
      <c r="AO951" s="1" t="s">
        <v>506</v>
      </c>
      <c r="AP951" s="1">
        <v>77.8</v>
      </c>
      <c r="AQ951" s="1"/>
      <c r="AR951" s="1"/>
      <c r="AS951" s="1"/>
      <c r="AT951" s="1"/>
      <c r="AU951" s="1"/>
      <c r="AV951" s="1"/>
      <c r="AW951" s="1"/>
      <c r="AX951" s="1" t="s">
        <v>17150</v>
      </c>
      <c r="AY951" s="1" t="s">
        <v>17151</v>
      </c>
      <c r="AZ951" s="1" t="s">
        <v>436</v>
      </c>
      <c r="BA951" s="1" t="s">
        <v>202</v>
      </c>
      <c r="BB951" s="1">
        <v>67.2</v>
      </c>
      <c r="BC951" s="1">
        <v>7.17</v>
      </c>
      <c r="BD951" s="1"/>
      <c r="BE951" s="1"/>
      <c r="BF951" s="1"/>
      <c r="BG951" s="1"/>
      <c r="BH951" s="1"/>
      <c r="BI951" s="1"/>
      <c r="BJ951" s="1" t="s">
        <v>17152</v>
      </c>
      <c r="BK951" s="1"/>
      <c r="BL951" s="1"/>
      <c r="BM951" s="1"/>
      <c r="BN951" s="1"/>
      <c r="BO951" s="1" t="s">
        <v>17153</v>
      </c>
      <c r="BP951" s="1" t="str">
        <f>HYPERLINK("https://nconnect.nicmar.ac.in/storage/profile/ProfilePhoto_P25703011_825793.jpg","Download")</f>
        <v>0</v>
      </c>
      <c r="BQ951" s="3"/>
      <c r="BR951" s="3"/>
    </row>
    <row r="952" spans="1:70">
      <c r="A952" s="1" t="s">
        <v>552</v>
      </c>
      <c r="B952" s="1" t="s">
        <v>1269</v>
      </c>
      <c r="C952" s="1" t="s">
        <v>17154</v>
      </c>
      <c r="D952" s="1" t="s">
        <v>443</v>
      </c>
      <c r="E952" s="1"/>
      <c r="F952" s="1" t="s">
        <v>835</v>
      </c>
      <c r="G952" s="1" t="s">
        <v>17155</v>
      </c>
      <c r="H952" s="1" t="s">
        <v>17156</v>
      </c>
      <c r="I952" s="1" t="s">
        <v>17157</v>
      </c>
      <c r="J952" s="1">
        <v>7303466650</v>
      </c>
      <c r="K952" s="1" t="s">
        <v>79</v>
      </c>
      <c r="L952" s="1" t="s">
        <v>14188</v>
      </c>
      <c r="M952" s="1" t="s">
        <v>81</v>
      </c>
      <c r="N952" s="1" t="s">
        <v>3788</v>
      </c>
      <c r="O952" s="1"/>
      <c r="P952" s="1" t="s">
        <v>1323</v>
      </c>
      <c r="Q952" s="1" t="s">
        <v>17158</v>
      </c>
      <c r="R952" s="1" t="s">
        <v>17159</v>
      </c>
      <c r="S952" s="1">
        <v>9818994708</v>
      </c>
      <c r="T952" s="1" t="s">
        <v>87</v>
      </c>
      <c r="U952" s="1" t="s">
        <v>17160</v>
      </c>
      <c r="V952" s="1">
        <v>9211474664</v>
      </c>
      <c r="W952" s="1" t="s">
        <v>89</v>
      </c>
      <c r="X952" s="1" t="s">
        <v>17161</v>
      </c>
      <c r="Y952" s="1" t="s">
        <v>718</v>
      </c>
      <c r="Z952" s="1" t="s">
        <v>719</v>
      </c>
      <c r="AA952" s="1" t="s">
        <v>17161</v>
      </c>
      <c r="AB952" s="1" t="s">
        <v>718</v>
      </c>
      <c r="AC952" s="1" t="s">
        <v>719</v>
      </c>
      <c r="AD952" s="1">
        <v>7.45</v>
      </c>
      <c r="AE952" s="1" t="s">
        <v>93</v>
      </c>
      <c r="AF952" s="1" t="s">
        <v>17162</v>
      </c>
      <c r="AG952" s="1" t="s">
        <v>17163</v>
      </c>
      <c r="AH952" s="1" t="s">
        <v>279</v>
      </c>
      <c r="AI952" s="1" t="s">
        <v>165</v>
      </c>
      <c r="AJ952" s="1">
        <v>55.1</v>
      </c>
      <c r="AK952" s="1"/>
      <c r="AL952" s="1" t="s">
        <v>17162</v>
      </c>
      <c r="AM952" s="1" t="s">
        <v>17163</v>
      </c>
      <c r="AN952" s="1" t="s">
        <v>409</v>
      </c>
      <c r="AO952" s="1" t="s">
        <v>173</v>
      </c>
      <c r="AP952" s="1">
        <v>63.83</v>
      </c>
      <c r="AQ952" s="1"/>
      <c r="AR952" s="1"/>
      <c r="AS952" s="1"/>
      <c r="AT952" s="1"/>
      <c r="AU952" s="1"/>
      <c r="AV952" s="1"/>
      <c r="AW952" s="1"/>
      <c r="AX952" s="1" t="s">
        <v>17164</v>
      </c>
      <c r="AY952" s="1" t="s">
        <v>17165</v>
      </c>
      <c r="AZ952" s="1" t="s">
        <v>173</v>
      </c>
      <c r="BA952" s="1" t="s">
        <v>2103</v>
      </c>
      <c r="BB952" s="1">
        <v>76.95</v>
      </c>
      <c r="BC952" s="1">
        <v>8.1</v>
      </c>
      <c r="BD952" s="1"/>
      <c r="BE952" s="1"/>
      <c r="BF952" s="1"/>
      <c r="BG952" s="1"/>
      <c r="BH952" s="1"/>
      <c r="BI952" s="1"/>
      <c r="BJ952" s="1" t="s">
        <v>15565</v>
      </c>
      <c r="BK952" s="1" t="s">
        <v>17166</v>
      </c>
      <c r="BL952" s="1" t="s">
        <v>1896</v>
      </c>
      <c r="BM952" s="1"/>
      <c r="BN952" s="1"/>
      <c r="BO952" s="1" t="s">
        <v>17167</v>
      </c>
      <c r="BP952" s="1" t="str">
        <f>HYPERLINK("https://nconnect.nicmar.ac.in/storage/profile/ProfilePhoto_P25703014_598123.jpg","Download")</f>
        <v>0</v>
      </c>
      <c r="BQ952" s="3"/>
      <c r="BR952" s="3"/>
    </row>
    <row r="953" spans="1:70">
      <c r="A953" s="1" t="s">
        <v>552</v>
      </c>
      <c r="B953" s="1" t="s">
        <v>1269</v>
      </c>
      <c r="C953" s="1" t="s">
        <v>17168</v>
      </c>
      <c r="D953" s="1" t="s">
        <v>3187</v>
      </c>
      <c r="E953" s="1" t="s">
        <v>7588</v>
      </c>
      <c r="F953" s="1" t="s">
        <v>17169</v>
      </c>
      <c r="G953" s="1" t="s">
        <v>17170</v>
      </c>
      <c r="H953" s="1" t="s">
        <v>17171</v>
      </c>
      <c r="I953" s="1" t="s">
        <v>17172</v>
      </c>
      <c r="J953" s="1">
        <v>7278881818</v>
      </c>
      <c r="K953" s="1" t="s">
        <v>79</v>
      </c>
      <c r="L953" s="1" t="s">
        <v>17173</v>
      </c>
      <c r="M953" s="1" t="s">
        <v>81</v>
      </c>
      <c r="N953" s="1" t="s">
        <v>1418</v>
      </c>
      <c r="O953" s="1"/>
      <c r="P953" s="1" t="s">
        <v>1323</v>
      </c>
      <c r="Q953" s="1" t="s">
        <v>17174</v>
      </c>
      <c r="R953" s="1" t="s">
        <v>17175</v>
      </c>
      <c r="S953" s="1">
        <v>9890930951</v>
      </c>
      <c r="T953" s="1" t="s">
        <v>1147</v>
      </c>
      <c r="U953" s="1" t="s">
        <v>17176</v>
      </c>
      <c r="V953" s="1">
        <v>9890930951</v>
      </c>
      <c r="W953" s="1" t="s">
        <v>156</v>
      </c>
      <c r="X953" s="1" t="s">
        <v>17177</v>
      </c>
      <c r="Y953" s="1" t="s">
        <v>191</v>
      </c>
      <c r="Z953" s="1" t="s">
        <v>92</v>
      </c>
      <c r="AA953" s="1" t="s">
        <v>17177</v>
      </c>
      <c r="AB953" s="1" t="s">
        <v>191</v>
      </c>
      <c r="AC953" s="1" t="s">
        <v>92</v>
      </c>
      <c r="AD953" s="1">
        <v>8.85</v>
      </c>
      <c r="AE953" s="1" t="s">
        <v>93</v>
      </c>
      <c r="AF953" s="1" t="s">
        <v>17178</v>
      </c>
      <c r="AG953" s="1" t="s">
        <v>476</v>
      </c>
      <c r="AH953" s="1" t="s">
        <v>96</v>
      </c>
      <c r="AI953" s="1" t="s">
        <v>97</v>
      </c>
      <c r="AJ953" s="1">
        <v>83.2</v>
      </c>
      <c r="AK953" s="1"/>
      <c r="AL953" s="1" t="s">
        <v>17179</v>
      </c>
      <c r="AM953" s="1" t="s">
        <v>476</v>
      </c>
      <c r="AN953" s="1" t="s">
        <v>162</v>
      </c>
      <c r="AO953" s="1" t="s">
        <v>1332</v>
      </c>
      <c r="AP953" s="1">
        <v>63.38</v>
      </c>
      <c r="AQ953" s="1"/>
      <c r="AR953" s="1"/>
      <c r="AS953" s="1"/>
      <c r="AT953" s="1"/>
      <c r="AU953" s="1"/>
      <c r="AV953" s="1"/>
      <c r="AW953" s="1"/>
      <c r="AX953" s="1" t="s">
        <v>361</v>
      </c>
      <c r="AY953" s="1" t="s">
        <v>17180</v>
      </c>
      <c r="AZ953" s="1" t="s">
        <v>165</v>
      </c>
      <c r="BA953" s="1" t="s">
        <v>1834</v>
      </c>
      <c r="BB953" s="1">
        <v>69.04</v>
      </c>
      <c r="BC953" s="1"/>
      <c r="BD953" s="1"/>
      <c r="BE953" s="1"/>
      <c r="BF953" s="1"/>
      <c r="BG953" s="1"/>
      <c r="BH953" s="1"/>
      <c r="BI953" s="1"/>
      <c r="BJ953" s="1" t="s">
        <v>4112</v>
      </c>
      <c r="BK953" s="1" t="s">
        <v>17181</v>
      </c>
      <c r="BL953" s="1" t="s">
        <v>4207</v>
      </c>
      <c r="BM953" s="1" t="s">
        <v>17182</v>
      </c>
      <c r="BN953" s="1">
        <v>60</v>
      </c>
      <c r="BO953" s="1"/>
      <c r="BP953" s="1" t="str">
        <f>HYPERLINK("https://nconnect.nicmar.ac.in/storage/profile/ProfilePhoto_P25703015_461932.jpg","Download")</f>
        <v>0</v>
      </c>
      <c r="BQ953" s="3"/>
      <c r="BR953" s="3"/>
    </row>
    <row r="954" spans="1:70">
      <c r="A954" s="1" t="s">
        <v>552</v>
      </c>
      <c r="B954" s="1" t="s">
        <v>1269</v>
      </c>
      <c r="C954" s="1" t="s">
        <v>17183</v>
      </c>
      <c r="D954" s="1" t="s">
        <v>17184</v>
      </c>
      <c r="E954" s="1"/>
      <c r="F954" s="1" t="s">
        <v>17185</v>
      </c>
      <c r="G954" s="1" t="s">
        <v>17186</v>
      </c>
      <c r="H954" s="1" t="s">
        <v>17187</v>
      </c>
      <c r="I954" s="1" t="s">
        <v>17188</v>
      </c>
      <c r="J954" s="1">
        <v>8989439955</v>
      </c>
      <c r="K954" s="1" t="s">
        <v>148</v>
      </c>
      <c r="L954" s="1" t="s">
        <v>1297</v>
      </c>
      <c r="M954" s="1" t="s">
        <v>81</v>
      </c>
      <c r="N954" s="1" t="s">
        <v>5056</v>
      </c>
      <c r="O954" s="1" t="s">
        <v>17189</v>
      </c>
      <c r="P954" s="1" t="s">
        <v>1323</v>
      </c>
      <c r="Q954" s="1" t="s">
        <v>17190</v>
      </c>
      <c r="R954" s="1" t="s">
        <v>17191</v>
      </c>
      <c r="S954" s="1">
        <v>9425676019</v>
      </c>
      <c r="T954" s="1" t="s">
        <v>17192</v>
      </c>
      <c r="U954" s="1" t="s">
        <v>17193</v>
      </c>
      <c r="V954" s="1">
        <v>9425676019</v>
      </c>
      <c r="W954" s="1" t="s">
        <v>156</v>
      </c>
      <c r="X954" s="1" t="s">
        <v>17194</v>
      </c>
      <c r="Y954" s="1" t="s">
        <v>191</v>
      </c>
      <c r="Z954" s="1" t="s">
        <v>92</v>
      </c>
      <c r="AA954" s="1" t="s">
        <v>17195</v>
      </c>
      <c r="AB954" s="1" t="s">
        <v>935</v>
      </c>
      <c r="AC954" s="1" t="s">
        <v>936</v>
      </c>
      <c r="AD954" s="1">
        <v>7.93</v>
      </c>
      <c r="AE954" s="1" t="s">
        <v>93</v>
      </c>
      <c r="AF954" s="1" t="s">
        <v>17196</v>
      </c>
      <c r="AG954" s="1" t="s">
        <v>9727</v>
      </c>
      <c r="AH954" s="1" t="s">
        <v>281</v>
      </c>
      <c r="AI954" s="1" t="s">
        <v>308</v>
      </c>
      <c r="AJ954" s="1">
        <v>74</v>
      </c>
      <c r="AK954" s="1"/>
      <c r="AL954" s="1" t="s">
        <v>17196</v>
      </c>
      <c r="AM954" s="1" t="s">
        <v>9727</v>
      </c>
      <c r="AN954" s="1" t="s">
        <v>941</v>
      </c>
      <c r="AO954" s="1" t="s">
        <v>506</v>
      </c>
      <c r="AP954" s="1">
        <v>81</v>
      </c>
      <c r="AQ954" s="1"/>
      <c r="AR954" s="1"/>
      <c r="AS954" s="1"/>
      <c r="AT954" s="1"/>
      <c r="AU954" s="1"/>
      <c r="AV954" s="1"/>
      <c r="AW954" s="1"/>
      <c r="AX954" s="1" t="s">
        <v>17197</v>
      </c>
      <c r="AY954" s="1" t="s">
        <v>17198</v>
      </c>
      <c r="AZ954" s="1" t="s">
        <v>436</v>
      </c>
      <c r="BA954" s="1" t="s">
        <v>413</v>
      </c>
      <c r="BB954" s="1">
        <v>66.1</v>
      </c>
      <c r="BC954" s="1">
        <v>6.61</v>
      </c>
      <c r="BD954" s="1"/>
      <c r="BE954" s="1"/>
      <c r="BF954" s="1"/>
      <c r="BG954" s="1"/>
      <c r="BH954" s="1"/>
      <c r="BI954" s="1"/>
      <c r="BJ954" s="1" t="s">
        <v>734</v>
      </c>
      <c r="BK954" s="1"/>
      <c r="BL954" s="1"/>
      <c r="BM954" s="1" t="s">
        <v>17199</v>
      </c>
      <c r="BN954" s="1">
        <v>8</v>
      </c>
      <c r="BO954" s="1"/>
      <c r="BP954" s="1" t="str">
        <f>HYPERLINK("https://nconnect.nicmar.ac.in/storage/profile/ProfilePhoto_P25703016_352178.jpg","Download")</f>
        <v>0</v>
      </c>
      <c r="BQ954" s="3"/>
      <c r="BR954" s="3"/>
    </row>
    <row r="955" spans="1:70">
      <c r="A955" s="1" t="s">
        <v>552</v>
      </c>
      <c r="B955" s="1" t="s">
        <v>1269</v>
      </c>
      <c r="C955" s="1" t="s">
        <v>17200</v>
      </c>
      <c r="D955" s="1" t="s">
        <v>6372</v>
      </c>
      <c r="E955" s="1" t="s">
        <v>17201</v>
      </c>
      <c r="F955" s="1" t="s">
        <v>7882</v>
      </c>
      <c r="G955" s="1" t="s">
        <v>17202</v>
      </c>
      <c r="H955" s="1" t="s">
        <v>17203</v>
      </c>
      <c r="I955" s="1" t="s">
        <v>17204</v>
      </c>
      <c r="J955" s="1">
        <v>9370348171</v>
      </c>
      <c r="K955" s="1" t="s">
        <v>79</v>
      </c>
      <c r="L955" s="1" t="s">
        <v>17205</v>
      </c>
      <c r="M955" s="1" t="s">
        <v>81</v>
      </c>
      <c r="N955" s="1" t="s">
        <v>9198</v>
      </c>
      <c r="O955" s="1"/>
      <c r="P955" s="1" t="s">
        <v>1766</v>
      </c>
      <c r="Q955" s="1" t="s">
        <v>17206</v>
      </c>
      <c r="R955" s="1" t="s">
        <v>17207</v>
      </c>
      <c r="S955" s="1">
        <v>7083028414</v>
      </c>
      <c r="T955" s="1" t="s">
        <v>842</v>
      </c>
      <c r="U955" s="1" t="s">
        <v>17208</v>
      </c>
      <c r="V955" s="1">
        <v>8805616167</v>
      </c>
      <c r="W955" s="1" t="s">
        <v>156</v>
      </c>
      <c r="X955" s="1" t="s">
        <v>17209</v>
      </c>
      <c r="Y955" s="1" t="s">
        <v>2790</v>
      </c>
      <c r="Z955" s="1" t="s">
        <v>92</v>
      </c>
      <c r="AA955" s="1" t="s">
        <v>17209</v>
      </c>
      <c r="AB955" s="1" t="s">
        <v>2790</v>
      </c>
      <c r="AC955" s="1" t="s">
        <v>92</v>
      </c>
      <c r="AD955" s="1">
        <v>6.59</v>
      </c>
      <c r="AE955" s="1" t="s">
        <v>93</v>
      </c>
      <c r="AF955" s="1" t="s">
        <v>17210</v>
      </c>
      <c r="AG955" s="1" t="s">
        <v>17211</v>
      </c>
      <c r="AH955" s="1" t="s">
        <v>479</v>
      </c>
      <c r="AI955" s="1" t="s">
        <v>166</v>
      </c>
      <c r="AJ955" s="1">
        <v>88.8</v>
      </c>
      <c r="AK955" s="1"/>
      <c r="AL955" s="1" t="s">
        <v>17212</v>
      </c>
      <c r="AM955" s="1" t="s">
        <v>17211</v>
      </c>
      <c r="AN955" s="1" t="s">
        <v>308</v>
      </c>
      <c r="AO955" s="1" t="s">
        <v>412</v>
      </c>
      <c r="AP955" s="1">
        <v>68.31</v>
      </c>
      <c r="AQ955" s="1"/>
      <c r="AR955" s="1"/>
      <c r="AS955" s="1"/>
      <c r="AT955" s="1"/>
      <c r="AU955" s="1"/>
      <c r="AV955" s="1"/>
      <c r="AW955" s="1"/>
      <c r="AX955" s="1" t="s">
        <v>361</v>
      </c>
      <c r="AY955" s="1" t="s">
        <v>17213</v>
      </c>
      <c r="AZ955" s="1" t="s">
        <v>682</v>
      </c>
      <c r="BA955" s="1" t="s">
        <v>413</v>
      </c>
      <c r="BB955" s="1">
        <v>72.2</v>
      </c>
      <c r="BC955" s="1">
        <v>7.69</v>
      </c>
      <c r="BD955" s="1"/>
      <c r="BE955" s="1"/>
      <c r="BF955" s="1"/>
      <c r="BG955" s="1"/>
      <c r="BH955" s="1"/>
      <c r="BI955" s="1"/>
      <c r="BJ955" s="1" t="s">
        <v>734</v>
      </c>
      <c r="BK955" s="1"/>
      <c r="BL955" s="1"/>
      <c r="BM955" s="1"/>
      <c r="BN955" s="1"/>
      <c r="BO955" s="1"/>
      <c r="BP955" s="1" t="str">
        <f>HYPERLINK("https://nconnect.nicmar.ac.in/storage/profile/ProfilePhoto_P25703017_348917.jpg","Download")</f>
        <v>0</v>
      </c>
      <c r="BQ955" s="3"/>
      <c r="BR955" s="3"/>
    </row>
    <row r="956" spans="1:70">
      <c r="A956" s="1" t="s">
        <v>552</v>
      </c>
      <c r="B956" s="1" t="s">
        <v>1269</v>
      </c>
      <c r="C956" s="1" t="s">
        <v>17214</v>
      </c>
      <c r="D956" s="1" t="s">
        <v>2896</v>
      </c>
      <c r="E956" s="1" t="s">
        <v>1455</v>
      </c>
      <c r="F956" s="1" t="s">
        <v>17215</v>
      </c>
      <c r="G956" s="1" t="s">
        <v>17216</v>
      </c>
      <c r="H956" s="1" t="s">
        <v>17217</v>
      </c>
      <c r="I956" s="1" t="s">
        <v>17218</v>
      </c>
      <c r="J956" s="1">
        <v>8856913448</v>
      </c>
      <c r="K956" s="1" t="s">
        <v>79</v>
      </c>
      <c r="L956" s="1" t="s">
        <v>9182</v>
      </c>
      <c r="M956" s="1" t="s">
        <v>81</v>
      </c>
      <c r="N956" s="1" t="s">
        <v>860</v>
      </c>
      <c r="O956" s="1"/>
      <c r="P956" s="1"/>
      <c r="Q956" s="1" t="s">
        <v>17219</v>
      </c>
      <c r="R956" s="1" t="s">
        <v>1455</v>
      </c>
      <c r="S956" s="1">
        <v>9422431767</v>
      </c>
      <c r="T956" s="1" t="s">
        <v>7444</v>
      </c>
      <c r="U956" s="1" t="s">
        <v>301</v>
      </c>
      <c r="V956" s="1">
        <v>8483892546</v>
      </c>
      <c r="W956" s="1" t="s">
        <v>156</v>
      </c>
      <c r="X956" s="1" t="s">
        <v>17220</v>
      </c>
      <c r="Y956" s="1" t="s">
        <v>1887</v>
      </c>
      <c r="Z956" s="1" t="s">
        <v>92</v>
      </c>
      <c r="AA956" s="1" t="s">
        <v>17220</v>
      </c>
      <c r="AB956" s="1" t="s">
        <v>1887</v>
      </c>
      <c r="AC956" s="1" t="s">
        <v>92</v>
      </c>
      <c r="AD956" s="1">
        <v>8.13</v>
      </c>
      <c r="AE956" s="1" t="s">
        <v>93</v>
      </c>
      <c r="AF956" s="1" t="s">
        <v>17221</v>
      </c>
      <c r="AG956" s="1" t="s">
        <v>160</v>
      </c>
      <c r="AH956" s="1" t="s">
        <v>162</v>
      </c>
      <c r="AI956" s="1" t="s">
        <v>479</v>
      </c>
      <c r="AJ956" s="1">
        <v>83.2</v>
      </c>
      <c r="AK956" s="1"/>
      <c r="AL956" s="1" t="s">
        <v>17222</v>
      </c>
      <c r="AM956" s="1" t="s">
        <v>160</v>
      </c>
      <c r="AN956" s="1" t="s">
        <v>101</v>
      </c>
      <c r="AO956" s="1" t="s">
        <v>1065</v>
      </c>
      <c r="AP956" s="1">
        <v>66.46</v>
      </c>
      <c r="AQ956" s="1"/>
      <c r="AR956" s="1"/>
      <c r="AS956" s="1"/>
      <c r="AT956" s="1"/>
      <c r="AU956" s="1"/>
      <c r="AV956" s="1"/>
      <c r="AW956" s="1"/>
      <c r="AX956" s="1" t="s">
        <v>1892</v>
      </c>
      <c r="AY956" s="1" t="s">
        <v>13751</v>
      </c>
      <c r="AZ956" s="1" t="s">
        <v>201</v>
      </c>
      <c r="BA956" s="1" t="s">
        <v>682</v>
      </c>
      <c r="BB956" s="1">
        <v>63.2</v>
      </c>
      <c r="BC956" s="1">
        <v>7.07</v>
      </c>
      <c r="BD956" s="1"/>
      <c r="BE956" s="1"/>
      <c r="BF956" s="1"/>
      <c r="BG956" s="1"/>
      <c r="BH956" s="1"/>
      <c r="BI956" s="1"/>
      <c r="BJ956" s="1" t="s">
        <v>364</v>
      </c>
      <c r="BK956" s="1"/>
      <c r="BL956" s="1"/>
      <c r="BM956" s="1" t="s">
        <v>17223</v>
      </c>
      <c r="BN956" s="1">
        <v>21</v>
      </c>
      <c r="BO956" s="1" t="s">
        <v>17224</v>
      </c>
      <c r="BP956" s="1" t="str">
        <f>HYPERLINK("https://nconnect.nicmar.ac.in/storage/profile/ProfilePhoto_P25703020_189736.jpg","Download")</f>
        <v>0</v>
      </c>
      <c r="BQ956" s="3"/>
      <c r="BR956" s="3"/>
    </row>
    <row r="957" spans="1:70">
      <c r="A957" s="1" t="s">
        <v>552</v>
      </c>
      <c r="B957" s="1" t="s">
        <v>1269</v>
      </c>
      <c r="C957" s="1" t="s">
        <v>17225</v>
      </c>
      <c r="D957" s="1" t="s">
        <v>17226</v>
      </c>
      <c r="E957" s="1"/>
      <c r="F957" s="1" t="s">
        <v>3548</v>
      </c>
      <c r="G957" s="1" t="s">
        <v>17227</v>
      </c>
      <c r="H957" s="1" t="s">
        <v>17228</v>
      </c>
      <c r="I957" s="1" t="s">
        <v>17229</v>
      </c>
      <c r="J957" s="1">
        <v>9627176190</v>
      </c>
      <c r="K957" s="1" t="s">
        <v>79</v>
      </c>
      <c r="L957" s="1" t="s">
        <v>17230</v>
      </c>
      <c r="M957" s="1" t="s">
        <v>81</v>
      </c>
      <c r="N957" s="1" t="s">
        <v>82</v>
      </c>
      <c r="O957" s="1"/>
      <c r="P957" s="1" t="s">
        <v>1298</v>
      </c>
      <c r="Q957" s="1" t="s">
        <v>17231</v>
      </c>
      <c r="R957" s="1" t="s">
        <v>17232</v>
      </c>
      <c r="S957" s="1">
        <v>9759199626</v>
      </c>
      <c r="T957" s="1" t="s">
        <v>154</v>
      </c>
      <c r="U957" s="1" t="s">
        <v>17233</v>
      </c>
      <c r="V957" s="1">
        <v>9368986593</v>
      </c>
      <c r="W957" s="1" t="s">
        <v>89</v>
      </c>
      <c r="X957" s="1" t="s">
        <v>17234</v>
      </c>
      <c r="Y957" s="1" t="s">
        <v>5719</v>
      </c>
      <c r="Z957" s="1" t="s">
        <v>1355</v>
      </c>
      <c r="AA957" s="1" t="s">
        <v>17234</v>
      </c>
      <c r="AB957" s="1" t="s">
        <v>5719</v>
      </c>
      <c r="AC957" s="1" t="s">
        <v>1355</v>
      </c>
      <c r="AD957" s="1">
        <v>7.59</v>
      </c>
      <c r="AE957" s="1" t="s">
        <v>93</v>
      </c>
      <c r="AF957" s="1" t="s">
        <v>17235</v>
      </c>
      <c r="AG957" s="1" t="s">
        <v>17236</v>
      </c>
      <c r="AH957" s="1" t="s">
        <v>1065</v>
      </c>
      <c r="AI957" s="1" t="s">
        <v>699</v>
      </c>
      <c r="AJ957" s="1">
        <v>71.83</v>
      </c>
      <c r="AK957" s="1">
        <v>7.56</v>
      </c>
      <c r="AL957" s="1" t="s">
        <v>17235</v>
      </c>
      <c r="AM957" s="1" t="s">
        <v>17236</v>
      </c>
      <c r="AN957" s="1" t="s">
        <v>3088</v>
      </c>
      <c r="AO957" s="1" t="s">
        <v>284</v>
      </c>
      <c r="AP957" s="1">
        <v>58.4</v>
      </c>
      <c r="AQ957" s="1">
        <v>6.14</v>
      </c>
      <c r="AR957" s="1"/>
      <c r="AS957" s="1"/>
      <c r="AT957" s="1"/>
      <c r="AU957" s="1"/>
      <c r="AV957" s="1"/>
      <c r="AW957" s="1"/>
      <c r="AX957" s="1" t="s">
        <v>17237</v>
      </c>
      <c r="AY957" s="1" t="s">
        <v>17238</v>
      </c>
      <c r="AZ957" s="1" t="s">
        <v>481</v>
      </c>
      <c r="BA957" s="1" t="s">
        <v>1584</v>
      </c>
      <c r="BB957" s="1">
        <v>71.02</v>
      </c>
      <c r="BC957" s="1"/>
      <c r="BD957" s="1"/>
      <c r="BE957" s="1"/>
      <c r="BF957" s="1"/>
      <c r="BG957" s="1"/>
      <c r="BH957" s="1"/>
      <c r="BI957" s="1"/>
      <c r="BJ957" s="1" t="s">
        <v>4112</v>
      </c>
      <c r="BK957" s="1"/>
      <c r="BL957" s="1"/>
      <c r="BM957" s="1"/>
      <c r="BN957" s="1"/>
      <c r="BO957" s="1" t="s">
        <v>17239</v>
      </c>
      <c r="BP957" s="1" t="str">
        <f>HYPERLINK("https://nconnect.nicmar.ac.in/storage/profile/ProfilePhoto_P25703021_349281.jpg","Download")</f>
        <v>0</v>
      </c>
      <c r="BQ957" s="3"/>
      <c r="BR957" s="3"/>
    </row>
    <row r="958" spans="1:70">
      <c r="A958" s="1" t="s">
        <v>552</v>
      </c>
      <c r="B958" s="1" t="s">
        <v>1269</v>
      </c>
      <c r="C958" s="1" t="s">
        <v>17240</v>
      </c>
      <c r="D958" s="1" t="s">
        <v>11676</v>
      </c>
      <c r="E958" s="1" t="s">
        <v>513</v>
      </c>
      <c r="F958" s="1" t="s">
        <v>7794</v>
      </c>
      <c r="G958" s="1" t="s">
        <v>17241</v>
      </c>
      <c r="H958" s="1" t="s">
        <v>17242</v>
      </c>
      <c r="I958" s="1" t="s">
        <v>17243</v>
      </c>
      <c r="J958" s="1">
        <v>8767817626</v>
      </c>
      <c r="K958" s="1" t="s">
        <v>148</v>
      </c>
      <c r="L958" s="1" t="s">
        <v>17244</v>
      </c>
      <c r="M958" s="1" t="s">
        <v>81</v>
      </c>
      <c r="N958" s="1" t="s">
        <v>1418</v>
      </c>
      <c r="O958" s="1"/>
      <c r="P958" s="1" t="s">
        <v>1323</v>
      </c>
      <c r="Q958" s="1" t="s">
        <v>17245</v>
      </c>
      <c r="R958" s="1" t="s">
        <v>17246</v>
      </c>
      <c r="S958" s="1">
        <v>9112618330</v>
      </c>
      <c r="T958" s="1" t="s">
        <v>13777</v>
      </c>
      <c r="U958" s="1" t="s">
        <v>17247</v>
      </c>
      <c r="V958" s="1">
        <v>9325719433</v>
      </c>
      <c r="W958" s="1" t="s">
        <v>156</v>
      </c>
      <c r="X958" s="1" t="s">
        <v>17248</v>
      </c>
      <c r="Y958" s="1" t="s">
        <v>91</v>
      </c>
      <c r="Z958" s="1" t="s">
        <v>92</v>
      </c>
      <c r="AA958" s="1" t="s">
        <v>17248</v>
      </c>
      <c r="AB958" s="1" t="s">
        <v>91</v>
      </c>
      <c r="AC958" s="1" t="s">
        <v>92</v>
      </c>
      <c r="AD958" s="1">
        <v>7.46</v>
      </c>
      <c r="AE958" s="1" t="s">
        <v>93</v>
      </c>
      <c r="AF958" s="1" t="s">
        <v>17249</v>
      </c>
      <c r="AG958" s="1" t="s">
        <v>476</v>
      </c>
      <c r="AH958" s="1" t="s">
        <v>101</v>
      </c>
      <c r="AI958" s="1" t="s">
        <v>409</v>
      </c>
      <c r="AJ958" s="1">
        <v>79.2</v>
      </c>
      <c r="AK958" s="1"/>
      <c r="AL958" s="1" t="s">
        <v>17250</v>
      </c>
      <c r="AM958" s="1" t="s">
        <v>476</v>
      </c>
      <c r="AN958" s="1" t="s">
        <v>412</v>
      </c>
      <c r="AO958" s="1" t="s">
        <v>504</v>
      </c>
      <c r="AP958" s="1">
        <v>90.17</v>
      </c>
      <c r="AQ958" s="1"/>
      <c r="AR958" s="1"/>
      <c r="AS958" s="1"/>
      <c r="AT958" s="1"/>
      <c r="AU958" s="1"/>
      <c r="AV958" s="1"/>
      <c r="AW958" s="1"/>
      <c r="AX958" s="1" t="s">
        <v>10208</v>
      </c>
      <c r="AY958" s="1" t="s">
        <v>15564</v>
      </c>
      <c r="AZ958" s="1" t="s">
        <v>1131</v>
      </c>
      <c r="BA958" s="1" t="s">
        <v>702</v>
      </c>
      <c r="BB958" s="1">
        <v>59.5</v>
      </c>
      <c r="BC958" s="1">
        <v>5.95</v>
      </c>
      <c r="BD958" s="1"/>
      <c r="BE958" s="1"/>
      <c r="BF958" s="1"/>
      <c r="BG958" s="1"/>
      <c r="BH958" s="1"/>
      <c r="BI958" s="1"/>
      <c r="BJ958" s="1" t="s">
        <v>4112</v>
      </c>
      <c r="BK958" s="1"/>
      <c r="BL958" s="1"/>
      <c r="BM958" s="1"/>
      <c r="BN958" s="1"/>
      <c r="BO958" s="1"/>
      <c r="BP958" s="1" t="str">
        <f>HYPERLINK("https://nconnect.nicmar.ac.in/storage/profile/ProfilePhoto_P25703022_834792.jpg","Download")</f>
        <v>0</v>
      </c>
      <c r="BQ958" s="3"/>
      <c r="BR958" s="3"/>
    </row>
    <row r="959" spans="1:70">
      <c r="A959" s="1" t="s">
        <v>552</v>
      </c>
      <c r="B959" s="1" t="s">
        <v>1269</v>
      </c>
      <c r="C959" s="1" t="s">
        <v>17251</v>
      </c>
      <c r="D959" s="1" t="s">
        <v>8507</v>
      </c>
      <c r="E959" s="1"/>
      <c r="F959" s="1" t="s">
        <v>9021</v>
      </c>
      <c r="G959" s="1" t="s">
        <v>17252</v>
      </c>
      <c r="H959" s="1" t="s">
        <v>17253</v>
      </c>
      <c r="I959" s="1" t="s">
        <v>17254</v>
      </c>
      <c r="J959" s="1">
        <v>9122423202</v>
      </c>
      <c r="K959" s="1" t="s">
        <v>79</v>
      </c>
      <c r="L959" s="1" t="s">
        <v>17255</v>
      </c>
      <c r="M959" s="1" t="s">
        <v>81</v>
      </c>
      <c r="N959" s="1" t="s">
        <v>241</v>
      </c>
      <c r="O959" s="1"/>
      <c r="P959" s="1" t="s">
        <v>1323</v>
      </c>
      <c r="Q959" s="1" t="s">
        <v>17256</v>
      </c>
      <c r="R959" s="1" t="s">
        <v>17257</v>
      </c>
      <c r="S959" s="1">
        <v>7979933985</v>
      </c>
      <c r="T959" s="1" t="s">
        <v>17258</v>
      </c>
      <c r="U959" s="1" t="s">
        <v>17259</v>
      </c>
      <c r="V959" s="1">
        <v>7369000179</v>
      </c>
      <c r="W959" s="1" t="s">
        <v>89</v>
      </c>
      <c r="X959" s="1" t="s">
        <v>17260</v>
      </c>
      <c r="Y959" s="1" t="s">
        <v>17261</v>
      </c>
      <c r="Z959" s="1" t="s">
        <v>846</v>
      </c>
      <c r="AA959" s="1" t="s">
        <v>17260</v>
      </c>
      <c r="AB959" s="1" t="s">
        <v>17261</v>
      </c>
      <c r="AC959" s="1" t="s">
        <v>846</v>
      </c>
      <c r="AD959" s="1">
        <v>7.73</v>
      </c>
      <c r="AE959" s="1" t="s">
        <v>93</v>
      </c>
      <c r="AF959" s="1" t="s">
        <v>17262</v>
      </c>
      <c r="AG959" s="1" t="s">
        <v>7138</v>
      </c>
      <c r="AH959" s="1" t="s">
        <v>279</v>
      </c>
      <c r="AI959" s="1" t="s">
        <v>165</v>
      </c>
      <c r="AJ959" s="1">
        <v>85.5</v>
      </c>
      <c r="AK959" s="1">
        <v>9</v>
      </c>
      <c r="AL959" s="1" t="s">
        <v>17263</v>
      </c>
      <c r="AM959" s="1" t="s">
        <v>7138</v>
      </c>
      <c r="AN959" s="1" t="s">
        <v>166</v>
      </c>
      <c r="AO959" s="1" t="s">
        <v>308</v>
      </c>
      <c r="AP959" s="1">
        <v>66</v>
      </c>
      <c r="AQ959" s="1"/>
      <c r="AR959" s="1"/>
      <c r="AS959" s="1"/>
      <c r="AT959" s="1"/>
      <c r="AU959" s="1"/>
      <c r="AV959" s="1"/>
      <c r="AW959" s="1"/>
      <c r="AX959" s="1" t="s">
        <v>17264</v>
      </c>
      <c r="AY959" s="1" t="s">
        <v>17265</v>
      </c>
      <c r="AZ959" s="1" t="s">
        <v>436</v>
      </c>
      <c r="BA959" s="1" t="s">
        <v>944</v>
      </c>
      <c r="BB959" s="1">
        <v>75.13</v>
      </c>
      <c r="BC959" s="1"/>
      <c r="BD959" s="1"/>
      <c r="BE959" s="1"/>
      <c r="BF959" s="1"/>
      <c r="BG959" s="1"/>
      <c r="BH959" s="1"/>
      <c r="BI959" s="1"/>
      <c r="BJ959" s="1" t="s">
        <v>4112</v>
      </c>
      <c r="BK959" s="1"/>
      <c r="BL959" s="1"/>
      <c r="BM959" s="1" t="s">
        <v>17266</v>
      </c>
      <c r="BN959" s="1">
        <v>7</v>
      </c>
      <c r="BO959" s="1" t="s">
        <v>17267</v>
      </c>
      <c r="BP959" s="1" t="str">
        <f>HYPERLINK("https://nconnect.nicmar.ac.in/storage/profile/ProfilePhoto_P25703023_618729.jpg","Download")</f>
        <v>0</v>
      </c>
      <c r="BQ959" s="3"/>
      <c r="BR959" s="3"/>
    </row>
    <row r="960" spans="1:70">
      <c r="A960" s="1" t="s">
        <v>552</v>
      </c>
      <c r="B960" s="1" t="s">
        <v>1269</v>
      </c>
      <c r="C960" s="1" t="s">
        <v>17268</v>
      </c>
      <c r="D960" s="1" t="s">
        <v>17269</v>
      </c>
      <c r="E960" s="1"/>
      <c r="F960" s="1" t="s">
        <v>17270</v>
      </c>
      <c r="G960" s="1" t="s">
        <v>17271</v>
      </c>
      <c r="H960" s="1" t="s">
        <v>17272</v>
      </c>
      <c r="I960" s="1" t="s">
        <v>17273</v>
      </c>
      <c r="J960" s="1">
        <v>9861116372</v>
      </c>
      <c r="K960" s="1" t="s">
        <v>148</v>
      </c>
      <c r="L960" s="1" t="s">
        <v>17274</v>
      </c>
      <c r="M960" s="1" t="s">
        <v>81</v>
      </c>
      <c r="N960" s="1" t="s">
        <v>17275</v>
      </c>
      <c r="O960" s="1"/>
      <c r="P960" s="1" t="s">
        <v>1323</v>
      </c>
      <c r="Q960" s="1" t="s">
        <v>17276</v>
      </c>
      <c r="R960" s="1" t="s">
        <v>17277</v>
      </c>
      <c r="S960" s="1">
        <v>9337836550</v>
      </c>
      <c r="T960" s="1" t="s">
        <v>842</v>
      </c>
      <c r="U960" s="1" t="s">
        <v>17278</v>
      </c>
      <c r="V960" s="1">
        <v>8249213208</v>
      </c>
      <c r="W960" s="1" t="s">
        <v>651</v>
      </c>
      <c r="X960" s="1" t="s">
        <v>17279</v>
      </c>
      <c r="Y960" s="1" t="s">
        <v>2096</v>
      </c>
      <c r="Z960" s="1" t="s">
        <v>1731</v>
      </c>
      <c r="AA960" s="1" t="s">
        <v>17279</v>
      </c>
      <c r="AB960" s="1" t="s">
        <v>2096</v>
      </c>
      <c r="AC960" s="1" t="s">
        <v>1731</v>
      </c>
      <c r="AD960" s="1">
        <v>9.19</v>
      </c>
      <c r="AE960" s="1" t="s">
        <v>93</v>
      </c>
      <c r="AF960" s="1" t="s">
        <v>17280</v>
      </c>
      <c r="AG960" s="1" t="s">
        <v>17281</v>
      </c>
      <c r="AH960" s="1" t="s">
        <v>503</v>
      </c>
      <c r="AI960" s="1" t="s">
        <v>527</v>
      </c>
      <c r="AJ960" s="1">
        <v>81.7</v>
      </c>
      <c r="AK960" s="1">
        <v>8.6</v>
      </c>
      <c r="AL960" s="1" t="s">
        <v>17282</v>
      </c>
      <c r="AM960" s="1" t="s">
        <v>17281</v>
      </c>
      <c r="AN960" s="1" t="s">
        <v>527</v>
      </c>
      <c r="AO960" s="1" t="s">
        <v>166</v>
      </c>
      <c r="AP960" s="1">
        <v>60.16</v>
      </c>
      <c r="AQ960" s="1"/>
      <c r="AR960" s="1"/>
      <c r="AS960" s="1"/>
      <c r="AT960" s="1"/>
      <c r="AU960" s="1"/>
      <c r="AV960" s="1"/>
      <c r="AW960" s="1"/>
      <c r="AX960" s="1" t="s">
        <v>2833</v>
      </c>
      <c r="AY960" s="1" t="s">
        <v>17283</v>
      </c>
      <c r="AZ960" s="1" t="s">
        <v>636</v>
      </c>
      <c r="BA960" s="1" t="s">
        <v>174</v>
      </c>
      <c r="BB960" s="1">
        <v>81.2</v>
      </c>
      <c r="BC960" s="1">
        <v>8.12</v>
      </c>
      <c r="BD960" s="1"/>
      <c r="BE960" s="1"/>
      <c r="BF960" s="1"/>
      <c r="BG960" s="1"/>
      <c r="BH960" s="1"/>
      <c r="BI960" s="1"/>
      <c r="BJ960" s="1" t="s">
        <v>17284</v>
      </c>
      <c r="BK960" s="1"/>
      <c r="BL960" s="1"/>
      <c r="BM960" s="1" t="s">
        <v>17285</v>
      </c>
      <c r="BN960" s="1">
        <v>19</v>
      </c>
      <c r="BO960" s="1"/>
      <c r="BP960" s="1" t="str">
        <f>HYPERLINK("https://nconnect.nicmar.ac.in/storage/profile/ProfilePhoto_P25703024_753916.jpg","Download")</f>
        <v>0</v>
      </c>
      <c r="BQ960" s="3"/>
      <c r="BR960" s="3"/>
    </row>
    <row r="961" spans="1:70">
      <c r="A961" s="1" t="s">
        <v>552</v>
      </c>
      <c r="B961" s="1" t="s">
        <v>1269</v>
      </c>
      <c r="C961" s="1" t="s">
        <v>17286</v>
      </c>
      <c r="D961" s="1" t="s">
        <v>17287</v>
      </c>
      <c r="E961" s="1" t="s">
        <v>262</v>
      </c>
      <c r="F961" s="1" t="s">
        <v>17288</v>
      </c>
      <c r="G961" s="1" t="s">
        <v>17289</v>
      </c>
      <c r="H961" s="1" t="s">
        <v>17290</v>
      </c>
      <c r="I961" s="1" t="s">
        <v>17291</v>
      </c>
      <c r="J961" s="1">
        <v>7569202194</v>
      </c>
      <c r="K961" s="1" t="s">
        <v>79</v>
      </c>
      <c r="L961" s="1" t="s">
        <v>17292</v>
      </c>
      <c r="M961" s="1" t="s">
        <v>81</v>
      </c>
      <c r="N961" s="1" t="s">
        <v>3290</v>
      </c>
      <c r="O961" s="1"/>
      <c r="P961" s="1" t="s">
        <v>2507</v>
      </c>
      <c r="Q961" s="1" t="s">
        <v>17293</v>
      </c>
      <c r="R961" s="1" t="s">
        <v>17294</v>
      </c>
      <c r="S961" s="1">
        <v>9848954962</v>
      </c>
      <c r="T961" s="1" t="s">
        <v>17295</v>
      </c>
      <c r="U961" s="1" t="s">
        <v>17296</v>
      </c>
      <c r="V961" s="1">
        <v>9705125634</v>
      </c>
      <c r="W961" s="1" t="s">
        <v>496</v>
      </c>
      <c r="X961" s="1" t="s">
        <v>17297</v>
      </c>
      <c r="Y961" s="1" t="s">
        <v>608</v>
      </c>
      <c r="Z961" s="1" t="s">
        <v>609</v>
      </c>
      <c r="AA961" s="1" t="s">
        <v>17297</v>
      </c>
      <c r="AB961" s="1" t="s">
        <v>608</v>
      </c>
      <c r="AC961" s="1" t="s">
        <v>609</v>
      </c>
      <c r="AD961" s="1">
        <v>6.63</v>
      </c>
      <c r="AE961" s="1" t="s">
        <v>93</v>
      </c>
      <c r="AF961" s="1" t="s">
        <v>3467</v>
      </c>
      <c r="AG961" s="1" t="s">
        <v>611</v>
      </c>
      <c r="AH961" s="1" t="s">
        <v>161</v>
      </c>
      <c r="AI961" s="1" t="s">
        <v>195</v>
      </c>
      <c r="AJ961" s="1">
        <v>80</v>
      </c>
      <c r="AK961" s="1">
        <v>8</v>
      </c>
      <c r="AL961" s="1" t="s">
        <v>2421</v>
      </c>
      <c r="AM961" s="1" t="s">
        <v>613</v>
      </c>
      <c r="AN961" s="1" t="s">
        <v>165</v>
      </c>
      <c r="AO961" s="1" t="s">
        <v>409</v>
      </c>
      <c r="AP961" s="1">
        <v>66.4</v>
      </c>
      <c r="AQ961" s="1">
        <v>6.6</v>
      </c>
      <c r="AR961" s="1"/>
      <c r="AS961" s="1"/>
      <c r="AT961" s="1"/>
      <c r="AU961" s="1"/>
      <c r="AV961" s="1"/>
      <c r="AW961" s="1"/>
      <c r="AX961" s="1" t="s">
        <v>3356</v>
      </c>
      <c r="AY961" s="1" t="s">
        <v>17298</v>
      </c>
      <c r="AZ961" s="1" t="s">
        <v>436</v>
      </c>
      <c r="BA961" s="1" t="s">
        <v>413</v>
      </c>
      <c r="BB961" s="1">
        <v>70.3</v>
      </c>
      <c r="BC961" s="1">
        <v>7.03</v>
      </c>
      <c r="BD961" s="1"/>
      <c r="BE961" s="1"/>
      <c r="BF961" s="1"/>
      <c r="BG961" s="1"/>
      <c r="BH961" s="1"/>
      <c r="BI961" s="1"/>
      <c r="BJ961" s="1" t="s">
        <v>734</v>
      </c>
      <c r="BK961" s="1"/>
      <c r="BL961" s="1"/>
      <c r="BM961" s="1" t="s">
        <v>17299</v>
      </c>
      <c r="BN961" s="1">
        <v>8</v>
      </c>
      <c r="BO961" s="1"/>
      <c r="BP961" s="1" t="str">
        <f>HYPERLINK("https://nconnect.nicmar.ac.in/storage/profile/ProfilePhoto_P25703025_329654.jpg","Download")</f>
        <v>0</v>
      </c>
      <c r="BQ961" s="3"/>
      <c r="BR961" s="3"/>
    </row>
    <row r="962" spans="1:70">
      <c r="A962" s="1" t="s">
        <v>552</v>
      </c>
      <c r="B962" s="1" t="s">
        <v>1269</v>
      </c>
      <c r="C962" s="1" t="s">
        <v>17300</v>
      </c>
      <c r="D962" s="1" t="s">
        <v>17301</v>
      </c>
      <c r="E962" s="1"/>
      <c r="F962" s="1" t="s">
        <v>12288</v>
      </c>
      <c r="G962" s="1" t="s">
        <v>17302</v>
      </c>
      <c r="H962" s="1" t="s">
        <v>17303</v>
      </c>
      <c r="I962" s="1" t="s">
        <v>17304</v>
      </c>
      <c r="J962" s="1">
        <v>9792555169</v>
      </c>
      <c r="K962" s="1" t="s">
        <v>148</v>
      </c>
      <c r="L962" s="1" t="s">
        <v>10391</v>
      </c>
      <c r="M962" s="1" t="s">
        <v>81</v>
      </c>
      <c r="N962" s="1" t="s">
        <v>13793</v>
      </c>
      <c r="O962" s="1"/>
      <c r="P962" s="1" t="s">
        <v>1323</v>
      </c>
      <c r="Q962" s="1" t="s">
        <v>17305</v>
      </c>
      <c r="R962" s="1" t="s">
        <v>17306</v>
      </c>
      <c r="S962" s="1">
        <v>9125921538</v>
      </c>
      <c r="T962" s="1" t="s">
        <v>122</v>
      </c>
      <c r="U962" s="1" t="s">
        <v>12294</v>
      </c>
      <c r="V962" s="1">
        <v>9511049332</v>
      </c>
      <c r="W962" s="1" t="s">
        <v>89</v>
      </c>
      <c r="X962" s="1" t="s">
        <v>17307</v>
      </c>
      <c r="Y962" s="1" t="s">
        <v>17308</v>
      </c>
      <c r="Z962" s="1" t="s">
        <v>1355</v>
      </c>
      <c r="AA962" s="1" t="s">
        <v>17307</v>
      </c>
      <c r="AB962" s="1" t="s">
        <v>17308</v>
      </c>
      <c r="AC962" s="1" t="s">
        <v>1355</v>
      </c>
      <c r="AD962" s="1">
        <v>8.09</v>
      </c>
      <c r="AE962" s="1" t="s">
        <v>93</v>
      </c>
      <c r="AF962" s="1" t="s">
        <v>17309</v>
      </c>
      <c r="AG962" s="1" t="s">
        <v>17310</v>
      </c>
      <c r="AH962" s="1" t="s">
        <v>97</v>
      </c>
      <c r="AI962" s="1" t="s">
        <v>162</v>
      </c>
      <c r="AJ962" s="1">
        <v>81.7</v>
      </c>
      <c r="AK962" s="1">
        <v>8.6</v>
      </c>
      <c r="AL962" s="1" t="s">
        <v>17311</v>
      </c>
      <c r="AM962" s="1" t="s">
        <v>17312</v>
      </c>
      <c r="AN962" s="1" t="s">
        <v>678</v>
      </c>
      <c r="AO962" s="1" t="s">
        <v>101</v>
      </c>
      <c r="AP962" s="1">
        <v>67.6</v>
      </c>
      <c r="AQ962" s="1"/>
      <c r="AR962" s="1"/>
      <c r="AS962" s="1"/>
      <c r="AT962" s="1"/>
      <c r="AU962" s="1"/>
      <c r="AV962" s="1"/>
      <c r="AW962" s="1"/>
      <c r="AX962" s="1" t="s">
        <v>17313</v>
      </c>
      <c r="AY962" s="1" t="s">
        <v>17314</v>
      </c>
      <c r="AZ962" s="1" t="s">
        <v>169</v>
      </c>
      <c r="BA962" s="1" t="s">
        <v>436</v>
      </c>
      <c r="BB962" s="1">
        <v>54.06</v>
      </c>
      <c r="BC962" s="1"/>
      <c r="BD962" s="1"/>
      <c r="BE962" s="1"/>
      <c r="BF962" s="1"/>
      <c r="BG962" s="1"/>
      <c r="BH962" s="1"/>
      <c r="BI962" s="1"/>
      <c r="BJ962" s="1" t="s">
        <v>17315</v>
      </c>
      <c r="BK962" s="1" t="s">
        <v>17316</v>
      </c>
      <c r="BL962" s="1" t="s">
        <v>1629</v>
      </c>
      <c r="BM962" s="1" t="s">
        <v>17317</v>
      </c>
      <c r="BN962" s="1">
        <v>24</v>
      </c>
      <c r="BO962" s="1" t="s">
        <v>17318</v>
      </c>
      <c r="BP962" s="1" t="str">
        <f>HYPERLINK("https://nconnect.nicmar.ac.in/storage/profile/ProfilePhoto_P25703026_473982.jpg","Download")</f>
        <v>0</v>
      </c>
      <c r="BQ962" s="3"/>
      <c r="BR962" s="3"/>
    </row>
    <row r="963" spans="1:70">
      <c r="A963" s="1" t="s">
        <v>552</v>
      </c>
      <c r="B963" s="1" t="s">
        <v>1269</v>
      </c>
      <c r="C963" s="1" t="s">
        <v>17319</v>
      </c>
      <c r="D963" s="1" t="s">
        <v>17320</v>
      </c>
      <c r="E963" s="1"/>
      <c r="F963" s="1" t="s">
        <v>1226</v>
      </c>
      <c r="G963" s="1" t="s">
        <v>17321</v>
      </c>
      <c r="H963" s="1" t="s">
        <v>17322</v>
      </c>
      <c r="I963" s="1" t="s">
        <v>17323</v>
      </c>
      <c r="J963" s="1">
        <v>9971701710</v>
      </c>
      <c r="K963" s="1" t="s">
        <v>148</v>
      </c>
      <c r="L963" s="1" t="s">
        <v>17324</v>
      </c>
      <c r="M963" s="1" t="s">
        <v>150</v>
      </c>
      <c r="N963" s="1" t="s">
        <v>241</v>
      </c>
      <c r="O963" s="1"/>
      <c r="P963" s="1" t="s">
        <v>1323</v>
      </c>
      <c r="Q963" s="1" t="s">
        <v>17325</v>
      </c>
      <c r="R963" s="1" t="s">
        <v>17326</v>
      </c>
      <c r="S963" s="1">
        <v>9971701710</v>
      </c>
      <c r="T963" s="1" t="s">
        <v>93</v>
      </c>
      <c r="U963" s="1" t="s">
        <v>17327</v>
      </c>
      <c r="V963" s="1">
        <v>9530047407</v>
      </c>
      <c r="W963" s="1" t="s">
        <v>156</v>
      </c>
      <c r="X963" s="1" t="s">
        <v>17328</v>
      </c>
      <c r="Y963" s="1" t="s">
        <v>2949</v>
      </c>
      <c r="Z963" s="1" t="s">
        <v>867</v>
      </c>
      <c r="AA963" s="1" t="s">
        <v>17328</v>
      </c>
      <c r="AB963" s="1" t="s">
        <v>2949</v>
      </c>
      <c r="AC963" s="1" t="s">
        <v>867</v>
      </c>
      <c r="AD963" s="1">
        <v>9.82</v>
      </c>
      <c r="AE963" s="1" t="s">
        <v>93</v>
      </c>
      <c r="AF963" s="1" t="s">
        <v>17329</v>
      </c>
      <c r="AG963" s="1" t="s">
        <v>894</v>
      </c>
      <c r="AH963" s="1" t="s">
        <v>10793</v>
      </c>
      <c r="AI963" s="1" t="s">
        <v>2995</v>
      </c>
      <c r="AJ963" s="1">
        <v>75.4</v>
      </c>
      <c r="AK963" s="1"/>
      <c r="AL963" s="1" t="s">
        <v>17329</v>
      </c>
      <c r="AM963" s="1" t="s">
        <v>894</v>
      </c>
      <c r="AN963" s="1" t="s">
        <v>725</v>
      </c>
      <c r="AO963" s="1" t="s">
        <v>1670</v>
      </c>
      <c r="AP963" s="1">
        <v>71.6</v>
      </c>
      <c r="AQ963" s="1"/>
      <c r="AR963" s="1"/>
      <c r="AS963" s="1"/>
      <c r="AT963" s="1"/>
      <c r="AU963" s="1"/>
      <c r="AV963" s="1"/>
      <c r="AW963" s="1"/>
      <c r="AX963" s="1" t="s">
        <v>17330</v>
      </c>
      <c r="AY963" s="1" t="s">
        <v>17331</v>
      </c>
      <c r="AZ963" s="1" t="s">
        <v>249</v>
      </c>
      <c r="BA963" s="1" t="s">
        <v>161</v>
      </c>
      <c r="BB963" s="1">
        <v>76.4</v>
      </c>
      <c r="BC963" s="1"/>
      <c r="BD963" s="1" t="s">
        <v>17332</v>
      </c>
      <c r="BE963" s="1" t="s">
        <v>17333</v>
      </c>
      <c r="BF963" s="1" t="s">
        <v>337</v>
      </c>
      <c r="BG963" s="1" t="s">
        <v>165</v>
      </c>
      <c r="BH963" s="1">
        <v>74.42</v>
      </c>
      <c r="BI963" s="1"/>
      <c r="BJ963" s="1" t="s">
        <v>734</v>
      </c>
      <c r="BK963" s="1" t="s">
        <v>17334</v>
      </c>
      <c r="BL963" s="1" t="s">
        <v>4933</v>
      </c>
      <c r="BM963" s="1" t="s">
        <v>17335</v>
      </c>
      <c r="BN963" s="1">
        <v>40</v>
      </c>
      <c r="BO963" s="1"/>
      <c r="BP963" s="1" t="str">
        <f>HYPERLINK("https://nconnect.nicmar.ac.in/storage/profile/ProfilePhoto_P25703027_638754.jpg","Download")</f>
        <v>0</v>
      </c>
      <c r="BQ963" s="3"/>
      <c r="BR963" s="3"/>
    </row>
    <row r="964" spans="1:70">
      <c r="A964" s="1" t="s">
        <v>552</v>
      </c>
      <c r="B964" s="1" t="s">
        <v>1269</v>
      </c>
      <c r="C964" s="1" t="s">
        <v>17336</v>
      </c>
      <c r="D964" s="1" t="s">
        <v>17337</v>
      </c>
      <c r="E964" s="1" t="s">
        <v>17338</v>
      </c>
      <c r="F964" s="1" t="s">
        <v>17339</v>
      </c>
      <c r="G964" s="1" t="s">
        <v>17340</v>
      </c>
      <c r="H964" s="1" t="s">
        <v>17341</v>
      </c>
      <c r="I964" s="1" t="s">
        <v>17342</v>
      </c>
      <c r="J964" s="1">
        <v>9765373493</v>
      </c>
      <c r="K964" s="1" t="s">
        <v>79</v>
      </c>
      <c r="L964" s="1" t="s">
        <v>17343</v>
      </c>
      <c r="M964" s="1" t="s">
        <v>81</v>
      </c>
      <c r="N964" s="1" t="s">
        <v>17344</v>
      </c>
      <c r="O964" s="1"/>
      <c r="P964" s="1" t="s">
        <v>1298</v>
      </c>
      <c r="Q964" s="1" t="s">
        <v>17345</v>
      </c>
      <c r="R964" s="1" t="s">
        <v>17346</v>
      </c>
      <c r="S964" s="1">
        <v>9665199540</v>
      </c>
      <c r="T964" s="1" t="s">
        <v>154</v>
      </c>
      <c r="U964" s="1" t="s">
        <v>17347</v>
      </c>
      <c r="V964" s="1">
        <v>9665199540</v>
      </c>
      <c r="W964" s="1" t="s">
        <v>154</v>
      </c>
      <c r="X964" s="1" t="s">
        <v>17348</v>
      </c>
      <c r="Y964" s="1" t="s">
        <v>219</v>
      </c>
      <c r="Z964" s="1" t="s">
        <v>92</v>
      </c>
      <c r="AA964" s="1" t="s">
        <v>17348</v>
      </c>
      <c r="AB964" s="1" t="s">
        <v>219</v>
      </c>
      <c r="AC964" s="1" t="s">
        <v>92</v>
      </c>
      <c r="AD964" s="1" t="s">
        <v>93</v>
      </c>
      <c r="AE964" s="1" t="s">
        <v>93</v>
      </c>
      <c r="AF964" s="1" t="s">
        <v>17349</v>
      </c>
      <c r="AG964" s="1" t="s">
        <v>17350</v>
      </c>
      <c r="AH964" s="1" t="s">
        <v>130</v>
      </c>
      <c r="AI964" s="1" t="s">
        <v>97</v>
      </c>
      <c r="AJ964" s="1">
        <v>68.4</v>
      </c>
      <c r="AK964" s="1"/>
      <c r="AL964" s="1"/>
      <c r="AM964" s="1"/>
      <c r="AN964" s="1"/>
      <c r="AO964" s="1"/>
      <c r="AP964" s="1"/>
      <c r="AQ964" s="1"/>
      <c r="AR964" s="1" t="s">
        <v>98</v>
      </c>
      <c r="AS964" s="1" t="s">
        <v>17351</v>
      </c>
      <c r="AT964" s="1" t="s">
        <v>337</v>
      </c>
      <c r="AU964" s="1" t="s">
        <v>433</v>
      </c>
      <c r="AV964" s="1">
        <v>71.94</v>
      </c>
      <c r="AW964" s="1"/>
      <c r="AX964" s="1" t="s">
        <v>361</v>
      </c>
      <c r="AY964" s="1" t="s">
        <v>17352</v>
      </c>
      <c r="AZ964" s="1" t="s">
        <v>173</v>
      </c>
      <c r="BA964" s="1" t="s">
        <v>682</v>
      </c>
      <c r="BB964" s="1">
        <v>73.7</v>
      </c>
      <c r="BC964" s="1">
        <v>8.12</v>
      </c>
      <c r="BD964" s="1"/>
      <c r="BE964" s="1"/>
      <c r="BF964" s="1"/>
      <c r="BG964" s="1"/>
      <c r="BH964" s="1"/>
      <c r="BI964" s="1"/>
      <c r="BJ964" s="1" t="s">
        <v>17353</v>
      </c>
      <c r="BK964" s="1" t="s">
        <v>17354</v>
      </c>
      <c r="BL964" s="1" t="s">
        <v>8345</v>
      </c>
      <c r="BM964" s="1"/>
      <c r="BN964" s="1"/>
      <c r="BO964" s="1"/>
      <c r="BP964" s="1" t="str">
        <f>HYPERLINK("https://nconnect.nicmar.ac.in/storage/profile/ProfilePhoto_P25703028_281695.jpg","Download")</f>
        <v>0</v>
      </c>
      <c r="BQ964" s="3"/>
      <c r="BR964" s="3"/>
    </row>
    <row r="965" spans="1:70">
      <c r="A965" s="1" t="s">
        <v>552</v>
      </c>
      <c r="B965" s="1" t="s">
        <v>1269</v>
      </c>
      <c r="C965" s="1" t="s">
        <v>17355</v>
      </c>
      <c r="D965" s="1" t="s">
        <v>17356</v>
      </c>
      <c r="E965" s="1"/>
      <c r="F965" s="1" t="s">
        <v>17357</v>
      </c>
      <c r="G965" s="1" t="s">
        <v>17358</v>
      </c>
      <c r="H965" s="1" t="s">
        <v>17359</v>
      </c>
      <c r="I965" s="1" t="s">
        <v>17360</v>
      </c>
      <c r="J965" s="1">
        <v>9508582245</v>
      </c>
      <c r="K965" s="1" t="s">
        <v>148</v>
      </c>
      <c r="L965" s="1" t="s">
        <v>17361</v>
      </c>
      <c r="M965" s="1" t="s">
        <v>81</v>
      </c>
      <c r="N965" s="1" t="s">
        <v>350</v>
      </c>
      <c r="O965" s="1"/>
      <c r="P965" s="1" t="s">
        <v>1278</v>
      </c>
      <c r="Q965" s="1" t="s">
        <v>17362</v>
      </c>
      <c r="R965" s="1" t="s">
        <v>17363</v>
      </c>
      <c r="S965" s="1">
        <v>9123435051</v>
      </c>
      <c r="T965" s="1" t="s">
        <v>842</v>
      </c>
      <c r="U965" s="1" t="s">
        <v>17364</v>
      </c>
      <c r="V965" s="1">
        <v>9153580282</v>
      </c>
      <c r="W965" s="1" t="s">
        <v>156</v>
      </c>
      <c r="X965" s="1" t="s">
        <v>17365</v>
      </c>
      <c r="Y965" s="1" t="s">
        <v>17261</v>
      </c>
      <c r="Z965" s="1" t="s">
        <v>846</v>
      </c>
      <c r="AA965" s="1" t="s">
        <v>17365</v>
      </c>
      <c r="AB965" s="1" t="s">
        <v>17261</v>
      </c>
      <c r="AC965" s="1" t="s">
        <v>846</v>
      </c>
      <c r="AD965" s="1" t="s">
        <v>93</v>
      </c>
      <c r="AE965" s="1" t="s">
        <v>93</v>
      </c>
      <c r="AF965" s="1" t="s">
        <v>17366</v>
      </c>
      <c r="AG965" s="1" t="s">
        <v>1470</v>
      </c>
      <c r="AH965" s="1" t="s">
        <v>456</v>
      </c>
      <c r="AI965" s="1" t="s">
        <v>479</v>
      </c>
      <c r="AJ965" s="1">
        <v>67</v>
      </c>
      <c r="AK965" s="1">
        <v>7.05</v>
      </c>
      <c r="AL965" s="1" t="s">
        <v>17367</v>
      </c>
      <c r="AM965" s="1" t="s">
        <v>17368</v>
      </c>
      <c r="AN965" s="1" t="s">
        <v>281</v>
      </c>
      <c r="AO965" s="1" t="s">
        <v>104</v>
      </c>
      <c r="AP965" s="1">
        <v>72</v>
      </c>
      <c r="AQ965" s="1">
        <v>7.58</v>
      </c>
      <c r="AR965" s="1"/>
      <c r="AS965" s="1"/>
      <c r="AT965" s="1"/>
      <c r="AU965" s="1"/>
      <c r="AV965" s="1"/>
      <c r="AW965" s="1"/>
      <c r="AX965" s="1" t="s">
        <v>17369</v>
      </c>
      <c r="AY965" s="1" t="s">
        <v>17370</v>
      </c>
      <c r="AZ965" s="1" t="s">
        <v>699</v>
      </c>
      <c r="BA965" s="1" t="s">
        <v>1134</v>
      </c>
      <c r="BB965" s="1">
        <v>72.5</v>
      </c>
      <c r="BC965" s="1"/>
      <c r="BD965" s="1"/>
      <c r="BE965" s="1"/>
      <c r="BF965" s="1"/>
      <c r="BG965" s="1"/>
      <c r="BH965" s="1"/>
      <c r="BI965" s="1"/>
      <c r="BJ965" s="1" t="s">
        <v>734</v>
      </c>
      <c r="BK965" s="1"/>
      <c r="BL965" s="1"/>
      <c r="BM965" s="1"/>
      <c r="BN965" s="1"/>
      <c r="BO965" s="1"/>
      <c r="BP965" s="1" t="str">
        <f>HYPERLINK("https://nconnect.nicmar.ac.in/storage/profile/ProfilePhoto_P25703029_945782.jpg","Download")</f>
        <v>0</v>
      </c>
      <c r="BQ965" s="3"/>
      <c r="BR965" s="3"/>
    </row>
    <row r="966" spans="1:70">
      <c r="A966" s="1" t="s">
        <v>552</v>
      </c>
      <c r="B966" s="1" t="s">
        <v>1269</v>
      </c>
      <c r="C966" s="1" t="s">
        <v>17371</v>
      </c>
      <c r="D966" s="1" t="s">
        <v>17372</v>
      </c>
      <c r="E966" s="1"/>
      <c r="F966" s="1" t="s">
        <v>6761</v>
      </c>
      <c r="G966" s="1" t="s">
        <v>17373</v>
      </c>
      <c r="H966" s="1" t="s">
        <v>17374</v>
      </c>
      <c r="I966" s="1" t="s">
        <v>17375</v>
      </c>
      <c r="J966" s="1">
        <v>9146039824</v>
      </c>
      <c r="K966" s="1" t="s">
        <v>148</v>
      </c>
      <c r="L966" s="1" t="s">
        <v>17376</v>
      </c>
      <c r="M966" s="1" t="s">
        <v>81</v>
      </c>
      <c r="N966" s="1" t="s">
        <v>14033</v>
      </c>
      <c r="O966" s="1"/>
      <c r="P966" s="1" t="s">
        <v>1298</v>
      </c>
      <c r="Q966" s="1" t="s">
        <v>17377</v>
      </c>
      <c r="R966" s="1" t="s">
        <v>17378</v>
      </c>
      <c r="S966" s="1">
        <v>7028628022</v>
      </c>
      <c r="T966" s="1" t="s">
        <v>17379</v>
      </c>
      <c r="U966" s="1" t="s">
        <v>17380</v>
      </c>
      <c r="V966" s="1">
        <v>9226752018</v>
      </c>
      <c r="W966" s="1" t="s">
        <v>156</v>
      </c>
      <c r="X966" s="1" t="s">
        <v>17381</v>
      </c>
      <c r="Y966" s="1" t="s">
        <v>191</v>
      </c>
      <c r="Z966" s="1" t="s">
        <v>92</v>
      </c>
      <c r="AA966" s="1" t="s">
        <v>17381</v>
      </c>
      <c r="AB966" s="1" t="s">
        <v>191</v>
      </c>
      <c r="AC966" s="1" t="s">
        <v>92</v>
      </c>
      <c r="AD966" s="1">
        <v>8.73</v>
      </c>
      <c r="AE966" s="1" t="s">
        <v>93</v>
      </c>
      <c r="AF966" s="1" t="s">
        <v>17382</v>
      </c>
      <c r="AG966" s="1" t="s">
        <v>307</v>
      </c>
      <c r="AH966" s="1" t="s">
        <v>279</v>
      </c>
      <c r="AI966" s="1" t="s">
        <v>383</v>
      </c>
      <c r="AJ966" s="1">
        <v>74.1</v>
      </c>
      <c r="AK966" s="1">
        <v>7.8</v>
      </c>
      <c r="AL966" s="1" t="s">
        <v>17382</v>
      </c>
      <c r="AM966" s="1" t="s">
        <v>307</v>
      </c>
      <c r="AN966" s="1" t="s">
        <v>281</v>
      </c>
      <c r="AO966" s="1" t="s">
        <v>308</v>
      </c>
      <c r="AP966" s="1">
        <v>80</v>
      </c>
      <c r="AQ966" s="1"/>
      <c r="AR966" s="1"/>
      <c r="AS966" s="1"/>
      <c r="AT966" s="1"/>
      <c r="AU966" s="1"/>
      <c r="AV966" s="1"/>
      <c r="AW966" s="1"/>
      <c r="AX966" s="1" t="s">
        <v>361</v>
      </c>
      <c r="AY966" s="1" t="s">
        <v>17383</v>
      </c>
      <c r="AZ966" s="1" t="s">
        <v>310</v>
      </c>
      <c r="BA966" s="1" t="s">
        <v>874</v>
      </c>
      <c r="BB966" s="1">
        <v>82.96</v>
      </c>
      <c r="BC966" s="1">
        <v>8.86</v>
      </c>
      <c r="BD966" s="1"/>
      <c r="BE966" s="1"/>
      <c r="BF966" s="1"/>
      <c r="BG966" s="1"/>
      <c r="BH966" s="1"/>
      <c r="BI966" s="1"/>
      <c r="BJ966" s="1" t="s">
        <v>4112</v>
      </c>
      <c r="BK966" s="1"/>
      <c r="BL966" s="1"/>
      <c r="BM966" s="1" t="s">
        <v>17384</v>
      </c>
      <c r="BN966" s="1">
        <v>23</v>
      </c>
      <c r="BO966" s="1" t="s">
        <v>17385</v>
      </c>
      <c r="BP966" s="1" t="str">
        <f>HYPERLINK("https://nconnect.nicmar.ac.in/storage/profile/ProfilePhoto_P25703030_982536.jpg","Download")</f>
        <v>0</v>
      </c>
      <c r="BQ966" s="3"/>
      <c r="BR966" s="3"/>
    </row>
    <row r="967" spans="1:70">
      <c r="A967" s="1" t="s">
        <v>552</v>
      </c>
      <c r="B967" s="1" t="s">
        <v>1269</v>
      </c>
      <c r="C967" s="1" t="s">
        <v>17386</v>
      </c>
      <c r="D967" s="1" t="s">
        <v>17387</v>
      </c>
      <c r="E967" s="1"/>
      <c r="F967" s="1" t="s">
        <v>111</v>
      </c>
      <c r="G967" s="1" t="s">
        <v>17388</v>
      </c>
      <c r="H967" s="1" t="s">
        <v>17389</v>
      </c>
      <c r="I967" s="1" t="s">
        <v>17390</v>
      </c>
      <c r="J967" s="1">
        <v>8547292749</v>
      </c>
      <c r="K967" s="1" t="s">
        <v>148</v>
      </c>
      <c r="L967" s="1" t="s">
        <v>17391</v>
      </c>
      <c r="M967" s="1" t="s">
        <v>81</v>
      </c>
      <c r="N967" s="1" t="s">
        <v>3955</v>
      </c>
      <c r="O967" s="1"/>
      <c r="P967" s="1" t="s">
        <v>1323</v>
      </c>
      <c r="Q967" s="1" t="s">
        <v>17392</v>
      </c>
      <c r="R967" s="1" t="s">
        <v>17393</v>
      </c>
      <c r="S967" s="1">
        <v>9495155695</v>
      </c>
      <c r="T967" s="1" t="s">
        <v>120</v>
      </c>
      <c r="U967" s="1" t="s">
        <v>17394</v>
      </c>
      <c r="V967" s="1">
        <v>9446842375</v>
      </c>
      <c r="W967" s="1" t="s">
        <v>120</v>
      </c>
      <c r="X967" s="1" t="s">
        <v>17395</v>
      </c>
      <c r="Y967" s="1" t="s">
        <v>1260</v>
      </c>
      <c r="Z967" s="1" t="s">
        <v>125</v>
      </c>
      <c r="AA967" s="1" t="s">
        <v>17395</v>
      </c>
      <c r="AB967" s="1" t="s">
        <v>1260</v>
      </c>
      <c r="AC967" s="1" t="s">
        <v>125</v>
      </c>
      <c r="AD967" s="1">
        <v>9.1</v>
      </c>
      <c r="AE967" s="1" t="s">
        <v>93</v>
      </c>
      <c r="AF967" s="1" t="s">
        <v>17396</v>
      </c>
      <c r="AG967" s="1" t="s">
        <v>17397</v>
      </c>
      <c r="AH967" s="1" t="s">
        <v>162</v>
      </c>
      <c r="AI967" s="1" t="s">
        <v>195</v>
      </c>
      <c r="AJ967" s="1">
        <v>89.3</v>
      </c>
      <c r="AK967" s="1">
        <v>9.4</v>
      </c>
      <c r="AL967" s="1" t="s">
        <v>17396</v>
      </c>
      <c r="AM967" s="1" t="s">
        <v>17397</v>
      </c>
      <c r="AN967" s="1" t="s">
        <v>101</v>
      </c>
      <c r="AO967" s="1" t="s">
        <v>409</v>
      </c>
      <c r="AP967" s="1">
        <v>93.8</v>
      </c>
      <c r="AQ967" s="1">
        <v>0</v>
      </c>
      <c r="AR967" s="1"/>
      <c r="AS967" s="1"/>
      <c r="AT967" s="1"/>
      <c r="AU967" s="1"/>
      <c r="AV967" s="1"/>
      <c r="AW967" s="1"/>
      <c r="AX967" s="1" t="s">
        <v>729</v>
      </c>
      <c r="AY967" s="1" t="s">
        <v>17398</v>
      </c>
      <c r="AZ967" s="1" t="s">
        <v>506</v>
      </c>
      <c r="BA967" s="1" t="s">
        <v>1939</v>
      </c>
      <c r="BB967" s="1">
        <v>70.76</v>
      </c>
      <c r="BC967" s="1">
        <v>7.07</v>
      </c>
      <c r="BD967" s="1"/>
      <c r="BE967" s="1"/>
      <c r="BF967" s="1"/>
      <c r="BG967" s="1"/>
      <c r="BH967" s="1"/>
      <c r="BI967" s="1"/>
      <c r="BJ967" s="1" t="s">
        <v>17399</v>
      </c>
      <c r="BK967" s="1"/>
      <c r="BL967" s="1"/>
      <c r="BM967" s="1" t="s">
        <v>17400</v>
      </c>
      <c r="BN967" s="1">
        <v>9</v>
      </c>
      <c r="BO967" s="1"/>
      <c r="BP967" s="1" t="str">
        <f>HYPERLINK("https://nconnect.nicmar.ac.in/storage/profile/ProfilePhoto_P25703031_654879.jpg","Download")</f>
        <v>0</v>
      </c>
      <c r="BQ967" s="3"/>
      <c r="BR967" s="3"/>
    </row>
    <row r="968" spans="1:70">
      <c r="A968" s="1" t="s">
        <v>552</v>
      </c>
      <c r="B968" s="1" t="s">
        <v>1269</v>
      </c>
      <c r="C968" s="1" t="s">
        <v>17401</v>
      </c>
      <c r="D968" s="1" t="s">
        <v>533</v>
      </c>
      <c r="E968" s="1" t="s">
        <v>1032</v>
      </c>
      <c r="F968" s="1" t="s">
        <v>17402</v>
      </c>
      <c r="G968" s="1" t="s">
        <v>17403</v>
      </c>
      <c r="H968" s="1" t="s">
        <v>17404</v>
      </c>
      <c r="I968" s="1" t="s">
        <v>17405</v>
      </c>
      <c r="J968" s="1">
        <v>9969358907</v>
      </c>
      <c r="K968" s="1" t="s">
        <v>79</v>
      </c>
      <c r="L968" s="1" t="s">
        <v>17406</v>
      </c>
      <c r="M968" s="1" t="s">
        <v>81</v>
      </c>
      <c r="N968" s="1" t="s">
        <v>1765</v>
      </c>
      <c r="O968" s="1"/>
      <c r="P968" s="1" t="s">
        <v>1278</v>
      </c>
      <c r="Q968" s="1" t="s">
        <v>17407</v>
      </c>
      <c r="R968" s="1" t="s">
        <v>1032</v>
      </c>
      <c r="S968" s="1">
        <v>9930019435</v>
      </c>
      <c r="T968" s="1" t="s">
        <v>763</v>
      </c>
      <c r="U968" s="1" t="s">
        <v>7729</v>
      </c>
      <c r="V968" s="1">
        <v>7045841499</v>
      </c>
      <c r="W968" s="1" t="s">
        <v>763</v>
      </c>
      <c r="X968" s="1" t="s">
        <v>17408</v>
      </c>
      <c r="Y968" s="1" t="s">
        <v>523</v>
      </c>
      <c r="Z968" s="1" t="s">
        <v>92</v>
      </c>
      <c r="AA968" s="1" t="s">
        <v>17408</v>
      </c>
      <c r="AB968" s="1" t="s">
        <v>523</v>
      </c>
      <c r="AC968" s="1" t="s">
        <v>92</v>
      </c>
      <c r="AD968" s="1" t="s">
        <v>93</v>
      </c>
      <c r="AE968" s="1" t="s">
        <v>93</v>
      </c>
      <c r="AF968" s="1" t="s">
        <v>17409</v>
      </c>
      <c r="AG968" s="1" t="s">
        <v>17410</v>
      </c>
      <c r="AH968" s="1" t="s">
        <v>101</v>
      </c>
      <c r="AI968" s="1" t="s">
        <v>433</v>
      </c>
      <c r="AJ968" s="1">
        <v>66</v>
      </c>
      <c r="AK968" s="1"/>
      <c r="AL968" s="1" t="s">
        <v>17411</v>
      </c>
      <c r="AM968" s="1" t="s">
        <v>455</v>
      </c>
      <c r="AN968" s="1" t="s">
        <v>173</v>
      </c>
      <c r="AO968" s="1" t="s">
        <v>1131</v>
      </c>
      <c r="AP968" s="1">
        <v>88.17</v>
      </c>
      <c r="AQ968" s="1"/>
      <c r="AR968" s="1"/>
      <c r="AS968" s="1"/>
      <c r="AT968" s="1"/>
      <c r="AU968" s="1"/>
      <c r="AV968" s="1"/>
      <c r="AW968" s="1"/>
      <c r="AX968" s="1" t="s">
        <v>253</v>
      </c>
      <c r="AY968" s="1" t="s">
        <v>17412</v>
      </c>
      <c r="AZ968" s="1" t="s">
        <v>1131</v>
      </c>
      <c r="BA968" s="1" t="s">
        <v>413</v>
      </c>
      <c r="BB968" s="1">
        <v>52.39</v>
      </c>
      <c r="BC968" s="1"/>
      <c r="BD968" s="1"/>
      <c r="BE968" s="1"/>
      <c r="BF968" s="1"/>
      <c r="BG968" s="1"/>
      <c r="BH968" s="1"/>
      <c r="BI968" s="1"/>
      <c r="BJ968" s="1" t="s">
        <v>17413</v>
      </c>
      <c r="BK968" s="1"/>
      <c r="BL968" s="1"/>
      <c r="BM968" s="1" t="s">
        <v>17414</v>
      </c>
      <c r="BN968" s="1">
        <v>7</v>
      </c>
      <c r="BO968" s="1"/>
      <c r="BP968" s="1" t="str">
        <f>HYPERLINK("https://nconnect.nicmar.ac.in/storage/profile/ProfilePhoto_P25703032_493712.jpg","Download")</f>
        <v>0</v>
      </c>
      <c r="BQ968" s="3"/>
      <c r="BR968" s="3"/>
    </row>
    <row r="969" spans="1:70">
      <c r="A969" s="1" t="s">
        <v>552</v>
      </c>
      <c r="B969" s="1" t="s">
        <v>1269</v>
      </c>
      <c r="C969" s="1" t="s">
        <v>17415</v>
      </c>
      <c r="D969" s="1" t="s">
        <v>17416</v>
      </c>
      <c r="E969" s="1" t="s">
        <v>9817</v>
      </c>
      <c r="F969" s="1" t="s">
        <v>13535</v>
      </c>
      <c r="G969" s="1" t="s">
        <v>17417</v>
      </c>
      <c r="H969" s="1" t="s">
        <v>17418</v>
      </c>
      <c r="I969" s="1" t="s">
        <v>17419</v>
      </c>
      <c r="J969" s="1">
        <v>9409411468</v>
      </c>
      <c r="K969" s="1" t="s">
        <v>79</v>
      </c>
      <c r="L969" s="1" t="s">
        <v>17420</v>
      </c>
      <c r="M969" s="1" t="s">
        <v>81</v>
      </c>
      <c r="N969" s="1" t="s">
        <v>17421</v>
      </c>
      <c r="O969" s="1"/>
      <c r="P969" s="1" t="s">
        <v>1278</v>
      </c>
      <c r="Q969" s="1" t="s">
        <v>17422</v>
      </c>
      <c r="R969" s="1" t="s">
        <v>17423</v>
      </c>
      <c r="S969" s="1">
        <v>9824298968</v>
      </c>
      <c r="T969" s="1" t="s">
        <v>271</v>
      </c>
      <c r="U969" s="1" t="s">
        <v>17424</v>
      </c>
      <c r="V969" s="1">
        <v>9924514924</v>
      </c>
      <c r="W969" s="1" t="s">
        <v>651</v>
      </c>
      <c r="X969" s="1" t="s">
        <v>17425</v>
      </c>
      <c r="Y969" s="1" t="s">
        <v>17426</v>
      </c>
      <c r="Z969" s="1" t="s">
        <v>1468</v>
      </c>
      <c r="AA969" s="1" t="s">
        <v>17425</v>
      </c>
      <c r="AB969" s="1" t="s">
        <v>17426</v>
      </c>
      <c r="AC969" s="1" t="s">
        <v>1468</v>
      </c>
      <c r="AD969" s="1">
        <v>7.9</v>
      </c>
      <c r="AE969" s="1" t="s">
        <v>93</v>
      </c>
      <c r="AF969" s="1" t="s">
        <v>13060</v>
      </c>
      <c r="AG969" s="1" t="s">
        <v>10754</v>
      </c>
      <c r="AH969" s="1" t="s">
        <v>456</v>
      </c>
      <c r="AI969" s="1" t="s">
        <v>195</v>
      </c>
      <c r="AJ969" s="1">
        <v>65.5</v>
      </c>
      <c r="AK969" s="1">
        <v>0</v>
      </c>
      <c r="AL969" s="1" t="s">
        <v>13060</v>
      </c>
      <c r="AM969" s="1" t="s">
        <v>10754</v>
      </c>
      <c r="AN969" s="1" t="s">
        <v>281</v>
      </c>
      <c r="AO969" s="1" t="s">
        <v>409</v>
      </c>
      <c r="AP969" s="1">
        <v>61.54</v>
      </c>
      <c r="AQ969" s="1">
        <v>0</v>
      </c>
      <c r="AR969" s="1"/>
      <c r="AS969" s="1"/>
      <c r="AT969" s="1"/>
      <c r="AU969" s="1"/>
      <c r="AV969" s="1"/>
      <c r="AW969" s="1"/>
      <c r="AX969" s="1" t="s">
        <v>17427</v>
      </c>
      <c r="AY969" s="1" t="s">
        <v>17428</v>
      </c>
      <c r="AZ969" s="1" t="s">
        <v>310</v>
      </c>
      <c r="BA969" s="1" t="s">
        <v>682</v>
      </c>
      <c r="BB969" s="1">
        <v>59.75</v>
      </c>
      <c r="BC969" s="1">
        <v>2.39</v>
      </c>
      <c r="BD969" s="1"/>
      <c r="BE969" s="1"/>
      <c r="BF969" s="1"/>
      <c r="BG969" s="1"/>
      <c r="BH969" s="1"/>
      <c r="BI969" s="1"/>
      <c r="BJ969" s="1" t="s">
        <v>9017</v>
      </c>
      <c r="BK969" s="1" t="s">
        <v>17429</v>
      </c>
      <c r="BL969" s="1" t="s">
        <v>947</v>
      </c>
      <c r="BM969" s="1" t="s">
        <v>17430</v>
      </c>
      <c r="BN969" s="1">
        <v>8</v>
      </c>
      <c r="BO969" s="1"/>
      <c r="BP969" s="1" t="str">
        <f>HYPERLINK("https://nconnect.nicmar.ac.in/storage/profile/ProfilePhoto_P25703033_265831.jpg","Download")</f>
        <v>0</v>
      </c>
      <c r="BQ969" s="3"/>
      <c r="BR969" s="3"/>
    </row>
    <row r="970" spans="1:70">
      <c r="A970" s="1" t="s">
        <v>552</v>
      </c>
      <c r="B970" s="1" t="s">
        <v>1269</v>
      </c>
      <c r="C970" s="1" t="s">
        <v>17431</v>
      </c>
      <c r="D970" s="1" t="s">
        <v>17432</v>
      </c>
      <c r="E970" s="1" t="s">
        <v>1760</v>
      </c>
      <c r="F970" s="1" t="s">
        <v>17433</v>
      </c>
      <c r="G970" s="1" t="s">
        <v>17434</v>
      </c>
      <c r="H970" s="1" t="s">
        <v>17435</v>
      </c>
      <c r="I970" s="1" t="s">
        <v>17436</v>
      </c>
      <c r="J970" s="1">
        <v>8605091971</v>
      </c>
      <c r="K970" s="1" t="s">
        <v>79</v>
      </c>
      <c r="L970" s="1" t="s">
        <v>17437</v>
      </c>
      <c r="M970" s="1" t="s">
        <v>81</v>
      </c>
      <c r="N970" s="1" t="s">
        <v>17438</v>
      </c>
      <c r="O970" s="1"/>
      <c r="P970" s="1" t="s">
        <v>1323</v>
      </c>
      <c r="Q970" s="1" t="s">
        <v>17439</v>
      </c>
      <c r="R970" s="1" t="s">
        <v>1760</v>
      </c>
      <c r="S970" s="1">
        <v>9420739091</v>
      </c>
      <c r="T970" s="1" t="s">
        <v>87</v>
      </c>
      <c r="U970" s="1" t="s">
        <v>17440</v>
      </c>
      <c r="V970" s="1">
        <v>9404740558</v>
      </c>
      <c r="W970" s="1" t="s">
        <v>156</v>
      </c>
      <c r="X970" s="1" t="s">
        <v>17441</v>
      </c>
      <c r="Y970" s="1" t="s">
        <v>191</v>
      </c>
      <c r="Z970" s="1" t="s">
        <v>92</v>
      </c>
      <c r="AA970" s="1" t="s">
        <v>17442</v>
      </c>
      <c r="AB970" s="1" t="s">
        <v>6857</v>
      </c>
      <c r="AC970" s="1" t="s">
        <v>92</v>
      </c>
      <c r="AD970" s="1">
        <v>6.54</v>
      </c>
      <c r="AE970" s="1" t="s">
        <v>93</v>
      </c>
      <c r="AF970" s="1" t="s">
        <v>17443</v>
      </c>
      <c r="AG970" s="1" t="s">
        <v>160</v>
      </c>
      <c r="AH970" s="1" t="s">
        <v>162</v>
      </c>
      <c r="AI970" s="1" t="s">
        <v>165</v>
      </c>
      <c r="AJ970" s="1">
        <v>73.8</v>
      </c>
      <c r="AK970" s="1"/>
      <c r="AL970" s="1" t="s">
        <v>17444</v>
      </c>
      <c r="AM970" s="1" t="s">
        <v>544</v>
      </c>
      <c r="AN970" s="1" t="s">
        <v>101</v>
      </c>
      <c r="AO970" s="1" t="s">
        <v>433</v>
      </c>
      <c r="AP970" s="1">
        <v>57.08</v>
      </c>
      <c r="AQ970" s="1"/>
      <c r="AR970" s="1"/>
      <c r="AS970" s="1"/>
      <c r="AT970" s="1"/>
      <c r="AU970" s="1"/>
      <c r="AV970" s="1"/>
      <c r="AW970" s="1"/>
      <c r="AX970" s="1" t="s">
        <v>3982</v>
      </c>
      <c r="AY970" s="1" t="s">
        <v>17445</v>
      </c>
      <c r="AZ970" s="1" t="s">
        <v>201</v>
      </c>
      <c r="BA970" s="1" t="s">
        <v>229</v>
      </c>
      <c r="BB970" s="1">
        <v>71.73</v>
      </c>
      <c r="BC970" s="1">
        <v>8.06</v>
      </c>
      <c r="BD970" s="1"/>
      <c r="BE970" s="1"/>
      <c r="BF970" s="1"/>
      <c r="BG970" s="1"/>
      <c r="BH970" s="1"/>
      <c r="BI970" s="1"/>
      <c r="BJ970" s="1" t="s">
        <v>17446</v>
      </c>
      <c r="BK970" s="1"/>
      <c r="BL970" s="1"/>
      <c r="BM970" s="1" t="s">
        <v>17447</v>
      </c>
      <c r="BN970" s="1">
        <v>61</v>
      </c>
      <c r="BO970" s="1"/>
      <c r="BP970" s="1" t="str">
        <f>HYPERLINK("https://nconnect.nicmar.ac.in/storage/profile/ProfilePhoto_P25703034_743562.jpg","Download")</f>
        <v>0</v>
      </c>
      <c r="BQ970" s="3"/>
      <c r="BR970" s="3"/>
    </row>
    <row r="971" spans="1:70">
      <c r="A971" s="1" t="s">
        <v>552</v>
      </c>
      <c r="B971" s="1" t="s">
        <v>1269</v>
      </c>
      <c r="C971" s="1" t="s">
        <v>17448</v>
      </c>
      <c r="D971" s="1" t="s">
        <v>14131</v>
      </c>
      <c r="E971" s="1" t="s">
        <v>1876</v>
      </c>
      <c r="F971" s="1" t="s">
        <v>17449</v>
      </c>
      <c r="G971" s="1" t="s">
        <v>17450</v>
      </c>
      <c r="H971" s="1" t="s">
        <v>17451</v>
      </c>
      <c r="I971" s="1" t="s">
        <v>17452</v>
      </c>
      <c r="J971" s="1">
        <v>7264004459</v>
      </c>
      <c r="K971" s="1" t="s">
        <v>148</v>
      </c>
      <c r="L971" s="1" t="s">
        <v>17453</v>
      </c>
      <c r="M971" s="1" t="s">
        <v>81</v>
      </c>
      <c r="N971" s="1" t="s">
        <v>2008</v>
      </c>
      <c r="O971" s="1" t="s">
        <v>17454</v>
      </c>
      <c r="P971" s="1" t="s">
        <v>1323</v>
      </c>
      <c r="Q971" s="1" t="s">
        <v>17455</v>
      </c>
      <c r="R971" s="1" t="s">
        <v>17456</v>
      </c>
      <c r="S971" s="1">
        <v>9764004459</v>
      </c>
      <c r="T971" s="1" t="s">
        <v>496</v>
      </c>
      <c r="U971" s="1" t="s">
        <v>17457</v>
      </c>
      <c r="V971" s="1">
        <v>9764004495</v>
      </c>
      <c r="W971" s="1" t="s">
        <v>17458</v>
      </c>
      <c r="X971" s="1" t="s">
        <v>17459</v>
      </c>
      <c r="Y971" s="1" t="s">
        <v>191</v>
      </c>
      <c r="Z971" s="1" t="s">
        <v>92</v>
      </c>
      <c r="AA971" s="1" t="s">
        <v>17459</v>
      </c>
      <c r="AB971" s="1" t="s">
        <v>191</v>
      </c>
      <c r="AC971" s="1" t="s">
        <v>92</v>
      </c>
      <c r="AD971" s="1" t="s">
        <v>93</v>
      </c>
      <c r="AE971" s="1" t="s">
        <v>93</v>
      </c>
      <c r="AF971" s="1" t="s">
        <v>17460</v>
      </c>
      <c r="AG971" s="1" t="s">
        <v>476</v>
      </c>
      <c r="AH971" s="1" t="s">
        <v>166</v>
      </c>
      <c r="AI971" s="1" t="s">
        <v>409</v>
      </c>
      <c r="AJ971" s="1">
        <v>84.8</v>
      </c>
      <c r="AK971" s="1">
        <v>0</v>
      </c>
      <c r="AL971" s="1" t="s">
        <v>17461</v>
      </c>
      <c r="AM971" s="1" t="s">
        <v>160</v>
      </c>
      <c r="AN971" s="1" t="s">
        <v>173</v>
      </c>
      <c r="AO971" s="1" t="s">
        <v>504</v>
      </c>
      <c r="AP971" s="1">
        <v>87</v>
      </c>
      <c r="AQ971" s="1">
        <v>0</v>
      </c>
      <c r="AR971" s="1"/>
      <c r="AS971" s="1"/>
      <c r="AT971" s="1"/>
      <c r="AU971" s="1"/>
      <c r="AV971" s="1"/>
      <c r="AW971" s="1"/>
      <c r="AX971" s="1" t="s">
        <v>17462</v>
      </c>
      <c r="AY971" s="1" t="s">
        <v>17463</v>
      </c>
      <c r="AZ971" s="1" t="s">
        <v>436</v>
      </c>
      <c r="BA971" s="1" t="s">
        <v>202</v>
      </c>
      <c r="BB971" s="1">
        <v>70.12</v>
      </c>
      <c r="BC971" s="1">
        <v>8.25</v>
      </c>
      <c r="BD971" s="1"/>
      <c r="BE971" s="1"/>
      <c r="BF971" s="1"/>
      <c r="BG971" s="1"/>
      <c r="BH971" s="1"/>
      <c r="BI971" s="1"/>
      <c r="BJ971" s="1" t="s">
        <v>734</v>
      </c>
      <c r="BK971" s="1" t="s">
        <v>17464</v>
      </c>
      <c r="BL971" s="1" t="s">
        <v>1896</v>
      </c>
      <c r="BM971" s="1"/>
      <c r="BN971" s="1"/>
      <c r="BO971" s="1"/>
      <c r="BP971" s="1" t="str">
        <f>HYPERLINK("https://nconnect.nicmar.ac.in/storage/profile/ProfilePhoto_P25703035_583967.jpg","Download")</f>
        <v>0</v>
      </c>
      <c r="BQ971" s="3"/>
      <c r="BR971" s="3"/>
    </row>
    <row r="972" spans="1:70">
      <c r="A972" s="1" t="s">
        <v>552</v>
      </c>
      <c r="B972" s="1" t="s">
        <v>1269</v>
      </c>
      <c r="C972" s="1" t="s">
        <v>17465</v>
      </c>
      <c r="D972" s="1" t="s">
        <v>8492</v>
      </c>
      <c r="E972" s="1" t="s">
        <v>1946</v>
      </c>
      <c r="F972" s="1" t="s">
        <v>596</v>
      </c>
      <c r="G972" s="1" t="s">
        <v>17466</v>
      </c>
      <c r="H972" s="1" t="s">
        <v>17467</v>
      </c>
      <c r="I972" s="1" t="s">
        <v>17468</v>
      </c>
      <c r="J972" s="1">
        <v>9518528290</v>
      </c>
      <c r="K972" s="1" t="s">
        <v>79</v>
      </c>
      <c r="L972" s="1" t="s">
        <v>17469</v>
      </c>
      <c r="M972" s="1" t="s">
        <v>81</v>
      </c>
      <c r="N972" s="1" t="s">
        <v>3788</v>
      </c>
      <c r="O972" s="1"/>
      <c r="P972" s="1" t="s">
        <v>1323</v>
      </c>
      <c r="Q972" s="1" t="s">
        <v>17470</v>
      </c>
      <c r="R972" s="1" t="s">
        <v>6732</v>
      </c>
      <c r="S972" s="1">
        <v>8888860058</v>
      </c>
      <c r="T972" s="1" t="s">
        <v>763</v>
      </c>
      <c r="U972" s="1" t="s">
        <v>17471</v>
      </c>
      <c r="V972" s="1">
        <v>9284069189</v>
      </c>
      <c r="W972" s="1" t="s">
        <v>273</v>
      </c>
      <c r="X972" s="1" t="s">
        <v>17472</v>
      </c>
      <c r="Y972" s="1" t="s">
        <v>4088</v>
      </c>
      <c r="Z972" s="1" t="s">
        <v>783</v>
      </c>
      <c r="AA972" s="1" t="s">
        <v>17472</v>
      </c>
      <c r="AB972" s="1" t="s">
        <v>4088</v>
      </c>
      <c r="AC972" s="1" t="s">
        <v>783</v>
      </c>
      <c r="AD972" s="1" t="s">
        <v>93</v>
      </c>
      <c r="AE972" s="1" t="s">
        <v>93</v>
      </c>
      <c r="AF972" s="1" t="s">
        <v>17473</v>
      </c>
      <c r="AG972" s="1" t="s">
        <v>17474</v>
      </c>
      <c r="AH972" s="1" t="s">
        <v>4564</v>
      </c>
      <c r="AI972" s="1" t="s">
        <v>1197</v>
      </c>
      <c r="AJ972" s="1">
        <v>70.3</v>
      </c>
      <c r="AK972" s="1">
        <v>7.4</v>
      </c>
      <c r="AL972" s="1" t="s">
        <v>17475</v>
      </c>
      <c r="AM972" s="1" t="s">
        <v>17476</v>
      </c>
      <c r="AN972" s="1" t="s">
        <v>1197</v>
      </c>
      <c r="AO972" s="1" t="s">
        <v>195</v>
      </c>
      <c r="AP972" s="1">
        <v>59.38</v>
      </c>
      <c r="AQ972" s="1"/>
      <c r="AR972" s="1"/>
      <c r="AS972" s="1"/>
      <c r="AT972" s="1"/>
      <c r="AU972" s="1"/>
      <c r="AV972" s="1"/>
      <c r="AW972" s="1"/>
      <c r="AX972" s="1" t="s">
        <v>361</v>
      </c>
      <c r="AY972" s="1" t="s">
        <v>17477</v>
      </c>
      <c r="AZ972" s="1" t="s">
        <v>165</v>
      </c>
      <c r="BA972" s="1" t="s">
        <v>105</v>
      </c>
      <c r="BB972" s="1">
        <v>67.8</v>
      </c>
      <c r="BC972" s="1">
        <v>7.62</v>
      </c>
      <c r="BD972" s="1"/>
      <c r="BE972" s="1"/>
      <c r="BF972" s="1"/>
      <c r="BG972" s="1"/>
      <c r="BH972" s="1"/>
      <c r="BI972" s="1"/>
      <c r="BJ972" s="1" t="s">
        <v>1383</v>
      </c>
      <c r="BK972" s="1" t="s">
        <v>17478</v>
      </c>
      <c r="BL972" s="1" t="s">
        <v>5645</v>
      </c>
      <c r="BM972" s="1" t="s">
        <v>17479</v>
      </c>
      <c r="BN972" s="1">
        <v>9</v>
      </c>
      <c r="BO972" s="1"/>
      <c r="BP972" s="1" t="str">
        <f>HYPERLINK("https://nconnect.nicmar.ac.in/storage/profile/ProfilePhoto_P25703037_975312.jpg","Download")</f>
        <v>0</v>
      </c>
      <c r="BQ972" s="3"/>
      <c r="BR972" s="3"/>
    </row>
    <row r="973" spans="1:70">
      <c r="A973" s="1" t="s">
        <v>552</v>
      </c>
      <c r="B973" s="1" t="s">
        <v>1269</v>
      </c>
      <c r="C973" s="1" t="s">
        <v>17480</v>
      </c>
      <c r="D973" s="1" t="s">
        <v>17481</v>
      </c>
      <c r="E973" s="1"/>
      <c r="F973" s="1" t="s">
        <v>17482</v>
      </c>
      <c r="G973" s="1" t="s">
        <v>17483</v>
      </c>
      <c r="H973" s="1" t="s">
        <v>17484</v>
      </c>
      <c r="I973" s="1" t="s">
        <v>17485</v>
      </c>
      <c r="J973" s="1">
        <v>6370072487</v>
      </c>
      <c r="K973" s="1" t="s">
        <v>79</v>
      </c>
      <c r="L973" s="1" t="s">
        <v>17486</v>
      </c>
      <c r="M973" s="1" t="s">
        <v>81</v>
      </c>
      <c r="N973" s="1" t="s">
        <v>17487</v>
      </c>
      <c r="O973" s="1"/>
      <c r="P973" s="1" t="s">
        <v>1323</v>
      </c>
      <c r="Q973" s="1" t="s">
        <v>17488</v>
      </c>
      <c r="R973" s="1" t="s">
        <v>17489</v>
      </c>
      <c r="S973" s="1">
        <v>9437164912</v>
      </c>
      <c r="T973" s="1" t="s">
        <v>496</v>
      </c>
      <c r="U973" s="1" t="s">
        <v>17490</v>
      </c>
      <c r="V973" s="1">
        <v>9439042314</v>
      </c>
      <c r="W973" s="1" t="s">
        <v>716</v>
      </c>
      <c r="X973" s="1" t="s">
        <v>17491</v>
      </c>
      <c r="Y973" s="1" t="s">
        <v>2096</v>
      </c>
      <c r="Z973" s="1" t="s">
        <v>1731</v>
      </c>
      <c r="AA973" s="1" t="s">
        <v>17491</v>
      </c>
      <c r="AB973" s="1" t="s">
        <v>2096</v>
      </c>
      <c r="AC973" s="1" t="s">
        <v>1731</v>
      </c>
      <c r="AD973" s="1">
        <v>8.9</v>
      </c>
      <c r="AE973" s="1" t="s">
        <v>93</v>
      </c>
      <c r="AF973" s="1" t="s">
        <v>17492</v>
      </c>
      <c r="AG973" s="1" t="s">
        <v>1152</v>
      </c>
      <c r="AH973" s="1" t="s">
        <v>195</v>
      </c>
      <c r="AI973" s="1" t="s">
        <v>166</v>
      </c>
      <c r="AJ973" s="1">
        <v>70.16</v>
      </c>
      <c r="AK973" s="1"/>
      <c r="AL973" s="1" t="s">
        <v>17492</v>
      </c>
      <c r="AM973" s="1" t="s">
        <v>1152</v>
      </c>
      <c r="AN973" s="1" t="s">
        <v>433</v>
      </c>
      <c r="AO973" s="1" t="s">
        <v>173</v>
      </c>
      <c r="AP973" s="1">
        <v>52.2</v>
      </c>
      <c r="AQ973" s="1"/>
      <c r="AR973" s="1"/>
      <c r="AS973" s="1"/>
      <c r="AT973" s="1"/>
      <c r="AU973" s="1"/>
      <c r="AV973" s="1"/>
      <c r="AW973" s="1"/>
      <c r="AX973" s="1" t="s">
        <v>17493</v>
      </c>
      <c r="AY973" s="1" t="s">
        <v>17494</v>
      </c>
      <c r="AZ973" s="1" t="s">
        <v>170</v>
      </c>
      <c r="BA973" s="1" t="s">
        <v>10191</v>
      </c>
      <c r="BB973" s="1">
        <v>85.76</v>
      </c>
      <c r="BC973" s="1"/>
      <c r="BD973" s="1"/>
      <c r="BE973" s="1"/>
      <c r="BF973" s="1"/>
      <c r="BG973" s="1"/>
      <c r="BH973" s="1"/>
      <c r="BI973" s="1"/>
      <c r="BJ973" s="1" t="s">
        <v>17495</v>
      </c>
      <c r="BK973" s="1" t="s">
        <v>17496</v>
      </c>
      <c r="BL973" s="1" t="s">
        <v>2892</v>
      </c>
      <c r="BM973" s="1" t="s">
        <v>17497</v>
      </c>
      <c r="BN973" s="1">
        <v>25</v>
      </c>
      <c r="BO973" s="1" t="s">
        <v>17498</v>
      </c>
      <c r="BP973" s="1" t="str">
        <f>HYPERLINK("https://nconnect.nicmar.ac.in/storage/profile/ProfilePhoto_P25703038_123479.jpg","Download")</f>
        <v>0</v>
      </c>
      <c r="BQ973" s="3"/>
      <c r="BR973" s="3"/>
    </row>
    <row r="974" spans="1:70">
      <c r="A974" s="1" t="s">
        <v>552</v>
      </c>
      <c r="B974" s="1" t="s">
        <v>1269</v>
      </c>
      <c r="C974" s="1" t="s">
        <v>17499</v>
      </c>
      <c r="D974" s="1" t="s">
        <v>10541</v>
      </c>
      <c r="E974" s="1" t="s">
        <v>971</v>
      </c>
      <c r="F974" s="1" t="s">
        <v>10681</v>
      </c>
      <c r="G974" s="1" t="s">
        <v>17500</v>
      </c>
      <c r="H974" s="1" t="s">
        <v>17501</v>
      </c>
      <c r="I974" s="1" t="s">
        <v>17502</v>
      </c>
      <c r="J974" s="1">
        <v>9860624106</v>
      </c>
      <c r="K974" s="1" t="s">
        <v>148</v>
      </c>
      <c r="L974" s="1" t="s">
        <v>17503</v>
      </c>
      <c r="M974" s="1" t="s">
        <v>81</v>
      </c>
      <c r="N974" s="1" t="s">
        <v>1418</v>
      </c>
      <c r="O974" s="1"/>
      <c r="P974" s="1" t="s">
        <v>1278</v>
      </c>
      <c r="Q974" s="1" t="s">
        <v>17504</v>
      </c>
      <c r="R974" s="1" t="s">
        <v>17505</v>
      </c>
      <c r="S974" s="1">
        <v>9657535247</v>
      </c>
      <c r="T974" s="1" t="s">
        <v>17506</v>
      </c>
      <c r="U974" s="1" t="s">
        <v>17507</v>
      </c>
      <c r="V974" s="1">
        <v>9421880152</v>
      </c>
      <c r="W974" s="1" t="s">
        <v>3351</v>
      </c>
      <c r="X974" s="1" t="s">
        <v>17508</v>
      </c>
      <c r="Y974" s="1" t="s">
        <v>1424</v>
      </c>
      <c r="Z974" s="1" t="s">
        <v>92</v>
      </c>
      <c r="AA974" s="1" t="s">
        <v>17508</v>
      </c>
      <c r="AB974" s="1" t="s">
        <v>1424</v>
      </c>
      <c r="AC974" s="1" t="s">
        <v>92</v>
      </c>
      <c r="AD974" s="1">
        <v>7.5</v>
      </c>
      <c r="AE974" s="1" t="s">
        <v>93</v>
      </c>
      <c r="AF974" s="1" t="s">
        <v>1832</v>
      </c>
      <c r="AG974" s="1" t="s">
        <v>17509</v>
      </c>
      <c r="AH974" s="1" t="s">
        <v>162</v>
      </c>
      <c r="AI974" s="1" t="s">
        <v>165</v>
      </c>
      <c r="AJ974" s="1">
        <v>76.8</v>
      </c>
      <c r="AK974" s="1">
        <v>8.4</v>
      </c>
      <c r="AL974" s="1" t="s">
        <v>17510</v>
      </c>
      <c r="AM974" s="1" t="s">
        <v>17511</v>
      </c>
      <c r="AN974" s="1" t="s">
        <v>101</v>
      </c>
      <c r="AO974" s="1" t="s">
        <v>198</v>
      </c>
      <c r="AP974" s="1">
        <v>63.38</v>
      </c>
      <c r="AQ974" s="1"/>
      <c r="AR974" s="1"/>
      <c r="AS974" s="1"/>
      <c r="AT974" s="1"/>
      <c r="AU974" s="1"/>
      <c r="AV974" s="1"/>
      <c r="AW974" s="1"/>
      <c r="AX974" s="1" t="s">
        <v>410</v>
      </c>
      <c r="AY974" s="1" t="s">
        <v>17512</v>
      </c>
      <c r="AZ974" s="1" t="s">
        <v>201</v>
      </c>
      <c r="BA974" s="1" t="s">
        <v>229</v>
      </c>
      <c r="BB974" s="1">
        <v>69.9</v>
      </c>
      <c r="BC974" s="1">
        <v>7.74</v>
      </c>
      <c r="BD974" s="1"/>
      <c r="BE974" s="1"/>
      <c r="BF974" s="1"/>
      <c r="BG974" s="1"/>
      <c r="BH974" s="1"/>
      <c r="BI974" s="1"/>
      <c r="BJ974" s="1" t="s">
        <v>17513</v>
      </c>
      <c r="BK974" s="1"/>
      <c r="BL974" s="1"/>
      <c r="BM974" s="1" t="s">
        <v>17514</v>
      </c>
      <c r="BN974" s="1">
        <v>8</v>
      </c>
      <c r="BO974" s="1"/>
      <c r="BP974" s="1" t="str">
        <f>HYPERLINK("https://nconnect.nicmar.ac.in/storage/profile/ProfilePhoto_P25703039_812957.jpg","Download")</f>
        <v>0</v>
      </c>
      <c r="BQ974" s="3"/>
      <c r="BR974" s="3"/>
    </row>
    <row r="975" spans="1:70">
      <c r="A975" s="1" t="s">
        <v>552</v>
      </c>
      <c r="B975" s="1" t="s">
        <v>1269</v>
      </c>
      <c r="C975" s="1" t="s">
        <v>17515</v>
      </c>
      <c r="D975" s="1" t="s">
        <v>17516</v>
      </c>
      <c r="E975" s="1" t="s">
        <v>17517</v>
      </c>
      <c r="F975" s="1" t="s">
        <v>17518</v>
      </c>
      <c r="G975" s="1" t="s">
        <v>17519</v>
      </c>
      <c r="H975" s="1" t="s">
        <v>17520</v>
      </c>
      <c r="I975" s="1" t="s">
        <v>17521</v>
      </c>
      <c r="J975" s="1">
        <v>8698771216</v>
      </c>
      <c r="K975" s="1" t="s">
        <v>79</v>
      </c>
      <c r="L975" s="1" t="s">
        <v>17522</v>
      </c>
      <c r="M975" s="1" t="s">
        <v>81</v>
      </c>
      <c r="N975" s="1" t="s">
        <v>5731</v>
      </c>
      <c r="O975" s="1"/>
      <c r="P975" s="1" t="s">
        <v>1278</v>
      </c>
      <c r="Q975" s="1" t="s">
        <v>17523</v>
      </c>
      <c r="R975" s="1" t="s">
        <v>17524</v>
      </c>
      <c r="S975" s="1">
        <v>8329206277</v>
      </c>
      <c r="T975" s="1" t="s">
        <v>1398</v>
      </c>
      <c r="U975" s="1" t="s">
        <v>17525</v>
      </c>
      <c r="V975" s="1">
        <v>9604238948</v>
      </c>
      <c r="W975" s="1" t="s">
        <v>156</v>
      </c>
      <c r="X975" s="1" t="s">
        <v>17526</v>
      </c>
      <c r="Y975" s="1" t="s">
        <v>191</v>
      </c>
      <c r="Z975" s="1" t="s">
        <v>92</v>
      </c>
      <c r="AA975" s="1" t="s">
        <v>17527</v>
      </c>
      <c r="AB975" s="1" t="s">
        <v>5937</v>
      </c>
      <c r="AC975" s="1" t="s">
        <v>92</v>
      </c>
      <c r="AD975" s="1">
        <v>7.84</v>
      </c>
      <c r="AE975" s="1" t="s">
        <v>93</v>
      </c>
      <c r="AF975" s="1" t="s">
        <v>17528</v>
      </c>
      <c r="AG975" s="1" t="s">
        <v>17529</v>
      </c>
      <c r="AH975" s="1" t="s">
        <v>281</v>
      </c>
      <c r="AI975" s="1" t="s">
        <v>409</v>
      </c>
      <c r="AJ975" s="1">
        <v>87.2</v>
      </c>
      <c r="AK975" s="1"/>
      <c r="AL975" s="1" t="s">
        <v>17530</v>
      </c>
      <c r="AM975" s="1" t="s">
        <v>17531</v>
      </c>
      <c r="AN975" s="1" t="s">
        <v>941</v>
      </c>
      <c r="AO975" s="1" t="s">
        <v>504</v>
      </c>
      <c r="AP975" s="1">
        <v>84.33</v>
      </c>
      <c r="AQ975" s="1"/>
      <c r="AR975" s="1"/>
      <c r="AS975" s="1"/>
      <c r="AT975" s="1"/>
      <c r="AU975" s="1"/>
      <c r="AV975" s="1"/>
      <c r="AW975" s="1"/>
      <c r="AX975" s="1" t="s">
        <v>361</v>
      </c>
      <c r="AY975" s="1" t="s">
        <v>17532</v>
      </c>
      <c r="AZ975" s="1" t="s">
        <v>436</v>
      </c>
      <c r="BA975" s="1" t="s">
        <v>202</v>
      </c>
      <c r="BB975" s="1">
        <v>74.6</v>
      </c>
      <c r="BC975" s="1">
        <v>8.3</v>
      </c>
      <c r="BD975" s="1"/>
      <c r="BE975" s="1"/>
      <c r="BF975" s="1"/>
      <c r="BG975" s="1"/>
      <c r="BH975" s="1"/>
      <c r="BI975" s="1"/>
      <c r="BJ975" s="1" t="s">
        <v>17533</v>
      </c>
      <c r="BK975" s="1"/>
      <c r="BL975" s="1"/>
      <c r="BM975" s="1" t="s">
        <v>17534</v>
      </c>
      <c r="BN975" s="1">
        <v>7</v>
      </c>
      <c r="BO975" s="1" t="s">
        <v>17535</v>
      </c>
      <c r="BP975" s="1" t="str">
        <f>HYPERLINK("https://nconnect.nicmar.ac.in/storage/profile/ProfilePhoto_P25703040_795461.jpg","Download")</f>
        <v>0</v>
      </c>
      <c r="BQ975" s="3"/>
      <c r="BR975" s="3"/>
    </row>
    <row r="976" spans="1:70">
      <c r="A976" s="1" t="s">
        <v>552</v>
      </c>
      <c r="B976" s="1" t="s">
        <v>1269</v>
      </c>
      <c r="C976" s="1" t="s">
        <v>17536</v>
      </c>
      <c r="D976" s="1" t="s">
        <v>11676</v>
      </c>
      <c r="E976" s="1" t="s">
        <v>3304</v>
      </c>
      <c r="F976" s="1" t="s">
        <v>17537</v>
      </c>
      <c r="G976" s="1" t="s">
        <v>17538</v>
      </c>
      <c r="H976" s="1" t="s">
        <v>17539</v>
      </c>
      <c r="I976" s="1" t="s">
        <v>17540</v>
      </c>
      <c r="J976" s="1">
        <v>8109609982</v>
      </c>
      <c r="K976" s="1" t="s">
        <v>148</v>
      </c>
      <c r="L976" s="1" t="s">
        <v>17541</v>
      </c>
      <c r="M976" s="1" t="s">
        <v>81</v>
      </c>
      <c r="N976" s="1" t="s">
        <v>4981</v>
      </c>
      <c r="O976" s="1"/>
      <c r="P976" s="1" t="s">
        <v>1278</v>
      </c>
      <c r="Q976" s="1" t="s">
        <v>17542</v>
      </c>
      <c r="R976" s="1" t="s">
        <v>17543</v>
      </c>
      <c r="S976" s="1">
        <v>8319708262</v>
      </c>
      <c r="T976" s="1" t="s">
        <v>17544</v>
      </c>
      <c r="U976" s="1" t="s">
        <v>17545</v>
      </c>
      <c r="V976" s="1">
        <v>9826709888</v>
      </c>
      <c r="W976" s="1" t="s">
        <v>89</v>
      </c>
      <c r="X976" s="1" t="s">
        <v>17546</v>
      </c>
      <c r="Y976" s="1" t="s">
        <v>3753</v>
      </c>
      <c r="Z976" s="1" t="s">
        <v>1237</v>
      </c>
      <c r="AA976" s="1" t="s">
        <v>17546</v>
      </c>
      <c r="AB976" s="1" t="s">
        <v>3753</v>
      </c>
      <c r="AC976" s="1" t="s">
        <v>1237</v>
      </c>
      <c r="AD976" s="1">
        <v>8.33</v>
      </c>
      <c r="AE976" s="1" t="s">
        <v>93</v>
      </c>
      <c r="AF976" s="1" t="s">
        <v>17547</v>
      </c>
      <c r="AG976" s="1" t="s">
        <v>17548</v>
      </c>
      <c r="AH976" s="1" t="s">
        <v>1307</v>
      </c>
      <c r="AI976" s="1" t="s">
        <v>308</v>
      </c>
      <c r="AJ976" s="1">
        <v>90.6</v>
      </c>
      <c r="AK976" s="1"/>
      <c r="AL976" s="1" t="s">
        <v>17547</v>
      </c>
      <c r="AM976" s="1" t="s">
        <v>17548</v>
      </c>
      <c r="AN976" s="1" t="s">
        <v>1834</v>
      </c>
      <c r="AO976" s="1" t="s">
        <v>506</v>
      </c>
      <c r="AP976" s="1">
        <v>95</v>
      </c>
      <c r="AQ976" s="1"/>
      <c r="AR976" s="1"/>
      <c r="AS976" s="1"/>
      <c r="AT976" s="1"/>
      <c r="AU976" s="1"/>
      <c r="AV976" s="1"/>
      <c r="AW976" s="1"/>
      <c r="AX976" s="1" t="s">
        <v>17549</v>
      </c>
      <c r="AY976" s="1" t="s">
        <v>17550</v>
      </c>
      <c r="AZ976" s="1" t="s">
        <v>436</v>
      </c>
      <c r="BA976" s="1" t="s">
        <v>702</v>
      </c>
      <c r="BB976" s="1">
        <v>64.83</v>
      </c>
      <c r="BC976" s="1"/>
      <c r="BD976" s="1"/>
      <c r="BE976" s="1"/>
      <c r="BF976" s="1"/>
      <c r="BG976" s="1"/>
      <c r="BH976" s="1"/>
      <c r="BI976" s="1"/>
      <c r="BJ976" s="1" t="s">
        <v>734</v>
      </c>
      <c r="BK976" s="1"/>
      <c r="BL976" s="1"/>
      <c r="BM976" s="1" t="s">
        <v>17551</v>
      </c>
      <c r="BN976" s="1">
        <v>8</v>
      </c>
      <c r="BO976" s="1"/>
      <c r="BP976" s="1" t="str">
        <f>HYPERLINK("https://nconnect.nicmar.ac.in/storage/profile/ProfilePhoto_P25703041_689342.jpg","Download")</f>
        <v>0</v>
      </c>
      <c r="BQ976" s="3"/>
      <c r="BR976" s="3"/>
    </row>
    <row r="977" spans="1:70">
      <c r="A977" s="1" t="s">
        <v>552</v>
      </c>
      <c r="B977" s="1" t="s">
        <v>1269</v>
      </c>
      <c r="C977" s="1" t="s">
        <v>17552</v>
      </c>
      <c r="D977" s="1" t="s">
        <v>4343</v>
      </c>
      <c r="E977" s="1" t="s">
        <v>513</v>
      </c>
      <c r="F977" s="1" t="s">
        <v>903</v>
      </c>
      <c r="G977" s="1" t="s">
        <v>17553</v>
      </c>
      <c r="H977" s="1" t="s">
        <v>17554</v>
      </c>
      <c r="I977" s="1" t="s">
        <v>17555</v>
      </c>
      <c r="J977" s="1">
        <v>9823231523</v>
      </c>
      <c r="K977" s="1" t="s">
        <v>79</v>
      </c>
      <c r="L977" s="1" t="s">
        <v>17556</v>
      </c>
      <c r="M977" s="1" t="s">
        <v>81</v>
      </c>
      <c r="N977" s="1" t="s">
        <v>2295</v>
      </c>
      <c r="O977" s="1"/>
      <c r="P977" s="1" t="s">
        <v>1278</v>
      </c>
      <c r="Q977" s="1" t="s">
        <v>17557</v>
      </c>
      <c r="R977" s="1" t="s">
        <v>17558</v>
      </c>
      <c r="S977" s="1">
        <v>8806982424</v>
      </c>
      <c r="T977" s="1" t="s">
        <v>496</v>
      </c>
      <c r="U977" s="1" t="s">
        <v>17559</v>
      </c>
      <c r="V977" s="1">
        <v>8806424244</v>
      </c>
      <c r="W977" s="1" t="s">
        <v>156</v>
      </c>
      <c r="X977" s="1" t="s">
        <v>17560</v>
      </c>
      <c r="Y977" s="1" t="s">
        <v>2790</v>
      </c>
      <c r="Z977" s="1" t="s">
        <v>92</v>
      </c>
      <c r="AA977" s="1" t="s">
        <v>17560</v>
      </c>
      <c r="AB977" s="1" t="s">
        <v>2790</v>
      </c>
      <c r="AC977" s="1" t="s">
        <v>92</v>
      </c>
      <c r="AD977" s="1">
        <v>7.78</v>
      </c>
      <c r="AE977" s="1" t="s">
        <v>93</v>
      </c>
      <c r="AF977" s="1" t="s">
        <v>17561</v>
      </c>
      <c r="AG977" s="1" t="s">
        <v>307</v>
      </c>
      <c r="AH977" s="1" t="s">
        <v>166</v>
      </c>
      <c r="AI977" s="1" t="s">
        <v>308</v>
      </c>
      <c r="AJ977" s="1">
        <v>85.2</v>
      </c>
      <c r="AK977" s="1"/>
      <c r="AL977" s="1" t="s">
        <v>17562</v>
      </c>
      <c r="AM977" s="1" t="s">
        <v>307</v>
      </c>
      <c r="AN977" s="1" t="s">
        <v>173</v>
      </c>
      <c r="AO977" s="1" t="s">
        <v>506</v>
      </c>
      <c r="AP977" s="1">
        <v>74.6</v>
      </c>
      <c r="AQ977" s="1"/>
      <c r="AR977" s="1"/>
      <c r="AS977" s="1"/>
      <c r="AT977" s="1"/>
      <c r="AU977" s="1"/>
      <c r="AV977" s="1"/>
      <c r="AW977" s="1"/>
      <c r="AX977" s="1" t="s">
        <v>1892</v>
      </c>
      <c r="AY977" s="1" t="s">
        <v>2793</v>
      </c>
      <c r="AZ977" s="1" t="s">
        <v>436</v>
      </c>
      <c r="BA977" s="1" t="s">
        <v>1714</v>
      </c>
      <c r="BB977" s="1">
        <v>65.4</v>
      </c>
      <c r="BC977" s="1">
        <v>7.04</v>
      </c>
      <c r="BD977" s="1"/>
      <c r="BE977" s="1"/>
      <c r="BF977" s="1"/>
      <c r="BG977" s="1"/>
      <c r="BH977" s="1"/>
      <c r="BI977" s="1"/>
      <c r="BJ977" s="1" t="s">
        <v>17563</v>
      </c>
      <c r="BK977" s="1"/>
      <c r="BL977" s="1"/>
      <c r="BM977" s="1" t="s">
        <v>17564</v>
      </c>
      <c r="BN977" s="1">
        <v>27</v>
      </c>
      <c r="BO977" s="1" t="s">
        <v>17565</v>
      </c>
      <c r="BP977" s="1" t="str">
        <f>HYPERLINK("https://nconnect.nicmar.ac.in/storage/profile/ProfilePhoto_P25703042_139468.jpg","Download")</f>
        <v>0</v>
      </c>
      <c r="BQ977" s="3"/>
      <c r="BR977" s="3"/>
    </row>
    <row r="978" spans="1:70">
      <c r="A978" s="1" t="s">
        <v>552</v>
      </c>
      <c r="B978" s="1" t="s">
        <v>1269</v>
      </c>
      <c r="C978" s="1" t="s">
        <v>17566</v>
      </c>
      <c r="D978" s="1" t="s">
        <v>17567</v>
      </c>
      <c r="E978" s="1"/>
      <c r="F978" s="1" t="s">
        <v>13293</v>
      </c>
      <c r="G978" s="1" t="s">
        <v>17568</v>
      </c>
      <c r="H978" s="1" t="s">
        <v>17569</v>
      </c>
      <c r="I978" s="1" t="s">
        <v>17570</v>
      </c>
      <c r="J978" s="1">
        <v>9746022021</v>
      </c>
      <c r="K978" s="1" t="s">
        <v>79</v>
      </c>
      <c r="L978" s="1" t="s">
        <v>17571</v>
      </c>
      <c r="M978" s="1" t="s">
        <v>81</v>
      </c>
      <c r="N978" s="1" t="s">
        <v>2455</v>
      </c>
      <c r="O978" s="1" t="s">
        <v>17572</v>
      </c>
      <c r="P978" s="1" t="s">
        <v>2507</v>
      </c>
      <c r="Q978" s="1" t="s">
        <v>17573</v>
      </c>
      <c r="R978" s="1" t="s">
        <v>17574</v>
      </c>
      <c r="S978" s="1">
        <v>9447708526</v>
      </c>
      <c r="T978" s="1" t="s">
        <v>4436</v>
      </c>
      <c r="U978" s="1" t="s">
        <v>17575</v>
      </c>
      <c r="V978" s="1">
        <v>9446518526</v>
      </c>
      <c r="W978" s="1" t="s">
        <v>1351</v>
      </c>
      <c r="X978" s="1" t="s">
        <v>17576</v>
      </c>
      <c r="Y978" s="1" t="s">
        <v>1491</v>
      </c>
      <c r="Z978" s="1" t="s">
        <v>125</v>
      </c>
      <c r="AA978" s="1" t="s">
        <v>17576</v>
      </c>
      <c r="AB978" s="1" t="s">
        <v>1491</v>
      </c>
      <c r="AC978" s="1" t="s">
        <v>125</v>
      </c>
      <c r="AD978" s="1" t="s">
        <v>93</v>
      </c>
      <c r="AE978" s="1" t="s">
        <v>93</v>
      </c>
      <c r="AF978" s="1" t="s">
        <v>17577</v>
      </c>
      <c r="AG978" s="1" t="s">
        <v>9727</v>
      </c>
      <c r="AH978" s="1" t="s">
        <v>161</v>
      </c>
      <c r="AI978" s="1" t="s">
        <v>527</v>
      </c>
      <c r="AJ978" s="1">
        <v>85.5</v>
      </c>
      <c r="AK978" s="1">
        <v>9</v>
      </c>
      <c r="AL978" s="1" t="s">
        <v>17578</v>
      </c>
      <c r="AM978" s="1" t="s">
        <v>17579</v>
      </c>
      <c r="AN978" s="1" t="s">
        <v>162</v>
      </c>
      <c r="AO978" s="1" t="s">
        <v>166</v>
      </c>
      <c r="AP978" s="1">
        <v>71.41</v>
      </c>
      <c r="AQ978" s="1"/>
      <c r="AR978" s="1"/>
      <c r="AS978" s="1"/>
      <c r="AT978" s="1"/>
      <c r="AU978" s="1"/>
      <c r="AV978" s="1"/>
      <c r="AW978" s="1"/>
      <c r="AX978" s="1" t="s">
        <v>17580</v>
      </c>
      <c r="AY978" s="1" t="s">
        <v>17581</v>
      </c>
      <c r="AZ978" s="1" t="s">
        <v>101</v>
      </c>
      <c r="BA978" s="1" t="s">
        <v>135</v>
      </c>
      <c r="BB978" s="1">
        <v>64.8</v>
      </c>
      <c r="BC978" s="1"/>
      <c r="BD978" s="1" t="s">
        <v>17582</v>
      </c>
      <c r="BE978" s="1" t="s">
        <v>17583</v>
      </c>
      <c r="BF978" s="1" t="s">
        <v>135</v>
      </c>
      <c r="BG978" s="1" t="s">
        <v>702</v>
      </c>
      <c r="BH978" s="1">
        <v>63.6</v>
      </c>
      <c r="BI978" s="1"/>
      <c r="BJ978" s="1" t="s">
        <v>17584</v>
      </c>
      <c r="BK978" s="1"/>
      <c r="BL978" s="1"/>
      <c r="BM978" s="1" t="s">
        <v>17585</v>
      </c>
      <c r="BN978" s="1">
        <v>39</v>
      </c>
      <c r="BO978" s="1" t="s">
        <v>17586</v>
      </c>
      <c r="BP978" s="1" t="str">
        <f>HYPERLINK("https://nconnect.nicmar.ac.in/storage/profile/ProfilePhoto_P25703043_964875.jpg","Download")</f>
        <v>0</v>
      </c>
      <c r="BQ978" s="3"/>
      <c r="BR978" s="3"/>
    </row>
    <row r="979" spans="1:70">
      <c r="A979" s="1" t="s">
        <v>552</v>
      </c>
      <c r="B979" s="1" t="s">
        <v>1269</v>
      </c>
      <c r="C979" s="1" t="s">
        <v>17587</v>
      </c>
      <c r="D979" s="1" t="s">
        <v>1117</v>
      </c>
      <c r="E979" s="1" t="s">
        <v>17588</v>
      </c>
      <c r="F979" s="1" t="s">
        <v>17589</v>
      </c>
      <c r="G979" s="1" t="s">
        <v>17590</v>
      </c>
      <c r="H979" s="1" t="s">
        <v>17591</v>
      </c>
      <c r="I979" s="1" t="s">
        <v>17592</v>
      </c>
      <c r="J979" s="1">
        <v>9372846400</v>
      </c>
      <c r="K979" s="1" t="s">
        <v>79</v>
      </c>
      <c r="L979" s="1" t="s">
        <v>17593</v>
      </c>
      <c r="M979" s="1" t="s">
        <v>81</v>
      </c>
      <c r="N979" s="1" t="s">
        <v>2295</v>
      </c>
      <c r="O979" s="1"/>
      <c r="P979" s="1" t="s">
        <v>1323</v>
      </c>
      <c r="Q979" s="1" t="s">
        <v>17594</v>
      </c>
      <c r="R979" s="1" t="s">
        <v>17588</v>
      </c>
      <c r="S979" s="1">
        <v>9324268446</v>
      </c>
      <c r="T979" s="1" t="s">
        <v>496</v>
      </c>
      <c r="U979" s="1" t="s">
        <v>3480</v>
      </c>
      <c r="V979" s="1">
        <v>9619699637</v>
      </c>
      <c r="W979" s="1" t="s">
        <v>651</v>
      </c>
      <c r="X979" s="1" t="s">
        <v>17595</v>
      </c>
      <c r="Y979" s="1" t="s">
        <v>191</v>
      </c>
      <c r="Z979" s="1" t="s">
        <v>92</v>
      </c>
      <c r="AA979" s="1" t="s">
        <v>17595</v>
      </c>
      <c r="AB979" s="1" t="s">
        <v>191</v>
      </c>
      <c r="AC979" s="1" t="s">
        <v>92</v>
      </c>
      <c r="AD979" s="1" t="s">
        <v>93</v>
      </c>
      <c r="AE979" s="1" t="s">
        <v>93</v>
      </c>
      <c r="AF979" s="1" t="s">
        <v>17596</v>
      </c>
      <c r="AG979" s="1" t="s">
        <v>17597</v>
      </c>
      <c r="AH979" s="1" t="s">
        <v>1307</v>
      </c>
      <c r="AI979" s="1" t="s">
        <v>409</v>
      </c>
      <c r="AJ979" s="1">
        <v>64</v>
      </c>
      <c r="AK979" s="1"/>
      <c r="AL979" s="1" t="s">
        <v>701</v>
      </c>
      <c r="AM979" s="1" t="s">
        <v>17598</v>
      </c>
      <c r="AN979" s="1" t="s">
        <v>173</v>
      </c>
      <c r="AO979" s="1" t="s">
        <v>436</v>
      </c>
      <c r="AP979" s="1">
        <v>75.83</v>
      </c>
      <c r="AQ979" s="1"/>
      <c r="AR979" s="1"/>
      <c r="AS979" s="1"/>
      <c r="AT979" s="1"/>
      <c r="AU979" s="1"/>
      <c r="AV979" s="1"/>
      <c r="AW979" s="1"/>
      <c r="AX979" s="1" t="s">
        <v>10208</v>
      </c>
      <c r="AY979" s="1" t="s">
        <v>17599</v>
      </c>
      <c r="AZ979" s="1" t="s">
        <v>1131</v>
      </c>
      <c r="BA979" s="1" t="s">
        <v>3165</v>
      </c>
      <c r="BB979" s="1">
        <v>58</v>
      </c>
      <c r="BC979" s="1">
        <v>7.79</v>
      </c>
      <c r="BD979" s="1"/>
      <c r="BE979" s="1"/>
      <c r="BF979" s="1"/>
      <c r="BG979" s="1"/>
      <c r="BH979" s="1"/>
      <c r="BI979" s="1"/>
      <c r="BJ979" s="1" t="s">
        <v>17600</v>
      </c>
      <c r="BK979" s="1"/>
      <c r="BL979" s="1"/>
      <c r="BM979" s="1" t="s">
        <v>17601</v>
      </c>
      <c r="BN979" s="1">
        <v>50</v>
      </c>
      <c r="BO979" s="1" t="s">
        <v>17602</v>
      </c>
      <c r="BP979" s="1" t="str">
        <f>HYPERLINK("https://nconnect.nicmar.ac.in/storage/profile/ProfilePhoto_P25703044_175329.jpg","Download")</f>
        <v>0</v>
      </c>
      <c r="BQ979" s="3"/>
      <c r="BR979" s="3"/>
    </row>
    <row r="980" spans="1:70">
      <c r="A980" s="1" t="s">
        <v>552</v>
      </c>
      <c r="B980" s="1" t="s">
        <v>1269</v>
      </c>
      <c r="C980" s="1" t="s">
        <v>17603</v>
      </c>
      <c r="D980" s="1" t="s">
        <v>17604</v>
      </c>
      <c r="E980" s="1"/>
      <c r="F980" s="1" t="s">
        <v>17605</v>
      </c>
      <c r="G980" s="1" t="s">
        <v>17606</v>
      </c>
      <c r="H980" s="1" t="s">
        <v>17607</v>
      </c>
      <c r="I980" s="1" t="s">
        <v>17608</v>
      </c>
      <c r="J980" s="1">
        <v>9024276546</v>
      </c>
      <c r="K980" s="1" t="s">
        <v>148</v>
      </c>
      <c r="L980" s="1" t="s">
        <v>17609</v>
      </c>
      <c r="M980" s="1" t="s">
        <v>81</v>
      </c>
      <c r="N980" s="1" t="s">
        <v>241</v>
      </c>
      <c r="O980" s="1"/>
      <c r="P980" s="1" t="s">
        <v>1298</v>
      </c>
      <c r="Q980" s="1" t="s">
        <v>17610</v>
      </c>
      <c r="R980" s="1" t="s">
        <v>17611</v>
      </c>
      <c r="S980" s="1">
        <v>9523278702</v>
      </c>
      <c r="T980" s="1" t="s">
        <v>17612</v>
      </c>
      <c r="U980" s="1" t="s">
        <v>17613</v>
      </c>
      <c r="V980" s="1">
        <v>9155061866</v>
      </c>
      <c r="W980" s="1" t="s">
        <v>273</v>
      </c>
      <c r="X980" s="1" t="s">
        <v>17614</v>
      </c>
      <c r="Y980" s="1" t="s">
        <v>191</v>
      </c>
      <c r="Z980" s="1" t="s">
        <v>92</v>
      </c>
      <c r="AA980" s="1" t="s">
        <v>17615</v>
      </c>
      <c r="AB980" s="1" t="s">
        <v>17616</v>
      </c>
      <c r="AC980" s="1" t="s">
        <v>867</v>
      </c>
      <c r="AD980" s="1">
        <v>8.31</v>
      </c>
      <c r="AE980" s="1" t="s">
        <v>93</v>
      </c>
      <c r="AF980" s="1" t="s">
        <v>17617</v>
      </c>
      <c r="AG980" s="1" t="s">
        <v>17618</v>
      </c>
      <c r="AH980" s="1" t="s">
        <v>162</v>
      </c>
      <c r="AI980" s="1" t="s">
        <v>165</v>
      </c>
      <c r="AJ980" s="1">
        <v>85.5</v>
      </c>
      <c r="AK980" s="1">
        <v>9</v>
      </c>
      <c r="AL980" s="1" t="s">
        <v>17619</v>
      </c>
      <c r="AM980" s="1" t="s">
        <v>17618</v>
      </c>
      <c r="AN980" s="1" t="s">
        <v>101</v>
      </c>
      <c r="AO980" s="1" t="s">
        <v>3672</v>
      </c>
      <c r="AP980" s="1">
        <v>58.6</v>
      </c>
      <c r="AQ980" s="1"/>
      <c r="AR980" s="1"/>
      <c r="AS980" s="1"/>
      <c r="AT980" s="1"/>
      <c r="AU980" s="1"/>
      <c r="AV980" s="1"/>
      <c r="AW980" s="1"/>
      <c r="AX980" s="1" t="s">
        <v>17620</v>
      </c>
      <c r="AY980" s="1" t="s">
        <v>17621</v>
      </c>
      <c r="AZ980" s="1" t="s">
        <v>920</v>
      </c>
      <c r="BA980" s="1" t="s">
        <v>202</v>
      </c>
      <c r="BB980" s="1">
        <v>83.2</v>
      </c>
      <c r="BC980" s="1">
        <v>8.82</v>
      </c>
      <c r="BD980" s="1"/>
      <c r="BE980" s="1"/>
      <c r="BF980" s="1"/>
      <c r="BG980" s="1"/>
      <c r="BH980" s="1"/>
      <c r="BI980" s="1"/>
      <c r="BJ980" s="1" t="s">
        <v>17622</v>
      </c>
      <c r="BK980" s="1"/>
      <c r="BL980" s="1"/>
      <c r="BM980" s="1" t="s">
        <v>17623</v>
      </c>
      <c r="BN980" s="1">
        <v>16</v>
      </c>
      <c r="BO980" s="1" t="s">
        <v>17624</v>
      </c>
      <c r="BP980" s="1" t="str">
        <f>HYPERLINK("https://nconnect.nicmar.ac.in/storage/profile/ProfilePhoto_P25703045_971483.jpg","Download")</f>
        <v>0</v>
      </c>
      <c r="BQ980" s="3"/>
      <c r="BR980" s="3"/>
    </row>
    <row r="981" spans="1:70">
      <c r="A981" s="1" t="s">
        <v>552</v>
      </c>
      <c r="B981" s="1" t="s">
        <v>1269</v>
      </c>
      <c r="C981" s="1" t="s">
        <v>17625</v>
      </c>
      <c r="D981" s="1" t="s">
        <v>2128</v>
      </c>
      <c r="E981" s="1"/>
      <c r="F981" s="1" t="s">
        <v>17626</v>
      </c>
      <c r="G981" s="1" t="s">
        <v>17627</v>
      </c>
      <c r="H981" s="1" t="s">
        <v>17628</v>
      </c>
      <c r="I981" s="1" t="s">
        <v>17629</v>
      </c>
      <c r="J981" s="1">
        <v>6370492152</v>
      </c>
      <c r="K981" s="1" t="s">
        <v>79</v>
      </c>
      <c r="L981" s="1" t="s">
        <v>9065</v>
      </c>
      <c r="M981" s="1" t="s">
        <v>81</v>
      </c>
      <c r="N981" s="1" t="s">
        <v>2393</v>
      </c>
      <c r="O981" s="1"/>
      <c r="P981" s="1" t="s">
        <v>1278</v>
      </c>
      <c r="Q981" s="1" t="s">
        <v>17630</v>
      </c>
      <c r="R981" s="1" t="s">
        <v>17631</v>
      </c>
      <c r="S981" s="1">
        <v>9938822832</v>
      </c>
      <c r="T981" s="1" t="s">
        <v>122</v>
      </c>
      <c r="U981" s="1" t="s">
        <v>17632</v>
      </c>
      <c r="V981" s="1">
        <v>9178244590</v>
      </c>
      <c r="W981" s="1" t="s">
        <v>156</v>
      </c>
      <c r="X981" s="1" t="s">
        <v>17633</v>
      </c>
      <c r="Y981" s="1" t="s">
        <v>10242</v>
      </c>
      <c r="Z981" s="1" t="s">
        <v>1731</v>
      </c>
      <c r="AA981" s="1" t="s">
        <v>17633</v>
      </c>
      <c r="AB981" s="1" t="s">
        <v>10242</v>
      </c>
      <c r="AC981" s="1" t="s">
        <v>1731</v>
      </c>
      <c r="AD981" s="1">
        <v>7.42</v>
      </c>
      <c r="AE981" s="1" t="s">
        <v>93</v>
      </c>
      <c r="AF981" s="1" t="s">
        <v>17634</v>
      </c>
      <c r="AG981" s="1" t="s">
        <v>17635</v>
      </c>
      <c r="AH981" s="1" t="s">
        <v>733</v>
      </c>
      <c r="AI981" s="1" t="s">
        <v>166</v>
      </c>
      <c r="AJ981" s="1">
        <v>79.8</v>
      </c>
      <c r="AK981" s="1"/>
      <c r="AL981" s="1" t="s">
        <v>17634</v>
      </c>
      <c r="AM981" s="1" t="s">
        <v>17635</v>
      </c>
      <c r="AN981" s="1" t="s">
        <v>169</v>
      </c>
      <c r="AO981" s="1" t="s">
        <v>941</v>
      </c>
      <c r="AP981" s="1">
        <v>78.8</v>
      </c>
      <c r="AQ981" s="1"/>
      <c r="AR981" s="1"/>
      <c r="AS981" s="1"/>
      <c r="AT981" s="1"/>
      <c r="AU981" s="1"/>
      <c r="AV981" s="1"/>
      <c r="AW981" s="1"/>
      <c r="AX981" s="1" t="s">
        <v>10401</v>
      </c>
      <c r="AY981" s="1" t="s">
        <v>17636</v>
      </c>
      <c r="AZ981" s="1" t="s">
        <v>920</v>
      </c>
      <c r="BA981" s="1" t="s">
        <v>413</v>
      </c>
      <c r="BB981" s="1">
        <v>73.1</v>
      </c>
      <c r="BC981" s="1">
        <v>7.81</v>
      </c>
      <c r="BD981" s="1"/>
      <c r="BE981" s="1"/>
      <c r="BF981" s="1"/>
      <c r="BG981" s="1"/>
      <c r="BH981" s="1"/>
      <c r="BI981" s="1"/>
      <c r="BJ981" s="1" t="s">
        <v>17637</v>
      </c>
      <c r="BK981" s="1"/>
      <c r="BL981" s="1"/>
      <c r="BM981" s="1"/>
      <c r="BN981" s="1"/>
      <c r="BO981" s="1"/>
      <c r="BP981" s="1" t="str">
        <f>HYPERLINK("https://nconnect.nicmar.ac.in/storage/profile/ProfilePhoto_P25703046_682913.jpg","Download")</f>
        <v>0</v>
      </c>
      <c r="BQ981" s="3"/>
      <c r="BR981" s="3"/>
    </row>
    <row r="982" spans="1:70">
      <c r="A982" s="1" t="s">
        <v>552</v>
      </c>
      <c r="B982" s="1" t="s">
        <v>1269</v>
      </c>
      <c r="C982" s="1" t="s">
        <v>17638</v>
      </c>
      <c r="D982" s="1" t="s">
        <v>2797</v>
      </c>
      <c r="E982" s="1" t="s">
        <v>17639</v>
      </c>
      <c r="F982" s="1" t="s">
        <v>17640</v>
      </c>
      <c r="G982" s="1" t="s">
        <v>17641</v>
      </c>
      <c r="H982" s="1" t="s">
        <v>17642</v>
      </c>
      <c r="I982" s="1" t="s">
        <v>17643</v>
      </c>
      <c r="J982" s="1">
        <v>7848078191</v>
      </c>
      <c r="K982" s="1" t="s">
        <v>148</v>
      </c>
      <c r="L982" s="1" t="s">
        <v>17644</v>
      </c>
      <c r="M982" s="1" t="s">
        <v>81</v>
      </c>
      <c r="N982" s="1" t="s">
        <v>17645</v>
      </c>
      <c r="O982" s="1"/>
      <c r="P982" s="1" t="s">
        <v>1278</v>
      </c>
      <c r="Q982" s="1" t="s">
        <v>17646</v>
      </c>
      <c r="R982" s="1" t="s">
        <v>17647</v>
      </c>
      <c r="S982" s="1">
        <v>9040408070</v>
      </c>
      <c r="T982" s="1" t="s">
        <v>842</v>
      </c>
      <c r="U982" s="1" t="s">
        <v>17648</v>
      </c>
      <c r="V982" s="1">
        <v>7008432431</v>
      </c>
      <c r="W982" s="1" t="s">
        <v>89</v>
      </c>
      <c r="X982" s="1" t="s">
        <v>17649</v>
      </c>
      <c r="Y982" s="1" t="s">
        <v>5211</v>
      </c>
      <c r="Z982" s="1" t="s">
        <v>1731</v>
      </c>
      <c r="AA982" s="1" t="s">
        <v>17649</v>
      </c>
      <c r="AB982" s="1" t="s">
        <v>5211</v>
      </c>
      <c r="AC982" s="1" t="s">
        <v>1731</v>
      </c>
      <c r="AD982" s="1">
        <v>7.92</v>
      </c>
      <c r="AE982" s="1" t="s">
        <v>93</v>
      </c>
      <c r="AF982" s="1" t="s">
        <v>17650</v>
      </c>
      <c r="AG982" s="1" t="s">
        <v>17651</v>
      </c>
      <c r="AH982" s="1" t="s">
        <v>433</v>
      </c>
      <c r="AI982" s="1" t="s">
        <v>941</v>
      </c>
      <c r="AJ982" s="1">
        <v>68</v>
      </c>
      <c r="AK982" s="1">
        <v>0</v>
      </c>
      <c r="AL982" s="1" t="s">
        <v>17652</v>
      </c>
      <c r="AM982" s="1" t="s">
        <v>17653</v>
      </c>
      <c r="AN982" s="1" t="s">
        <v>1131</v>
      </c>
      <c r="AO982" s="1" t="s">
        <v>2690</v>
      </c>
      <c r="AP982" s="1">
        <v>81.6</v>
      </c>
      <c r="AQ982" s="1">
        <v>0</v>
      </c>
      <c r="AR982" s="1"/>
      <c r="AS982" s="1"/>
      <c r="AT982" s="1"/>
      <c r="AU982" s="1"/>
      <c r="AV982" s="1"/>
      <c r="AW982" s="1"/>
      <c r="AX982" s="1" t="s">
        <v>17654</v>
      </c>
      <c r="AY982" s="1" t="s">
        <v>17655</v>
      </c>
      <c r="AZ982" s="1" t="s">
        <v>874</v>
      </c>
      <c r="BA982" s="1" t="s">
        <v>9347</v>
      </c>
      <c r="BB982" s="1">
        <v>76.5</v>
      </c>
      <c r="BC982" s="1">
        <v>8.15</v>
      </c>
      <c r="BD982" s="1"/>
      <c r="BE982" s="1"/>
      <c r="BF982" s="1"/>
      <c r="BG982" s="1"/>
      <c r="BH982" s="1"/>
      <c r="BI982" s="1"/>
      <c r="BJ982" s="1" t="s">
        <v>734</v>
      </c>
      <c r="BK982" s="1"/>
      <c r="BL982" s="1"/>
      <c r="BM982" s="1" t="s">
        <v>17656</v>
      </c>
      <c r="BN982" s="1">
        <v>8</v>
      </c>
      <c r="BO982" s="1" t="s">
        <v>17657</v>
      </c>
      <c r="BP982" s="1" t="str">
        <f>HYPERLINK("https://nconnect.nicmar.ac.in/storage/profile/ProfilePhoto_P25703047_245896.jpg","Download")</f>
        <v>0</v>
      </c>
      <c r="BQ982" s="3"/>
      <c r="BR982" s="3"/>
    </row>
    <row r="983" spans="1:70">
      <c r="A983" s="1" t="s">
        <v>552</v>
      </c>
      <c r="B983" s="1" t="s">
        <v>1269</v>
      </c>
      <c r="C983" s="1" t="s">
        <v>17658</v>
      </c>
      <c r="D983" s="1" t="s">
        <v>1740</v>
      </c>
      <c r="E983" s="1"/>
      <c r="F983" s="1" t="s">
        <v>17659</v>
      </c>
      <c r="G983" s="1" t="s">
        <v>17660</v>
      </c>
      <c r="H983" s="1" t="s">
        <v>17661</v>
      </c>
      <c r="I983" s="1" t="s">
        <v>17662</v>
      </c>
      <c r="J983" s="1">
        <v>8219925916</v>
      </c>
      <c r="K983" s="1" t="s">
        <v>79</v>
      </c>
      <c r="L983" s="1" t="s">
        <v>17663</v>
      </c>
      <c r="M983" s="1" t="s">
        <v>81</v>
      </c>
      <c r="N983" s="1" t="s">
        <v>5056</v>
      </c>
      <c r="O983" s="1" t="s">
        <v>17664</v>
      </c>
      <c r="P983" s="1" t="s">
        <v>1766</v>
      </c>
      <c r="Q983" s="1" t="s">
        <v>17665</v>
      </c>
      <c r="R983" s="1" t="s">
        <v>17666</v>
      </c>
      <c r="S983" s="1">
        <v>7876661552</v>
      </c>
      <c r="T983" s="1" t="s">
        <v>1351</v>
      </c>
      <c r="U983" s="1" t="s">
        <v>17667</v>
      </c>
      <c r="V983" s="1">
        <v>8219703855</v>
      </c>
      <c r="W983" s="1" t="s">
        <v>89</v>
      </c>
      <c r="X983" s="1" t="s">
        <v>17668</v>
      </c>
      <c r="Y983" s="1" t="s">
        <v>4691</v>
      </c>
      <c r="Z983" s="1" t="s">
        <v>3426</v>
      </c>
      <c r="AA983" s="1" t="s">
        <v>17668</v>
      </c>
      <c r="AB983" s="1" t="s">
        <v>4691</v>
      </c>
      <c r="AC983" s="1" t="s">
        <v>3426</v>
      </c>
      <c r="AD983" s="1">
        <v>7.7</v>
      </c>
      <c r="AE983" s="1" t="s">
        <v>93</v>
      </c>
      <c r="AF983" s="1" t="s">
        <v>17669</v>
      </c>
      <c r="AG983" s="1" t="s">
        <v>307</v>
      </c>
      <c r="AH983" s="1" t="s">
        <v>281</v>
      </c>
      <c r="AI983" s="1" t="s">
        <v>308</v>
      </c>
      <c r="AJ983" s="1">
        <v>84.6</v>
      </c>
      <c r="AK983" s="1"/>
      <c r="AL983" s="1" t="s">
        <v>17669</v>
      </c>
      <c r="AM983" s="1" t="s">
        <v>307</v>
      </c>
      <c r="AN983" s="1" t="s">
        <v>360</v>
      </c>
      <c r="AO983" s="1" t="s">
        <v>506</v>
      </c>
      <c r="AP983" s="1">
        <v>90.4</v>
      </c>
      <c r="AQ983" s="1"/>
      <c r="AR983" s="1"/>
      <c r="AS983" s="1"/>
      <c r="AT983" s="1"/>
      <c r="AU983" s="1"/>
      <c r="AV983" s="1"/>
      <c r="AW983" s="1"/>
      <c r="AX983" s="1" t="s">
        <v>17670</v>
      </c>
      <c r="AY983" s="1" t="s">
        <v>17671</v>
      </c>
      <c r="AZ983" s="1" t="s">
        <v>1051</v>
      </c>
      <c r="BA983" s="1" t="s">
        <v>944</v>
      </c>
      <c r="BB983" s="1">
        <v>83.3</v>
      </c>
      <c r="BC983" s="1">
        <v>8.33</v>
      </c>
      <c r="BD983" s="1"/>
      <c r="BE983" s="1"/>
      <c r="BF983" s="1"/>
      <c r="BG983" s="1"/>
      <c r="BH983" s="1"/>
      <c r="BI983" s="1"/>
      <c r="BJ983" s="1" t="s">
        <v>17672</v>
      </c>
      <c r="BK983" s="1"/>
      <c r="BL983" s="1"/>
      <c r="BM983" s="1" t="s">
        <v>17673</v>
      </c>
      <c r="BN983" s="1">
        <v>35</v>
      </c>
      <c r="BO983" s="1" t="s">
        <v>17674</v>
      </c>
      <c r="BP983" s="1" t="str">
        <f>HYPERLINK("https://nconnect.nicmar.ac.in/storage/profile/ProfilePhoto_P25703048_983516.jpg","Download")</f>
        <v>0</v>
      </c>
      <c r="BQ983" s="3"/>
      <c r="BR983" s="3"/>
    </row>
    <row r="984" spans="1:70">
      <c r="A984" s="1" t="s">
        <v>552</v>
      </c>
      <c r="B984" s="1" t="s">
        <v>1269</v>
      </c>
      <c r="C984" s="1" t="s">
        <v>17675</v>
      </c>
      <c r="D984" s="1" t="s">
        <v>13852</v>
      </c>
      <c r="E984" s="1"/>
      <c r="F984" s="1" t="s">
        <v>17676</v>
      </c>
      <c r="G984" s="1" t="s">
        <v>17677</v>
      </c>
      <c r="H984" s="1" t="s">
        <v>17678</v>
      </c>
      <c r="I984" s="1" t="s">
        <v>17679</v>
      </c>
      <c r="J984" s="1">
        <v>9503521182</v>
      </c>
      <c r="K984" s="1" t="s">
        <v>148</v>
      </c>
      <c r="L984" s="1" t="s">
        <v>17680</v>
      </c>
      <c r="M984" s="1" t="s">
        <v>150</v>
      </c>
      <c r="N984" s="1" t="s">
        <v>5056</v>
      </c>
      <c r="O984" s="1"/>
      <c r="P984" s="1" t="s">
        <v>1298</v>
      </c>
      <c r="Q984" s="1" t="s">
        <v>17681</v>
      </c>
      <c r="R984" s="1" t="s">
        <v>17682</v>
      </c>
      <c r="S984" s="1">
        <v>9413108658</v>
      </c>
      <c r="T984" s="1" t="s">
        <v>496</v>
      </c>
      <c r="U984" s="1" t="s">
        <v>17683</v>
      </c>
      <c r="V984" s="1">
        <v>9024555685</v>
      </c>
      <c r="W984" s="1" t="s">
        <v>89</v>
      </c>
      <c r="X984" s="1" t="s">
        <v>17684</v>
      </c>
      <c r="Y984" s="1" t="s">
        <v>191</v>
      </c>
      <c r="Z984" s="1" t="s">
        <v>92</v>
      </c>
      <c r="AA984" s="1" t="s">
        <v>17685</v>
      </c>
      <c r="AB984" s="1" t="s">
        <v>766</v>
      </c>
      <c r="AC984" s="1" t="s">
        <v>92</v>
      </c>
      <c r="AD984" s="1">
        <v>9.45</v>
      </c>
      <c r="AE984" s="1" t="s">
        <v>93</v>
      </c>
      <c r="AF984" s="1" t="s">
        <v>17686</v>
      </c>
      <c r="AG984" s="1" t="s">
        <v>17687</v>
      </c>
      <c r="AH984" s="1" t="s">
        <v>2223</v>
      </c>
      <c r="AI984" s="1" t="s">
        <v>17688</v>
      </c>
      <c r="AJ984" s="1">
        <v>68</v>
      </c>
      <c r="AK984" s="1"/>
      <c r="AL984" s="1" t="s">
        <v>17689</v>
      </c>
      <c r="AM984" s="1" t="s">
        <v>17687</v>
      </c>
      <c r="AN984" s="1" t="s">
        <v>17690</v>
      </c>
      <c r="AO984" s="1" t="s">
        <v>17691</v>
      </c>
      <c r="AP984" s="1">
        <v>68.31</v>
      </c>
      <c r="AQ984" s="1"/>
      <c r="AR984" s="1"/>
      <c r="AS984" s="1"/>
      <c r="AT984" s="1"/>
      <c r="AU984" s="1"/>
      <c r="AV984" s="1"/>
      <c r="AW984" s="1"/>
      <c r="AX984" s="1" t="s">
        <v>17692</v>
      </c>
      <c r="AY984" s="1" t="s">
        <v>17693</v>
      </c>
      <c r="AZ984" s="1" t="s">
        <v>17691</v>
      </c>
      <c r="BA984" s="1" t="s">
        <v>2830</v>
      </c>
      <c r="BB984" s="1">
        <v>57.72</v>
      </c>
      <c r="BC984" s="1"/>
      <c r="BD984" s="1" t="s">
        <v>17694</v>
      </c>
      <c r="BE984" s="1" t="s">
        <v>17695</v>
      </c>
      <c r="BF984" s="1" t="s">
        <v>17696</v>
      </c>
      <c r="BG984" s="1" t="s">
        <v>14761</v>
      </c>
      <c r="BH984" s="1">
        <v>56.55</v>
      </c>
      <c r="BI984" s="1"/>
      <c r="BJ984" s="1" t="s">
        <v>17697</v>
      </c>
      <c r="BK984" s="1" t="s">
        <v>17698</v>
      </c>
      <c r="BL984" s="1" t="s">
        <v>17699</v>
      </c>
      <c r="BM984" s="1" t="s">
        <v>17700</v>
      </c>
      <c r="BN984" s="1">
        <v>190</v>
      </c>
      <c r="BO984" s="1" t="s">
        <v>17701</v>
      </c>
      <c r="BP984" s="1" t="str">
        <f>HYPERLINK("https://nconnect.nicmar.ac.in/storage/profile/ProfilePhoto_P25703049_251834.jpg","Download")</f>
        <v>0</v>
      </c>
      <c r="BQ984" s="3"/>
      <c r="BR984" s="3"/>
    </row>
    <row r="985" spans="1:70">
      <c r="A985" s="1" t="s">
        <v>552</v>
      </c>
      <c r="B985" s="1" t="s">
        <v>1269</v>
      </c>
      <c r="C985" s="1" t="s">
        <v>17702</v>
      </c>
      <c r="D985" s="1" t="s">
        <v>12008</v>
      </c>
      <c r="E985" s="1" t="s">
        <v>13515</v>
      </c>
      <c r="F985" s="1" t="s">
        <v>17703</v>
      </c>
      <c r="G985" s="1" t="s">
        <v>17704</v>
      </c>
      <c r="H985" s="1" t="s">
        <v>17705</v>
      </c>
      <c r="I985" s="1" t="s">
        <v>17706</v>
      </c>
      <c r="J985" s="1">
        <v>9307233096</v>
      </c>
      <c r="K985" s="1" t="s">
        <v>79</v>
      </c>
      <c r="L985" s="1" t="s">
        <v>17707</v>
      </c>
      <c r="M985" s="1" t="s">
        <v>81</v>
      </c>
      <c r="N985" s="1" t="s">
        <v>17708</v>
      </c>
      <c r="O985" s="1" t="s">
        <v>17709</v>
      </c>
      <c r="P985" s="1" t="s">
        <v>1766</v>
      </c>
      <c r="Q985" s="1" t="s">
        <v>17710</v>
      </c>
      <c r="R985" s="1" t="s">
        <v>17711</v>
      </c>
      <c r="S985" s="1">
        <v>8208380543</v>
      </c>
      <c r="T985" s="1" t="s">
        <v>154</v>
      </c>
      <c r="U985" s="1" t="s">
        <v>17712</v>
      </c>
      <c r="V985" s="1">
        <v>7972675544</v>
      </c>
      <c r="W985" s="1" t="s">
        <v>156</v>
      </c>
      <c r="X985" s="1" t="s">
        <v>17713</v>
      </c>
      <c r="Y985" s="1" t="s">
        <v>191</v>
      </c>
      <c r="Z985" s="1" t="s">
        <v>92</v>
      </c>
      <c r="AA985" s="1" t="s">
        <v>17714</v>
      </c>
      <c r="AB985" s="1" t="s">
        <v>1887</v>
      </c>
      <c r="AC985" s="1" t="s">
        <v>92</v>
      </c>
      <c r="AD985" s="1" t="s">
        <v>93</v>
      </c>
      <c r="AE985" s="1" t="s">
        <v>93</v>
      </c>
      <c r="AF985" s="1" t="s">
        <v>17715</v>
      </c>
      <c r="AG985" s="1" t="s">
        <v>544</v>
      </c>
      <c r="AH985" s="1" t="s">
        <v>162</v>
      </c>
      <c r="AI985" s="1" t="s">
        <v>165</v>
      </c>
      <c r="AJ985" s="1">
        <v>88.8</v>
      </c>
      <c r="AK985" s="1">
        <v>0</v>
      </c>
      <c r="AL985" s="1" t="s">
        <v>17716</v>
      </c>
      <c r="AM985" s="1" t="s">
        <v>17717</v>
      </c>
      <c r="AN985" s="1" t="s">
        <v>101</v>
      </c>
      <c r="AO985" s="1" t="s">
        <v>433</v>
      </c>
      <c r="AP985" s="1">
        <v>63.69</v>
      </c>
      <c r="AQ985" s="1">
        <v>0</v>
      </c>
      <c r="AR985" s="1"/>
      <c r="AS985" s="1"/>
      <c r="AT985" s="1"/>
      <c r="AU985" s="1"/>
      <c r="AV985" s="1"/>
      <c r="AW985" s="1"/>
      <c r="AX985" s="1" t="s">
        <v>2691</v>
      </c>
      <c r="AY985" s="1" t="s">
        <v>17718</v>
      </c>
      <c r="AZ985" s="1" t="s">
        <v>310</v>
      </c>
      <c r="BA985" s="1" t="s">
        <v>8085</v>
      </c>
      <c r="BB985" s="1">
        <v>55</v>
      </c>
      <c r="BC985" s="1">
        <v>6.02</v>
      </c>
      <c r="BD985" s="1"/>
      <c r="BE985" s="1"/>
      <c r="BF985" s="1"/>
      <c r="BG985" s="1"/>
      <c r="BH985" s="1"/>
      <c r="BI985" s="1"/>
      <c r="BJ985" s="1" t="s">
        <v>17719</v>
      </c>
      <c r="BK985" s="1"/>
      <c r="BL985" s="1"/>
      <c r="BM985" s="1" t="s">
        <v>17720</v>
      </c>
      <c r="BN985" s="1">
        <v>20</v>
      </c>
      <c r="BO985" s="1"/>
      <c r="BP985" s="1" t="str">
        <f>HYPERLINK("https://nconnect.nicmar.ac.in/storage/profile/ProfilePhoto_P25703050_934657.jpg","Download")</f>
        <v>0</v>
      </c>
      <c r="BQ985" s="3"/>
      <c r="BR985" s="3"/>
    </row>
    <row r="986" spans="1:70">
      <c r="A986" s="1" t="s">
        <v>552</v>
      </c>
      <c r="B986" s="1" t="s">
        <v>1269</v>
      </c>
      <c r="C986" s="1" t="s">
        <v>17721</v>
      </c>
      <c r="D986" s="1" t="s">
        <v>17722</v>
      </c>
      <c r="E986" s="1"/>
      <c r="F986" s="1" t="s">
        <v>17723</v>
      </c>
      <c r="G986" s="1" t="s">
        <v>17724</v>
      </c>
      <c r="H986" s="1" t="s">
        <v>17725</v>
      </c>
      <c r="I986" s="1" t="s">
        <v>17726</v>
      </c>
      <c r="J986" s="1">
        <v>9149518010</v>
      </c>
      <c r="K986" s="1" t="s">
        <v>148</v>
      </c>
      <c r="L986" s="1" t="s">
        <v>17727</v>
      </c>
      <c r="M986" s="1" t="s">
        <v>81</v>
      </c>
      <c r="N986" s="1" t="s">
        <v>17728</v>
      </c>
      <c r="O986" s="1" t="s">
        <v>17729</v>
      </c>
      <c r="P986" s="1" t="s">
        <v>1766</v>
      </c>
      <c r="Q986" s="1" t="s">
        <v>17730</v>
      </c>
      <c r="R986" s="1" t="s">
        <v>17731</v>
      </c>
      <c r="S986" s="1">
        <v>9906272595</v>
      </c>
      <c r="T986" s="1" t="s">
        <v>910</v>
      </c>
      <c r="U986" s="1" t="s">
        <v>17732</v>
      </c>
      <c r="V986" s="1">
        <v>9596953999</v>
      </c>
      <c r="W986" s="1" t="s">
        <v>156</v>
      </c>
      <c r="X986" s="1" t="s">
        <v>17733</v>
      </c>
      <c r="Y986" s="1" t="s">
        <v>17734</v>
      </c>
      <c r="Z986" s="1" t="s">
        <v>9568</v>
      </c>
      <c r="AA986" s="1" t="s">
        <v>17733</v>
      </c>
      <c r="AB986" s="1" t="s">
        <v>17734</v>
      </c>
      <c r="AC986" s="1" t="s">
        <v>9568</v>
      </c>
      <c r="AD986" s="1">
        <v>7.34</v>
      </c>
      <c r="AE986" s="1" t="s">
        <v>93</v>
      </c>
      <c r="AF986" s="1" t="s">
        <v>17735</v>
      </c>
      <c r="AG986" s="1" t="s">
        <v>17736</v>
      </c>
      <c r="AH986" s="1" t="s">
        <v>1307</v>
      </c>
      <c r="AI986" s="1" t="s">
        <v>308</v>
      </c>
      <c r="AJ986" s="1">
        <v>91.2</v>
      </c>
      <c r="AK986" s="1">
        <v>9.6</v>
      </c>
      <c r="AL986" s="1" t="s">
        <v>17737</v>
      </c>
      <c r="AM986" s="1" t="s">
        <v>17738</v>
      </c>
      <c r="AN986" s="1" t="s">
        <v>1834</v>
      </c>
      <c r="AO986" s="1" t="s">
        <v>506</v>
      </c>
      <c r="AP986" s="1">
        <v>75.6</v>
      </c>
      <c r="AQ986" s="1"/>
      <c r="AR986" s="1"/>
      <c r="AS986" s="1"/>
      <c r="AT986" s="1"/>
      <c r="AU986" s="1"/>
      <c r="AV986" s="1"/>
      <c r="AW986" s="1"/>
      <c r="AX986" s="1" t="s">
        <v>17739</v>
      </c>
      <c r="AY986" s="1" t="s">
        <v>17739</v>
      </c>
      <c r="AZ986" s="1" t="s">
        <v>1407</v>
      </c>
      <c r="BA986" s="1" t="s">
        <v>202</v>
      </c>
      <c r="BB986" s="1">
        <v>67.2</v>
      </c>
      <c r="BC986" s="1">
        <v>6.72</v>
      </c>
      <c r="BD986" s="1"/>
      <c r="BE986" s="1"/>
      <c r="BF986" s="1"/>
      <c r="BG986" s="1"/>
      <c r="BH986" s="1"/>
      <c r="BI986" s="1"/>
      <c r="BJ986" s="1" t="s">
        <v>734</v>
      </c>
      <c r="BK986" s="1"/>
      <c r="BL986" s="1"/>
      <c r="BM986" s="1" t="s">
        <v>17740</v>
      </c>
      <c r="BN986" s="1">
        <v>14</v>
      </c>
      <c r="BO986" s="1" t="s">
        <v>17741</v>
      </c>
      <c r="BP986" s="1" t="str">
        <f>HYPERLINK("https://nconnect.nicmar.ac.in/storage/profile/ProfilePhoto_P25703051_276439.jpg","Download")</f>
        <v>0</v>
      </c>
      <c r="BQ986" s="3"/>
      <c r="BR986" s="3"/>
    </row>
    <row r="987" spans="1:70">
      <c r="A987" s="1" t="s">
        <v>552</v>
      </c>
      <c r="B987" s="1" t="s">
        <v>1269</v>
      </c>
      <c r="C987" s="1" t="s">
        <v>17742</v>
      </c>
      <c r="D987" s="1" t="s">
        <v>17743</v>
      </c>
      <c r="E987" s="1" t="s">
        <v>596</v>
      </c>
      <c r="F987" s="1" t="s">
        <v>1818</v>
      </c>
      <c r="G987" s="1" t="s">
        <v>17744</v>
      </c>
      <c r="H987" s="1" t="s">
        <v>17745</v>
      </c>
      <c r="I987" s="1" t="s">
        <v>17746</v>
      </c>
      <c r="J987" s="1">
        <v>8789287176</v>
      </c>
      <c r="K987" s="1" t="s">
        <v>79</v>
      </c>
      <c r="L987" s="1" t="s">
        <v>7853</v>
      </c>
      <c r="M987" s="1" t="s">
        <v>81</v>
      </c>
      <c r="N987" s="1" t="s">
        <v>2880</v>
      </c>
      <c r="O987" s="1"/>
      <c r="P987" s="1" t="s">
        <v>1298</v>
      </c>
      <c r="Q987" s="1" t="s">
        <v>17747</v>
      </c>
      <c r="R987" s="1" t="s">
        <v>17748</v>
      </c>
      <c r="S987" s="1">
        <v>8539077469</v>
      </c>
      <c r="T987" s="1" t="s">
        <v>6251</v>
      </c>
      <c r="U987" s="1" t="s">
        <v>17749</v>
      </c>
      <c r="V987" s="1">
        <v>9430286828</v>
      </c>
      <c r="W987" s="1" t="s">
        <v>156</v>
      </c>
      <c r="X987" s="1" t="s">
        <v>17750</v>
      </c>
      <c r="Y987" s="1" t="s">
        <v>191</v>
      </c>
      <c r="Z987" s="1" t="s">
        <v>92</v>
      </c>
      <c r="AA987" s="1" t="s">
        <v>17751</v>
      </c>
      <c r="AB987" s="1" t="s">
        <v>845</v>
      </c>
      <c r="AC987" s="1" t="s">
        <v>846</v>
      </c>
      <c r="AD987" s="1">
        <v>7.26</v>
      </c>
      <c r="AE987" s="1" t="s">
        <v>93</v>
      </c>
      <c r="AF987" s="1" t="s">
        <v>17752</v>
      </c>
      <c r="AG987" s="1" t="s">
        <v>9727</v>
      </c>
      <c r="AH987" s="1" t="s">
        <v>4712</v>
      </c>
      <c r="AI987" s="1" t="s">
        <v>166</v>
      </c>
      <c r="AJ987" s="1">
        <v>58.5</v>
      </c>
      <c r="AK987" s="1"/>
      <c r="AL987" s="1" t="s">
        <v>17752</v>
      </c>
      <c r="AM987" s="1" t="s">
        <v>9727</v>
      </c>
      <c r="AN987" s="1" t="s">
        <v>169</v>
      </c>
      <c r="AO987" s="1" t="s">
        <v>173</v>
      </c>
      <c r="AP987" s="1">
        <v>61.4</v>
      </c>
      <c r="AQ987" s="1"/>
      <c r="AR987" s="1"/>
      <c r="AS987" s="1"/>
      <c r="AT987" s="1"/>
      <c r="AU987" s="1"/>
      <c r="AV987" s="1"/>
      <c r="AW987" s="1"/>
      <c r="AX987" s="1" t="s">
        <v>9405</v>
      </c>
      <c r="AY987" s="1" t="s">
        <v>17753</v>
      </c>
      <c r="AZ987" s="1" t="s">
        <v>436</v>
      </c>
      <c r="BA987" s="1" t="s">
        <v>3165</v>
      </c>
      <c r="BB987" s="1">
        <v>72.87</v>
      </c>
      <c r="BC987" s="1">
        <v>7.67</v>
      </c>
      <c r="BD987" s="1"/>
      <c r="BE987" s="1"/>
      <c r="BF987" s="1"/>
      <c r="BG987" s="1"/>
      <c r="BH987" s="1"/>
      <c r="BI987" s="1"/>
      <c r="BJ987" s="1" t="s">
        <v>734</v>
      </c>
      <c r="BK987" s="1"/>
      <c r="BL987" s="1"/>
      <c r="BM987" s="1" t="s">
        <v>17754</v>
      </c>
      <c r="BN987" s="1">
        <v>8</v>
      </c>
      <c r="BO987" s="1" t="s">
        <v>17755</v>
      </c>
      <c r="BP987" s="1" t="str">
        <f>HYPERLINK("https://nconnect.nicmar.ac.in/storage/profile/ProfilePhoto_P25703052_721359.jpg","Download")</f>
        <v>0</v>
      </c>
      <c r="BQ987" s="3"/>
      <c r="BR987" s="3"/>
    </row>
    <row r="988" spans="1:70">
      <c r="A988" s="1" t="s">
        <v>552</v>
      </c>
      <c r="B988" s="1" t="s">
        <v>1269</v>
      </c>
      <c r="C988" s="1" t="s">
        <v>17756</v>
      </c>
      <c r="D988" s="1" t="s">
        <v>793</v>
      </c>
      <c r="E988" s="1" t="s">
        <v>6490</v>
      </c>
      <c r="F988" s="1" t="s">
        <v>3911</v>
      </c>
      <c r="G988" s="1" t="s">
        <v>17757</v>
      </c>
      <c r="H988" s="1" t="s">
        <v>17758</v>
      </c>
      <c r="I988" s="1" t="s">
        <v>17759</v>
      </c>
      <c r="J988" s="1">
        <v>7757997698</v>
      </c>
      <c r="K988" s="1" t="s">
        <v>79</v>
      </c>
      <c r="L988" s="1" t="s">
        <v>17760</v>
      </c>
      <c r="M988" s="1" t="s">
        <v>81</v>
      </c>
      <c r="N988" s="1" t="s">
        <v>1618</v>
      </c>
      <c r="O988" s="1"/>
      <c r="P988" s="1" t="s">
        <v>1323</v>
      </c>
      <c r="Q988" s="1" t="s">
        <v>17761</v>
      </c>
      <c r="R988" s="1" t="s">
        <v>6490</v>
      </c>
      <c r="S988" s="1">
        <v>9850240410</v>
      </c>
      <c r="T988" s="1" t="s">
        <v>496</v>
      </c>
      <c r="U988" s="1" t="s">
        <v>3816</v>
      </c>
      <c r="V988" s="1">
        <v>8600358985</v>
      </c>
      <c r="W988" s="1" t="s">
        <v>496</v>
      </c>
      <c r="X988" s="1" t="s">
        <v>17762</v>
      </c>
      <c r="Y988" s="1" t="s">
        <v>91</v>
      </c>
      <c r="Z988" s="1" t="s">
        <v>92</v>
      </c>
      <c r="AA988" s="1" t="s">
        <v>17762</v>
      </c>
      <c r="AB988" s="1" t="s">
        <v>91</v>
      </c>
      <c r="AC988" s="1" t="s">
        <v>92</v>
      </c>
      <c r="AD988" s="1" t="s">
        <v>93</v>
      </c>
      <c r="AE988" s="1" t="s">
        <v>93</v>
      </c>
      <c r="AF988" s="1" t="s">
        <v>17763</v>
      </c>
      <c r="AG988" s="1" t="s">
        <v>160</v>
      </c>
      <c r="AH988" s="1" t="s">
        <v>101</v>
      </c>
      <c r="AI988" s="1" t="s">
        <v>409</v>
      </c>
      <c r="AJ988" s="1">
        <v>60.8</v>
      </c>
      <c r="AK988" s="1"/>
      <c r="AL988" s="1" t="s">
        <v>17764</v>
      </c>
      <c r="AM988" s="1" t="s">
        <v>160</v>
      </c>
      <c r="AN988" s="1" t="s">
        <v>699</v>
      </c>
      <c r="AO988" s="1" t="s">
        <v>504</v>
      </c>
      <c r="AP988" s="1">
        <v>76.83</v>
      </c>
      <c r="AQ988" s="1"/>
      <c r="AR988" s="1"/>
      <c r="AS988" s="1"/>
      <c r="AT988" s="1"/>
      <c r="AU988" s="1"/>
      <c r="AV988" s="1"/>
      <c r="AW988" s="1"/>
      <c r="AX988" s="1" t="s">
        <v>17765</v>
      </c>
      <c r="AY988" s="1" t="s">
        <v>5177</v>
      </c>
      <c r="AZ988" s="1" t="s">
        <v>1407</v>
      </c>
      <c r="BA988" s="1" t="s">
        <v>702</v>
      </c>
      <c r="BB988" s="1">
        <v>67.1</v>
      </c>
      <c r="BC988" s="1">
        <v>6.71</v>
      </c>
      <c r="BD988" s="1"/>
      <c r="BE988" s="1"/>
      <c r="BF988" s="1"/>
      <c r="BG988" s="1"/>
      <c r="BH988" s="1"/>
      <c r="BI988" s="1"/>
      <c r="BJ988" s="1" t="s">
        <v>17766</v>
      </c>
      <c r="BK988" s="1"/>
      <c r="BL988" s="1"/>
      <c r="BM988" s="1" t="s">
        <v>17767</v>
      </c>
      <c r="BN988" s="1">
        <v>9</v>
      </c>
      <c r="BO988" s="1"/>
      <c r="BP988" s="1" t="str">
        <f>HYPERLINK("https://nconnect.nicmar.ac.in/storage/profile/ProfilePhoto_P25703053_389456.jpg","Download")</f>
        <v>0</v>
      </c>
      <c r="BQ988" s="3"/>
      <c r="BR988" s="3"/>
    </row>
    <row r="989" spans="1:70">
      <c r="A989" s="1" t="s">
        <v>552</v>
      </c>
      <c r="B989" s="1" t="s">
        <v>1269</v>
      </c>
      <c r="C989" s="1" t="s">
        <v>17768</v>
      </c>
      <c r="D989" s="1" t="s">
        <v>12269</v>
      </c>
      <c r="E989" s="1" t="s">
        <v>465</v>
      </c>
      <c r="F989" s="1" t="s">
        <v>2024</v>
      </c>
      <c r="G989" s="1" t="s">
        <v>17769</v>
      </c>
      <c r="H989" s="1" t="s">
        <v>17770</v>
      </c>
      <c r="I989" s="1" t="s">
        <v>17771</v>
      </c>
      <c r="J989" s="1">
        <v>9021655495</v>
      </c>
      <c r="K989" s="1" t="s">
        <v>79</v>
      </c>
      <c r="L989" s="1" t="s">
        <v>17772</v>
      </c>
      <c r="M989" s="1" t="s">
        <v>81</v>
      </c>
      <c r="N989" s="1" t="s">
        <v>1418</v>
      </c>
      <c r="O989" s="1" t="s">
        <v>17773</v>
      </c>
      <c r="P989" s="1" t="s">
        <v>1323</v>
      </c>
      <c r="Q989" s="1" t="s">
        <v>17774</v>
      </c>
      <c r="R989" s="1" t="s">
        <v>465</v>
      </c>
      <c r="S989" s="1">
        <v>9403717695</v>
      </c>
      <c r="T989" s="1" t="s">
        <v>154</v>
      </c>
      <c r="U989" s="1" t="s">
        <v>17775</v>
      </c>
      <c r="V989" s="1">
        <v>9423166507</v>
      </c>
      <c r="W989" s="1" t="s">
        <v>122</v>
      </c>
      <c r="X989" s="1" t="s">
        <v>17776</v>
      </c>
      <c r="Y989" s="1" t="s">
        <v>191</v>
      </c>
      <c r="Z989" s="1" t="s">
        <v>92</v>
      </c>
      <c r="AA989" s="1" t="s">
        <v>17777</v>
      </c>
      <c r="AB989" s="1" t="s">
        <v>6399</v>
      </c>
      <c r="AC989" s="1" t="s">
        <v>92</v>
      </c>
      <c r="AD989" s="1" t="s">
        <v>93</v>
      </c>
      <c r="AE989" s="1" t="s">
        <v>93</v>
      </c>
      <c r="AF989" s="1" t="s">
        <v>17778</v>
      </c>
      <c r="AG989" s="1" t="s">
        <v>17779</v>
      </c>
      <c r="AH989" s="1" t="s">
        <v>165</v>
      </c>
      <c r="AI989" s="1" t="s">
        <v>281</v>
      </c>
      <c r="AJ989" s="1">
        <v>60.4</v>
      </c>
      <c r="AK989" s="1">
        <v>6.36</v>
      </c>
      <c r="AL989" s="1" t="s">
        <v>17780</v>
      </c>
      <c r="AM989" s="1" t="s">
        <v>17781</v>
      </c>
      <c r="AN989" s="1" t="s">
        <v>433</v>
      </c>
      <c r="AO989" s="1" t="s">
        <v>941</v>
      </c>
      <c r="AP989" s="1">
        <v>77.23</v>
      </c>
      <c r="AQ989" s="1">
        <v>8.13</v>
      </c>
      <c r="AR989" s="1"/>
      <c r="AS989" s="1"/>
      <c r="AT989" s="1"/>
      <c r="AU989" s="1"/>
      <c r="AV989" s="1"/>
      <c r="AW989" s="1"/>
      <c r="AX989" s="1" t="s">
        <v>17782</v>
      </c>
      <c r="AY989" s="1" t="s">
        <v>17783</v>
      </c>
      <c r="AZ989" s="1" t="s">
        <v>2463</v>
      </c>
      <c r="BA989" s="1" t="s">
        <v>682</v>
      </c>
      <c r="BB989" s="1">
        <v>64.59</v>
      </c>
      <c r="BC989" s="1"/>
      <c r="BD989" s="1"/>
      <c r="BE989" s="1"/>
      <c r="BF989" s="1"/>
      <c r="BG989" s="1"/>
      <c r="BH989" s="1"/>
      <c r="BI989" s="1"/>
      <c r="BJ989" s="1" t="s">
        <v>17784</v>
      </c>
      <c r="BK989" s="1"/>
      <c r="BL989" s="1"/>
      <c r="BM989" s="1" t="s">
        <v>17785</v>
      </c>
      <c r="BN989" s="1">
        <v>54</v>
      </c>
      <c r="BO989" s="1" t="s">
        <v>17786</v>
      </c>
      <c r="BP989" s="1" t="str">
        <f>HYPERLINK("https://nconnect.nicmar.ac.in/storage/profile/ProfilePhoto_P25703054_851264.jpg","Download")</f>
        <v>0</v>
      </c>
      <c r="BQ989" s="3"/>
      <c r="BR989" s="3"/>
    </row>
    <row r="990" spans="1:70">
      <c r="A990" s="1" t="s">
        <v>552</v>
      </c>
      <c r="B990" s="1" t="s">
        <v>1269</v>
      </c>
      <c r="C990" s="1" t="s">
        <v>17787</v>
      </c>
      <c r="D990" s="1" t="s">
        <v>17788</v>
      </c>
      <c r="E990" s="1"/>
      <c r="F990" s="1" t="s">
        <v>17789</v>
      </c>
      <c r="G990" s="1" t="s">
        <v>17790</v>
      </c>
      <c r="H990" s="1" t="s">
        <v>17791</v>
      </c>
      <c r="I990" s="1" t="s">
        <v>17792</v>
      </c>
      <c r="J990" s="1">
        <v>9926754431</v>
      </c>
      <c r="K990" s="1" t="s">
        <v>79</v>
      </c>
      <c r="L990" s="1" t="s">
        <v>17793</v>
      </c>
      <c r="M990" s="1" t="s">
        <v>81</v>
      </c>
      <c r="N990" s="1" t="s">
        <v>82</v>
      </c>
      <c r="O990" s="1" t="s">
        <v>17794</v>
      </c>
      <c r="P990" s="1" t="s">
        <v>1323</v>
      </c>
      <c r="Q990" s="1" t="s">
        <v>17795</v>
      </c>
      <c r="R990" s="1" t="s">
        <v>17796</v>
      </c>
      <c r="S990" s="1">
        <v>9516907229</v>
      </c>
      <c r="T990" s="1" t="s">
        <v>5260</v>
      </c>
      <c r="U990" s="1" t="s">
        <v>17797</v>
      </c>
      <c r="V990" s="1">
        <v>9179566049</v>
      </c>
      <c r="W990" s="1" t="s">
        <v>17798</v>
      </c>
      <c r="X990" s="1" t="s">
        <v>17799</v>
      </c>
      <c r="Y990" s="1" t="s">
        <v>935</v>
      </c>
      <c r="Z990" s="1" t="s">
        <v>936</v>
      </c>
      <c r="AA990" s="1" t="s">
        <v>17800</v>
      </c>
      <c r="AB990" s="1" t="s">
        <v>935</v>
      </c>
      <c r="AC990" s="1" t="s">
        <v>936</v>
      </c>
      <c r="AD990" s="1">
        <v>7.36</v>
      </c>
      <c r="AE990" s="1" t="s">
        <v>93</v>
      </c>
      <c r="AF990" s="1" t="s">
        <v>17801</v>
      </c>
      <c r="AG990" s="1" t="s">
        <v>307</v>
      </c>
      <c r="AH990" s="1" t="s">
        <v>101</v>
      </c>
      <c r="AI990" s="1" t="s">
        <v>308</v>
      </c>
      <c r="AJ990" s="1">
        <v>74.4</v>
      </c>
      <c r="AK990" s="1"/>
      <c r="AL990" s="1" t="s">
        <v>17801</v>
      </c>
      <c r="AM990" s="1" t="s">
        <v>17802</v>
      </c>
      <c r="AN990" s="1" t="s">
        <v>699</v>
      </c>
      <c r="AO990" s="1" t="s">
        <v>1712</v>
      </c>
      <c r="AP990" s="1">
        <v>75.2</v>
      </c>
      <c r="AQ990" s="1"/>
      <c r="AR990" s="1"/>
      <c r="AS990" s="1"/>
      <c r="AT990" s="1"/>
      <c r="AU990" s="1"/>
      <c r="AV990" s="1"/>
      <c r="AW990" s="1"/>
      <c r="AX990" s="1" t="s">
        <v>17197</v>
      </c>
      <c r="AY990" s="1" t="s">
        <v>17803</v>
      </c>
      <c r="AZ990" s="1" t="s">
        <v>135</v>
      </c>
      <c r="BA990" s="1" t="s">
        <v>413</v>
      </c>
      <c r="BB990" s="1">
        <v>64.7</v>
      </c>
      <c r="BC990" s="1">
        <v>6.47</v>
      </c>
      <c r="BD990" s="1"/>
      <c r="BE990" s="1"/>
      <c r="BF990" s="1"/>
      <c r="BG990" s="1"/>
      <c r="BH990" s="1"/>
      <c r="BI990" s="1"/>
      <c r="BJ990" s="1" t="s">
        <v>17804</v>
      </c>
      <c r="BK990" s="1"/>
      <c r="BL990" s="1"/>
      <c r="BM990" s="1" t="s">
        <v>17805</v>
      </c>
      <c r="BN990" s="1">
        <v>6</v>
      </c>
      <c r="BO990" s="1" t="s">
        <v>17806</v>
      </c>
      <c r="BP990" s="1" t="str">
        <f>HYPERLINK("https://nconnect.nicmar.ac.in/storage/profile/ProfilePhoto_P25703055_376895.jpg","Download")</f>
        <v>0</v>
      </c>
      <c r="BQ990" s="3"/>
      <c r="BR990" s="3"/>
    </row>
    <row r="991" spans="1:70">
      <c r="A991" s="1" t="s">
        <v>552</v>
      </c>
      <c r="B991" s="1" t="s">
        <v>1269</v>
      </c>
      <c r="C991" s="1" t="s">
        <v>17807</v>
      </c>
      <c r="D991" s="1" t="s">
        <v>17808</v>
      </c>
      <c r="E991" s="1"/>
      <c r="F991" s="1" t="s">
        <v>17809</v>
      </c>
      <c r="G991" s="1" t="s">
        <v>17810</v>
      </c>
      <c r="H991" s="1" t="s">
        <v>17811</v>
      </c>
      <c r="I991" s="1" t="s">
        <v>17812</v>
      </c>
      <c r="J991" s="1">
        <v>8208019446</v>
      </c>
      <c r="K991" s="1" t="s">
        <v>79</v>
      </c>
      <c r="L991" s="1" t="s">
        <v>14202</v>
      </c>
      <c r="M991" s="1" t="s">
        <v>81</v>
      </c>
      <c r="N991" s="1" t="s">
        <v>17813</v>
      </c>
      <c r="O991" s="1"/>
      <c r="P991" s="1" t="s">
        <v>1323</v>
      </c>
      <c r="Q991" s="1" t="s">
        <v>17814</v>
      </c>
      <c r="R991" s="1" t="s">
        <v>17815</v>
      </c>
      <c r="S991" s="1">
        <v>8788115585</v>
      </c>
      <c r="T991" s="1" t="s">
        <v>2767</v>
      </c>
      <c r="U991" s="1" t="s">
        <v>17816</v>
      </c>
      <c r="V991" s="1">
        <v>8788115585</v>
      </c>
      <c r="W991" s="1" t="s">
        <v>122</v>
      </c>
      <c r="X991" s="1" t="s">
        <v>17817</v>
      </c>
      <c r="Y991" s="1" t="s">
        <v>499</v>
      </c>
      <c r="Z991" s="1" t="s">
        <v>500</v>
      </c>
      <c r="AA991" s="1" t="s">
        <v>17817</v>
      </c>
      <c r="AB991" s="1" t="s">
        <v>499</v>
      </c>
      <c r="AC991" s="1" t="s">
        <v>500</v>
      </c>
      <c r="AD991" s="1" t="s">
        <v>93</v>
      </c>
      <c r="AE991" s="1" t="s">
        <v>93</v>
      </c>
      <c r="AF991" s="1" t="s">
        <v>17818</v>
      </c>
      <c r="AG991" s="1" t="s">
        <v>17819</v>
      </c>
      <c r="AH991" s="1" t="s">
        <v>477</v>
      </c>
      <c r="AI991" s="1" t="s">
        <v>131</v>
      </c>
      <c r="AJ991" s="1">
        <v>79.8</v>
      </c>
      <c r="AK991" s="1">
        <v>8.4</v>
      </c>
      <c r="AL991" s="1" t="s">
        <v>17820</v>
      </c>
      <c r="AM991" s="1" t="s">
        <v>17821</v>
      </c>
      <c r="AN991" s="1" t="s">
        <v>678</v>
      </c>
      <c r="AO991" s="1" t="s">
        <v>166</v>
      </c>
      <c r="AP991" s="1">
        <v>56.8</v>
      </c>
      <c r="AQ991" s="1"/>
      <c r="AR991" s="1"/>
      <c r="AS991" s="1"/>
      <c r="AT991" s="1"/>
      <c r="AU991" s="1"/>
      <c r="AV991" s="1"/>
      <c r="AW991" s="1"/>
      <c r="AX991" s="1" t="s">
        <v>11849</v>
      </c>
      <c r="AY991" s="1" t="s">
        <v>17822</v>
      </c>
      <c r="AZ991" s="1" t="s">
        <v>433</v>
      </c>
      <c r="BA991" s="1" t="s">
        <v>1361</v>
      </c>
      <c r="BB991" s="1">
        <v>61.8</v>
      </c>
      <c r="BC991" s="1"/>
      <c r="BD991" s="1"/>
      <c r="BE991" s="1"/>
      <c r="BF991" s="1"/>
      <c r="BG991" s="1"/>
      <c r="BH991" s="1"/>
      <c r="BI991" s="1"/>
      <c r="BJ991" s="1" t="s">
        <v>734</v>
      </c>
      <c r="BK991" s="1"/>
      <c r="BL991" s="1"/>
      <c r="BM991" s="1"/>
      <c r="BN991" s="1"/>
      <c r="BO991" s="1"/>
      <c r="BP991" s="1" t="str">
        <f>HYPERLINK("https://nconnect.nicmar.ac.in/storage/profile/ProfilePhoto_P25703056_384126.jpg","Download")</f>
        <v>0</v>
      </c>
      <c r="BQ991" s="3"/>
      <c r="BR991" s="3"/>
    </row>
    <row r="992" spans="1:70">
      <c r="A992" s="1" t="s">
        <v>552</v>
      </c>
      <c r="B992" s="1" t="s">
        <v>1269</v>
      </c>
      <c r="C992" s="1" t="s">
        <v>17823</v>
      </c>
      <c r="D992" s="1" t="s">
        <v>8402</v>
      </c>
      <c r="E992" s="1" t="s">
        <v>7056</v>
      </c>
      <c r="F992" s="1" t="s">
        <v>17824</v>
      </c>
      <c r="G992" s="1" t="s">
        <v>17825</v>
      </c>
      <c r="H992" s="1" t="s">
        <v>17826</v>
      </c>
      <c r="I992" s="1" t="s">
        <v>17827</v>
      </c>
      <c r="J992" s="1">
        <v>7249749790</v>
      </c>
      <c r="K992" s="1" t="s">
        <v>79</v>
      </c>
      <c r="L992" s="1" t="s">
        <v>1703</v>
      </c>
      <c r="M992" s="1" t="s">
        <v>81</v>
      </c>
      <c r="N992" s="1" t="s">
        <v>10556</v>
      </c>
      <c r="O992" s="1" t="s">
        <v>17828</v>
      </c>
      <c r="P992" s="1" t="s">
        <v>1323</v>
      </c>
      <c r="Q992" s="1" t="s">
        <v>17829</v>
      </c>
      <c r="R992" s="1" t="s">
        <v>17830</v>
      </c>
      <c r="S992" s="1">
        <v>9518920789</v>
      </c>
      <c r="T992" s="1" t="s">
        <v>496</v>
      </c>
      <c r="U992" s="1" t="s">
        <v>17831</v>
      </c>
      <c r="V992" s="1">
        <v>9527791227</v>
      </c>
      <c r="W992" s="1" t="s">
        <v>17832</v>
      </c>
      <c r="X992" s="1" t="s">
        <v>17833</v>
      </c>
      <c r="Y992" s="1" t="s">
        <v>1174</v>
      </c>
      <c r="Z992" s="1" t="s">
        <v>92</v>
      </c>
      <c r="AA992" s="1" t="s">
        <v>17833</v>
      </c>
      <c r="AB992" s="1" t="s">
        <v>1174</v>
      </c>
      <c r="AC992" s="1" t="s">
        <v>92</v>
      </c>
      <c r="AD992" s="1">
        <v>7.27</v>
      </c>
      <c r="AE992" s="1" t="s">
        <v>93</v>
      </c>
      <c r="AF992" s="1" t="s">
        <v>17834</v>
      </c>
      <c r="AG992" s="1" t="s">
        <v>17835</v>
      </c>
      <c r="AH992" s="1" t="s">
        <v>281</v>
      </c>
      <c r="AI992" s="1" t="s">
        <v>409</v>
      </c>
      <c r="AJ992" s="1">
        <v>84.8</v>
      </c>
      <c r="AK992" s="1"/>
      <c r="AL992" s="1" t="s">
        <v>17836</v>
      </c>
      <c r="AM992" s="1" t="s">
        <v>17835</v>
      </c>
      <c r="AN992" s="1" t="s">
        <v>1834</v>
      </c>
      <c r="AO992" s="1" t="s">
        <v>504</v>
      </c>
      <c r="AP992" s="1">
        <v>89.5</v>
      </c>
      <c r="AQ992" s="1"/>
      <c r="AR992" s="1"/>
      <c r="AS992" s="1"/>
      <c r="AT992" s="1"/>
      <c r="AU992" s="1"/>
      <c r="AV992" s="1"/>
      <c r="AW992" s="1"/>
      <c r="AX992" s="1" t="s">
        <v>17837</v>
      </c>
      <c r="AY992" s="1" t="s">
        <v>17838</v>
      </c>
      <c r="AZ992" s="1" t="s">
        <v>1131</v>
      </c>
      <c r="BA992" s="1" t="s">
        <v>507</v>
      </c>
      <c r="BB992" s="1">
        <v>67.7</v>
      </c>
      <c r="BC992" s="1"/>
      <c r="BD992" s="1"/>
      <c r="BE992" s="1"/>
      <c r="BF992" s="1"/>
      <c r="BG992" s="1"/>
      <c r="BH992" s="1"/>
      <c r="BI992" s="1"/>
      <c r="BJ992" s="1" t="s">
        <v>734</v>
      </c>
      <c r="BK992" s="1"/>
      <c r="BL992" s="1"/>
      <c r="BM992" s="1" t="s">
        <v>17839</v>
      </c>
      <c r="BN992" s="1">
        <v>8</v>
      </c>
      <c r="BO992" s="1" t="s">
        <v>17840</v>
      </c>
      <c r="BP992" s="1" t="str">
        <f>HYPERLINK("https://nconnect.nicmar.ac.in/storage/profile/ProfilePhoto_P25703057_537942.jpg","Download")</f>
        <v>0</v>
      </c>
      <c r="BQ992" s="3"/>
      <c r="BR992" s="3"/>
    </row>
    <row r="993" spans="1:70">
      <c r="A993" s="1" t="s">
        <v>552</v>
      </c>
      <c r="B993" s="1" t="s">
        <v>1269</v>
      </c>
      <c r="C993" s="1" t="s">
        <v>17841</v>
      </c>
      <c r="D993" s="1" t="s">
        <v>901</v>
      </c>
      <c r="E993" s="1" t="s">
        <v>9576</v>
      </c>
      <c r="F993" s="1" t="s">
        <v>17842</v>
      </c>
      <c r="G993" s="1" t="s">
        <v>17843</v>
      </c>
      <c r="H993" s="1" t="s">
        <v>17844</v>
      </c>
      <c r="I993" s="1" t="s">
        <v>17845</v>
      </c>
      <c r="J993" s="1">
        <v>7083885804</v>
      </c>
      <c r="K993" s="1" t="s">
        <v>79</v>
      </c>
      <c r="L993" s="1" t="s">
        <v>17846</v>
      </c>
      <c r="M993" s="1" t="s">
        <v>81</v>
      </c>
      <c r="N993" s="1" t="s">
        <v>17847</v>
      </c>
      <c r="O993" s="1"/>
      <c r="P993" s="1" t="s">
        <v>1298</v>
      </c>
      <c r="Q993" s="1" t="s">
        <v>17848</v>
      </c>
      <c r="R993" s="1" t="s">
        <v>17849</v>
      </c>
      <c r="S993" s="1">
        <v>9766707043</v>
      </c>
      <c r="T993" s="1" t="s">
        <v>842</v>
      </c>
      <c r="U993" s="1" t="s">
        <v>17850</v>
      </c>
      <c r="V993" s="1">
        <v>9881278108</v>
      </c>
      <c r="W993" s="1" t="s">
        <v>89</v>
      </c>
      <c r="X993" s="1" t="s">
        <v>17851</v>
      </c>
      <c r="Y993" s="1" t="s">
        <v>191</v>
      </c>
      <c r="Z993" s="1" t="s">
        <v>92</v>
      </c>
      <c r="AA993" s="1" t="s">
        <v>17851</v>
      </c>
      <c r="AB993" s="1" t="s">
        <v>191</v>
      </c>
      <c r="AC993" s="1" t="s">
        <v>92</v>
      </c>
      <c r="AD993" s="1">
        <v>7.63</v>
      </c>
      <c r="AE993" s="1" t="s">
        <v>93</v>
      </c>
      <c r="AF993" s="1" t="s">
        <v>17852</v>
      </c>
      <c r="AG993" s="1" t="s">
        <v>160</v>
      </c>
      <c r="AH993" s="1" t="s">
        <v>101</v>
      </c>
      <c r="AI993" s="1" t="s">
        <v>409</v>
      </c>
      <c r="AJ993" s="1">
        <v>75</v>
      </c>
      <c r="AK993" s="1"/>
      <c r="AL993" s="1" t="s">
        <v>17853</v>
      </c>
      <c r="AM993" s="1" t="s">
        <v>160</v>
      </c>
      <c r="AN993" s="1" t="s">
        <v>173</v>
      </c>
      <c r="AO993" s="1" t="s">
        <v>3088</v>
      </c>
      <c r="AP993" s="1">
        <v>71.5</v>
      </c>
      <c r="AQ993" s="1"/>
      <c r="AR993" s="1"/>
      <c r="AS993" s="1"/>
      <c r="AT993" s="1"/>
      <c r="AU993" s="1"/>
      <c r="AV993" s="1"/>
      <c r="AW993" s="1"/>
      <c r="AX993" s="1" t="s">
        <v>361</v>
      </c>
      <c r="AY993" s="1" t="s">
        <v>17853</v>
      </c>
      <c r="AZ993" s="1" t="s">
        <v>1051</v>
      </c>
      <c r="BA993" s="1" t="s">
        <v>202</v>
      </c>
      <c r="BB993" s="1">
        <v>75.47</v>
      </c>
      <c r="BC993" s="1">
        <v>8.48</v>
      </c>
      <c r="BD993" s="1"/>
      <c r="BE993" s="1"/>
      <c r="BF993" s="1"/>
      <c r="BG993" s="1"/>
      <c r="BH993" s="1"/>
      <c r="BI993" s="1"/>
      <c r="BJ993" s="1" t="s">
        <v>17854</v>
      </c>
      <c r="BK993" s="1" t="s">
        <v>17855</v>
      </c>
      <c r="BL993" s="1" t="s">
        <v>1920</v>
      </c>
      <c r="BM993" s="1" t="s">
        <v>17856</v>
      </c>
      <c r="BN993" s="1">
        <v>104</v>
      </c>
      <c r="BO993" s="1" t="s">
        <v>17857</v>
      </c>
      <c r="BP993" s="1" t="str">
        <f>HYPERLINK("https://nconnect.nicmar.ac.in/storage/profile/ProfilePhoto_P25703058_486527.jpg","Download")</f>
        <v>0</v>
      </c>
      <c r="BQ993" s="3"/>
      <c r="BR993" s="3"/>
    </row>
    <row r="994" spans="1:70">
      <c r="A994" s="1" t="s">
        <v>552</v>
      </c>
      <c r="B994" s="1" t="s">
        <v>1269</v>
      </c>
      <c r="C994" s="1" t="s">
        <v>17858</v>
      </c>
      <c r="D994" s="1" t="s">
        <v>10822</v>
      </c>
      <c r="E994" s="1" t="s">
        <v>5472</v>
      </c>
      <c r="F994" s="1" t="s">
        <v>3911</v>
      </c>
      <c r="G994" s="1" t="s">
        <v>17859</v>
      </c>
      <c r="H994" s="1" t="s">
        <v>17860</v>
      </c>
      <c r="I994" s="1" t="s">
        <v>17861</v>
      </c>
      <c r="J994" s="1">
        <v>9665170705</v>
      </c>
      <c r="K994" s="1" t="s">
        <v>148</v>
      </c>
      <c r="L994" s="1" t="s">
        <v>6060</v>
      </c>
      <c r="M994" s="1" t="s">
        <v>81</v>
      </c>
      <c r="N994" s="1" t="s">
        <v>4300</v>
      </c>
      <c r="O994" s="1"/>
      <c r="P994" s="1" t="s">
        <v>1323</v>
      </c>
      <c r="Q994" s="1" t="s">
        <v>17862</v>
      </c>
      <c r="R994" s="1" t="s">
        <v>17863</v>
      </c>
      <c r="S994" s="1">
        <v>9423518813</v>
      </c>
      <c r="T994" s="1" t="s">
        <v>9669</v>
      </c>
      <c r="U994" s="1" t="s">
        <v>17864</v>
      </c>
      <c r="V994" s="1">
        <v>9404868957</v>
      </c>
      <c r="W994" s="1" t="s">
        <v>651</v>
      </c>
      <c r="X994" s="1" t="s">
        <v>17865</v>
      </c>
      <c r="Y994" s="1" t="s">
        <v>191</v>
      </c>
      <c r="Z994" s="1" t="s">
        <v>92</v>
      </c>
      <c r="AA994" s="1" t="s">
        <v>17866</v>
      </c>
      <c r="AB994" s="1" t="s">
        <v>246</v>
      </c>
      <c r="AC994" s="1" t="s">
        <v>92</v>
      </c>
      <c r="AD994" s="1">
        <v>8.01</v>
      </c>
      <c r="AE994" s="1" t="s">
        <v>93</v>
      </c>
      <c r="AF994" s="1" t="s">
        <v>17867</v>
      </c>
      <c r="AG994" s="1" t="s">
        <v>750</v>
      </c>
      <c r="AH994" s="1" t="s">
        <v>527</v>
      </c>
      <c r="AI994" s="1" t="s">
        <v>195</v>
      </c>
      <c r="AJ994" s="1">
        <v>91</v>
      </c>
      <c r="AK994" s="1">
        <v>0</v>
      </c>
      <c r="AL994" s="1" t="s">
        <v>17868</v>
      </c>
      <c r="AM994" s="1" t="s">
        <v>750</v>
      </c>
      <c r="AN994" s="1" t="s">
        <v>166</v>
      </c>
      <c r="AO994" s="1" t="s">
        <v>198</v>
      </c>
      <c r="AP994" s="1">
        <v>74</v>
      </c>
      <c r="AQ994" s="1">
        <v>0</v>
      </c>
      <c r="AR994" s="1"/>
      <c r="AS994" s="1"/>
      <c r="AT994" s="1"/>
      <c r="AU994" s="1"/>
      <c r="AV994" s="1"/>
      <c r="AW994" s="1"/>
      <c r="AX994" s="1" t="s">
        <v>17869</v>
      </c>
      <c r="AY994" s="1" t="s">
        <v>17870</v>
      </c>
      <c r="AZ994" s="1" t="s">
        <v>681</v>
      </c>
      <c r="BA994" s="1" t="s">
        <v>413</v>
      </c>
      <c r="BB994" s="1">
        <v>82</v>
      </c>
      <c r="BC994" s="1">
        <v>8.28</v>
      </c>
      <c r="BD994" s="1"/>
      <c r="BE994" s="1"/>
      <c r="BF994" s="1"/>
      <c r="BG994" s="1"/>
      <c r="BH994" s="1"/>
      <c r="BI994" s="1"/>
      <c r="BJ994" s="1" t="s">
        <v>734</v>
      </c>
      <c r="BK994" s="1"/>
      <c r="BL994" s="1"/>
      <c r="BM994" s="1" t="s">
        <v>17871</v>
      </c>
      <c r="BN994" s="1">
        <v>8</v>
      </c>
      <c r="BO994" s="1"/>
      <c r="BP994" s="1" t="str">
        <f>HYPERLINK("https://nconnect.nicmar.ac.in/storage/profile/ProfilePhoto_P25703059_751834.jpg","Download")</f>
        <v>0</v>
      </c>
      <c r="BQ994" s="3"/>
      <c r="BR994" s="3"/>
    </row>
    <row r="995" spans="1:70">
      <c r="A995" s="1" t="s">
        <v>552</v>
      </c>
      <c r="B995" s="1" t="s">
        <v>1269</v>
      </c>
      <c r="C995" s="1" t="s">
        <v>17872</v>
      </c>
      <c r="D995" s="1" t="s">
        <v>17873</v>
      </c>
      <c r="E995" s="1" t="s">
        <v>10125</v>
      </c>
      <c r="F995" s="1" t="s">
        <v>12127</v>
      </c>
      <c r="G995" s="1" t="s">
        <v>17874</v>
      </c>
      <c r="H995" s="1" t="s">
        <v>17875</v>
      </c>
      <c r="I995" s="1" t="s">
        <v>17876</v>
      </c>
      <c r="J995" s="1">
        <v>9104020090</v>
      </c>
      <c r="K995" s="1" t="s">
        <v>79</v>
      </c>
      <c r="L995" s="1" t="s">
        <v>17877</v>
      </c>
      <c r="M995" s="1" t="s">
        <v>81</v>
      </c>
      <c r="N995" s="1" t="s">
        <v>7887</v>
      </c>
      <c r="O995" s="1" t="s">
        <v>17878</v>
      </c>
      <c r="P995" s="1" t="s">
        <v>1323</v>
      </c>
      <c r="Q995" s="1" t="s">
        <v>17879</v>
      </c>
      <c r="R995" s="1" t="s">
        <v>17880</v>
      </c>
      <c r="S995" s="1">
        <v>9712383176</v>
      </c>
      <c r="T995" s="1" t="s">
        <v>763</v>
      </c>
      <c r="U995" s="1" t="s">
        <v>17881</v>
      </c>
      <c r="V995" s="1">
        <v>7874026925</v>
      </c>
      <c r="W995" s="1" t="s">
        <v>156</v>
      </c>
      <c r="X995" s="1" t="s">
        <v>17882</v>
      </c>
      <c r="Y995" s="1" t="s">
        <v>1467</v>
      </c>
      <c r="Z995" s="1" t="s">
        <v>1468</v>
      </c>
      <c r="AA995" s="1" t="s">
        <v>17882</v>
      </c>
      <c r="AB995" s="1" t="s">
        <v>1467</v>
      </c>
      <c r="AC995" s="1" t="s">
        <v>1468</v>
      </c>
      <c r="AD995" s="1">
        <v>7.31</v>
      </c>
      <c r="AE995" s="1" t="s">
        <v>93</v>
      </c>
      <c r="AF995" s="1" t="s">
        <v>17883</v>
      </c>
      <c r="AG995" s="1" t="s">
        <v>14823</v>
      </c>
      <c r="AH995" s="1" t="s">
        <v>433</v>
      </c>
      <c r="AI995" s="1" t="s">
        <v>941</v>
      </c>
      <c r="AJ995" s="1">
        <v>70</v>
      </c>
      <c r="AK995" s="1"/>
      <c r="AL995" s="1" t="s">
        <v>17884</v>
      </c>
      <c r="AM995" s="1" t="s">
        <v>14823</v>
      </c>
      <c r="AN995" s="1" t="s">
        <v>1131</v>
      </c>
      <c r="AO995" s="1" t="s">
        <v>575</v>
      </c>
      <c r="AP995" s="1">
        <v>76.8</v>
      </c>
      <c r="AQ995" s="1"/>
      <c r="AR995" s="1"/>
      <c r="AS995" s="1"/>
      <c r="AT995" s="1"/>
      <c r="AU995" s="1"/>
      <c r="AV995" s="1"/>
      <c r="AW995" s="1"/>
      <c r="AX995" s="1" t="s">
        <v>14002</v>
      </c>
      <c r="AY995" s="1" t="s">
        <v>17885</v>
      </c>
      <c r="AZ995" s="1" t="s">
        <v>105</v>
      </c>
      <c r="BA995" s="1" t="s">
        <v>1408</v>
      </c>
      <c r="BB995" s="1">
        <v>70.1</v>
      </c>
      <c r="BC995" s="1">
        <v>7.01</v>
      </c>
      <c r="BD995" s="1"/>
      <c r="BE995" s="1"/>
      <c r="BF995" s="1"/>
      <c r="BG995" s="1"/>
      <c r="BH995" s="1"/>
      <c r="BI995" s="1"/>
      <c r="BJ995" s="1" t="s">
        <v>4112</v>
      </c>
      <c r="BK995" s="1"/>
      <c r="BL995" s="1"/>
      <c r="BM995" s="1" t="s">
        <v>17886</v>
      </c>
      <c r="BN995" s="1">
        <v>8</v>
      </c>
      <c r="BO995" s="1"/>
      <c r="BP995" s="1" t="str">
        <f>HYPERLINK("https://nconnect.nicmar.ac.in/storage/profile/ProfilePhoto_P25703060_274865.jpg","Download")</f>
        <v>0</v>
      </c>
      <c r="BQ995" s="3"/>
      <c r="BR995" s="3"/>
    </row>
    <row r="996" spans="1:70">
      <c r="A996" s="1" t="s">
        <v>552</v>
      </c>
      <c r="B996" s="1" t="s">
        <v>1269</v>
      </c>
      <c r="C996" s="1" t="s">
        <v>17887</v>
      </c>
      <c r="D996" s="1" t="s">
        <v>17888</v>
      </c>
      <c r="E996" s="1"/>
      <c r="F996" s="1" t="s">
        <v>16228</v>
      </c>
      <c r="G996" s="1" t="s">
        <v>17889</v>
      </c>
      <c r="H996" s="1" t="s">
        <v>17890</v>
      </c>
      <c r="I996" s="1" t="s">
        <v>17891</v>
      </c>
      <c r="J996" s="1">
        <v>7903276484</v>
      </c>
      <c r="K996" s="1" t="s">
        <v>79</v>
      </c>
      <c r="L996" s="1" t="s">
        <v>3009</v>
      </c>
      <c r="M996" s="1" t="s">
        <v>81</v>
      </c>
      <c r="N996" s="1" t="s">
        <v>17892</v>
      </c>
      <c r="O996" s="1"/>
      <c r="P996" s="1" t="s">
        <v>2821</v>
      </c>
      <c r="Q996" s="1" t="s">
        <v>17893</v>
      </c>
      <c r="R996" s="1" t="s">
        <v>17894</v>
      </c>
      <c r="S996" s="1">
        <v>8969849559</v>
      </c>
      <c r="T996" s="1" t="s">
        <v>496</v>
      </c>
      <c r="U996" s="1" t="s">
        <v>17895</v>
      </c>
      <c r="V996" s="1">
        <v>9931592851</v>
      </c>
      <c r="W996" s="1" t="s">
        <v>273</v>
      </c>
      <c r="X996" s="1" t="s">
        <v>17896</v>
      </c>
      <c r="Y996" s="1" t="s">
        <v>17897</v>
      </c>
      <c r="Z996" s="1" t="s">
        <v>846</v>
      </c>
      <c r="AA996" s="1" t="s">
        <v>17896</v>
      </c>
      <c r="AB996" s="1" t="s">
        <v>17897</v>
      </c>
      <c r="AC996" s="1" t="s">
        <v>846</v>
      </c>
      <c r="AD996" s="1" t="s">
        <v>93</v>
      </c>
      <c r="AE996" s="1" t="s">
        <v>93</v>
      </c>
      <c r="AF996" s="1" t="s">
        <v>17898</v>
      </c>
      <c r="AG996" s="1" t="s">
        <v>307</v>
      </c>
      <c r="AH996" s="1" t="s">
        <v>678</v>
      </c>
      <c r="AI996" s="1" t="s">
        <v>166</v>
      </c>
      <c r="AJ996" s="1">
        <v>67.83</v>
      </c>
      <c r="AK996" s="1"/>
      <c r="AL996" s="1" t="s">
        <v>17899</v>
      </c>
      <c r="AM996" s="1" t="s">
        <v>307</v>
      </c>
      <c r="AN996" s="1" t="s">
        <v>101</v>
      </c>
      <c r="AO996" s="1" t="s">
        <v>173</v>
      </c>
      <c r="AP996" s="1">
        <v>69.83</v>
      </c>
      <c r="AQ996" s="1"/>
      <c r="AR996" s="1"/>
      <c r="AS996" s="1"/>
      <c r="AT996" s="1"/>
      <c r="AU996" s="1"/>
      <c r="AV996" s="1"/>
      <c r="AW996" s="1"/>
      <c r="AX996" s="1" t="s">
        <v>17900</v>
      </c>
      <c r="AY996" s="1" t="s">
        <v>17901</v>
      </c>
      <c r="AZ996" s="1" t="s">
        <v>173</v>
      </c>
      <c r="BA996" s="1" t="s">
        <v>386</v>
      </c>
      <c r="BB996" s="1">
        <v>51.97</v>
      </c>
      <c r="BC996" s="1"/>
      <c r="BD996" s="1"/>
      <c r="BE996" s="1"/>
      <c r="BF996" s="1"/>
      <c r="BG996" s="1"/>
      <c r="BH996" s="1"/>
      <c r="BI996" s="1"/>
      <c r="BJ996" s="1" t="s">
        <v>4112</v>
      </c>
      <c r="BK996" s="1"/>
      <c r="BL996" s="1"/>
      <c r="BM996" s="1"/>
      <c r="BN996" s="1"/>
      <c r="BO996" s="1" t="s">
        <v>17902</v>
      </c>
      <c r="BP996" s="1" t="str">
        <f>HYPERLINK("https://nconnect.nicmar.ac.in/storage/profile/ProfilePhoto_P25703061_518749.jpg","Download")</f>
        <v>0</v>
      </c>
      <c r="BQ996" s="3"/>
      <c r="BR996" s="3"/>
    </row>
    <row r="997" spans="1:70">
      <c r="A997" s="1" t="s">
        <v>552</v>
      </c>
      <c r="B997" s="1" t="s">
        <v>1269</v>
      </c>
      <c r="C997" s="1" t="s">
        <v>17903</v>
      </c>
      <c r="D997" s="1" t="s">
        <v>17904</v>
      </c>
      <c r="E997" s="1"/>
      <c r="F997" s="1" t="s">
        <v>17905</v>
      </c>
      <c r="G997" s="1" t="s">
        <v>17906</v>
      </c>
      <c r="H997" s="1" t="s">
        <v>17907</v>
      </c>
      <c r="I997" s="1" t="s">
        <v>17908</v>
      </c>
      <c r="J997" s="1">
        <v>6302202455</v>
      </c>
      <c r="K997" s="1" t="s">
        <v>148</v>
      </c>
      <c r="L997" s="1" t="s">
        <v>17909</v>
      </c>
      <c r="M997" s="1" t="s">
        <v>81</v>
      </c>
      <c r="N997" s="1" t="s">
        <v>9165</v>
      </c>
      <c r="O997" s="1" t="s">
        <v>17910</v>
      </c>
      <c r="P997" s="1" t="s">
        <v>1278</v>
      </c>
      <c r="Q997" s="1" t="s">
        <v>17911</v>
      </c>
      <c r="R997" s="1" t="s">
        <v>17912</v>
      </c>
      <c r="S997" s="1">
        <v>9848311963</v>
      </c>
      <c r="T997" s="1" t="s">
        <v>496</v>
      </c>
      <c r="U997" s="1" t="s">
        <v>17913</v>
      </c>
      <c r="V997" s="1">
        <v>7799042431</v>
      </c>
      <c r="W997" s="1" t="s">
        <v>3351</v>
      </c>
      <c r="X997" s="1" t="s">
        <v>17914</v>
      </c>
      <c r="Y997" s="1" t="s">
        <v>1150</v>
      </c>
      <c r="Z997" s="1" t="s">
        <v>276</v>
      </c>
      <c r="AA997" s="1" t="s">
        <v>17914</v>
      </c>
      <c r="AB997" s="1" t="s">
        <v>1150</v>
      </c>
      <c r="AC997" s="1" t="s">
        <v>276</v>
      </c>
      <c r="AD997" s="1" t="s">
        <v>93</v>
      </c>
      <c r="AE997" s="1" t="s">
        <v>93</v>
      </c>
      <c r="AF997" s="1" t="s">
        <v>17915</v>
      </c>
      <c r="AG997" s="1" t="s">
        <v>7014</v>
      </c>
      <c r="AH997" s="1" t="s">
        <v>162</v>
      </c>
      <c r="AI997" s="1" t="s">
        <v>678</v>
      </c>
      <c r="AJ997" s="1">
        <v>87.4</v>
      </c>
      <c r="AK997" s="1">
        <v>9.2</v>
      </c>
      <c r="AL997" s="1" t="s">
        <v>17916</v>
      </c>
      <c r="AM997" s="1" t="s">
        <v>2247</v>
      </c>
      <c r="AN997" s="1" t="s">
        <v>101</v>
      </c>
      <c r="AO997" s="1" t="s">
        <v>1065</v>
      </c>
      <c r="AP997" s="1">
        <v>63.75</v>
      </c>
      <c r="AQ997" s="1">
        <v>6.71</v>
      </c>
      <c r="AR997" s="1"/>
      <c r="AS997" s="1"/>
      <c r="AT997" s="1"/>
      <c r="AU997" s="1"/>
      <c r="AV997" s="1"/>
      <c r="AW997" s="1"/>
      <c r="AX997" s="1" t="s">
        <v>3468</v>
      </c>
      <c r="AY997" s="1" t="s">
        <v>17917</v>
      </c>
      <c r="AZ997" s="1" t="s">
        <v>2016</v>
      </c>
      <c r="BA997" s="1" t="s">
        <v>6033</v>
      </c>
      <c r="BB997" s="1">
        <v>61.6</v>
      </c>
      <c r="BC997" s="1">
        <v>6.91</v>
      </c>
      <c r="BD997" s="1"/>
      <c r="BE997" s="1"/>
      <c r="BF997" s="1"/>
      <c r="BG997" s="1"/>
      <c r="BH997" s="1"/>
      <c r="BI997" s="1"/>
      <c r="BJ997" s="1" t="s">
        <v>17918</v>
      </c>
      <c r="BK997" s="1"/>
      <c r="BL997" s="1"/>
      <c r="BM997" s="1" t="s">
        <v>17919</v>
      </c>
      <c r="BN997" s="1">
        <v>8</v>
      </c>
      <c r="BO997" s="1" t="s">
        <v>17920</v>
      </c>
      <c r="BP997" s="1" t="str">
        <f>HYPERLINK("https://nconnect.nicmar.ac.in/storage/profile/ProfilePhoto_P25703062_538147.jpg","Download")</f>
        <v>0</v>
      </c>
      <c r="BQ997" s="3"/>
      <c r="BR997" s="3"/>
    </row>
    <row r="998" spans="1:70">
      <c r="A998" s="1" t="s">
        <v>552</v>
      </c>
      <c r="B998" s="1" t="s">
        <v>1269</v>
      </c>
      <c r="C998" s="1" t="s">
        <v>17921</v>
      </c>
      <c r="D998" s="1" t="s">
        <v>10541</v>
      </c>
      <c r="E998" s="1"/>
      <c r="F998" s="1" t="s">
        <v>835</v>
      </c>
      <c r="G998" s="1" t="s">
        <v>17922</v>
      </c>
      <c r="H998" s="1" t="s">
        <v>17923</v>
      </c>
      <c r="I998" s="1" t="s">
        <v>17924</v>
      </c>
      <c r="J998" s="1">
        <v>7300031188</v>
      </c>
      <c r="K998" s="1" t="s">
        <v>148</v>
      </c>
      <c r="L998" s="1" t="s">
        <v>17925</v>
      </c>
      <c r="M998" s="1" t="s">
        <v>81</v>
      </c>
      <c r="N998" s="1" t="s">
        <v>5056</v>
      </c>
      <c r="O998" s="1"/>
      <c r="P998" s="1" t="s">
        <v>1278</v>
      </c>
      <c r="Q998" s="1" t="s">
        <v>17926</v>
      </c>
      <c r="R998" s="1" t="s">
        <v>17927</v>
      </c>
      <c r="S998" s="1">
        <v>9983002605</v>
      </c>
      <c r="T998" s="1" t="s">
        <v>17928</v>
      </c>
      <c r="U998" s="1" t="s">
        <v>17929</v>
      </c>
      <c r="V998" s="1">
        <v>9983003388</v>
      </c>
      <c r="W998" s="1" t="s">
        <v>651</v>
      </c>
      <c r="X998" s="1" t="s">
        <v>17930</v>
      </c>
      <c r="Y998" s="1" t="s">
        <v>866</v>
      </c>
      <c r="Z998" s="1" t="s">
        <v>867</v>
      </c>
      <c r="AA998" s="1" t="s">
        <v>17930</v>
      </c>
      <c r="AB998" s="1" t="s">
        <v>866</v>
      </c>
      <c r="AC998" s="1" t="s">
        <v>867</v>
      </c>
      <c r="AD998" s="1" t="s">
        <v>93</v>
      </c>
      <c r="AE998" s="1" t="s">
        <v>93</v>
      </c>
      <c r="AF998" s="1" t="s">
        <v>723</v>
      </c>
      <c r="AG998" s="1" t="s">
        <v>307</v>
      </c>
      <c r="AH998" s="1" t="s">
        <v>1065</v>
      </c>
      <c r="AI998" s="1" t="s">
        <v>681</v>
      </c>
      <c r="AJ998" s="1">
        <v>69.83</v>
      </c>
      <c r="AK998" s="1">
        <v>0</v>
      </c>
      <c r="AL998" s="1" t="s">
        <v>723</v>
      </c>
      <c r="AM998" s="1" t="s">
        <v>307</v>
      </c>
      <c r="AN998" s="1" t="s">
        <v>3088</v>
      </c>
      <c r="AO998" s="1" t="s">
        <v>105</v>
      </c>
      <c r="AP998" s="1">
        <v>76.4</v>
      </c>
      <c r="AQ998" s="1">
        <v>0</v>
      </c>
      <c r="AR998" s="1"/>
      <c r="AS998" s="1"/>
      <c r="AT998" s="1"/>
      <c r="AU998" s="1"/>
      <c r="AV998" s="1"/>
      <c r="AW998" s="1"/>
      <c r="AX998" s="1" t="s">
        <v>17931</v>
      </c>
      <c r="AY998" s="1" t="s">
        <v>17932</v>
      </c>
      <c r="AZ998" s="1" t="s">
        <v>481</v>
      </c>
      <c r="BA998" s="1" t="s">
        <v>1361</v>
      </c>
      <c r="BB998" s="1">
        <v>53.62</v>
      </c>
      <c r="BC998" s="1">
        <v>5.87</v>
      </c>
      <c r="BD998" s="1"/>
      <c r="BE998" s="1"/>
      <c r="BF998" s="1"/>
      <c r="BG998" s="1"/>
      <c r="BH998" s="1"/>
      <c r="BI998" s="1"/>
      <c r="BJ998" s="1" t="s">
        <v>4112</v>
      </c>
      <c r="BK998" s="1"/>
      <c r="BL998" s="1"/>
      <c r="BM998" s="1" t="s">
        <v>17933</v>
      </c>
      <c r="BN998" s="1">
        <v>8</v>
      </c>
      <c r="BO998" s="1"/>
      <c r="BP998" s="1" t="str">
        <f>HYPERLINK("https://nconnect.nicmar.ac.in/storage/profile/ProfilePhoto_P25703063_326758.jpg","Download")</f>
        <v>0</v>
      </c>
      <c r="BQ998" s="3"/>
      <c r="BR998" s="3"/>
    </row>
    <row r="999" spans="1:70">
      <c r="A999" s="1" t="s">
        <v>552</v>
      </c>
      <c r="B999" s="1" t="s">
        <v>1269</v>
      </c>
      <c r="C999" s="1" t="s">
        <v>17934</v>
      </c>
      <c r="D999" s="1" t="s">
        <v>17935</v>
      </c>
      <c r="E999" s="1" t="s">
        <v>5035</v>
      </c>
      <c r="F999" s="1" t="s">
        <v>17936</v>
      </c>
      <c r="G999" s="1" t="s">
        <v>17937</v>
      </c>
      <c r="H999" s="1" t="s">
        <v>17938</v>
      </c>
      <c r="I999" s="1" t="s">
        <v>17939</v>
      </c>
      <c r="J999" s="1">
        <v>9373052834</v>
      </c>
      <c r="K999" s="1" t="s">
        <v>148</v>
      </c>
      <c r="L999" s="1" t="s">
        <v>16834</v>
      </c>
      <c r="M999" s="1" t="s">
        <v>81</v>
      </c>
      <c r="N999" s="1" t="s">
        <v>17940</v>
      </c>
      <c r="O999" s="1" t="s">
        <v>17941</v>
      </c>
      <c r="P999" s="1" t="s">
        <v>1323</v>
      </c>
      <c r="Q999" s="1" t="s">
        <v>17942</v>
      </c>
      <c r="R999" s="1" t="s">
        <v>5035</v>
      </c>
      <c r="S999" s="1">
        <v>9975886564</v>
      </c>
      <c r="T999" s="1" t="s">
        <v>154</v>
      </c>
      <c r="U999" s="1" t="s">
        <v>6026</v>
      </c>
      <c r="V999" s="1">
        <v>9096671764</v>
      </c>
      <c r="W999" s="1" t="s">
        <v>156</v>
      </c>
      <c r="X999" s="1" t="s">
        <v>17943</v>
      </c>
      <c r="Y999" s="1" t="s">
        <v>523</v>
      </c>
      <c r="Z999" s="1" t="s">
        <v>92</v>
      </c>
      <c r="AA999" s="1" t="s">
        <v>17943</v>
      </c>
      <c r="AB999" s="1" t="s">
        <v>523</v>
      </c>
      <c r="AC999" s="1" t="s">
        <v>92</v>
      </c>
      <c r="AD999" s="1">
        <v>7.67</v>
      </c>
      <c r="AE999" s="1" t="s">
        <v>93</v>
      </c>
      <c r="AF999" s="1" t="s">
        <v>17944</v>
      </c>
      <c r="AG999" s="1" t="s">
        <v>160</v>
      </c>
      <c r="AH999" s="1" t="s">
        <v>8032</v>
      </c>
      <c r="AI999" s="1" t="s">
        <v>409</v>
      </c>
      <c r="AJ999" s="1">
        <v>88.6</v>
      </c>
      <c r="AK999" s="1"/>
      <c r="AL999" s="1" t="s">
        <v>17945</v>
      </c>
      <c r="AM999" s="1" t="s">
        <v>307</v>
      </c>
      <c r="AN999" s="1" t="s">
        <v>1065</v>
      </c>
      <c r="AO999" s="1" t="s">
        <v>1051</v>
      </c>
      <c r="AP999" s="1">
        <v>75</v>
      </c>
      <c r="AQ999" s="1"/>
      <c r="AR999" s="1"/>
      <c r="AS999" s="1"/>
      <c r="AT999" s="1"/>
      <c r="AU999" s="1"/>
      <c r="AV999" s="1"/>
      <c r="AW999" s="1"/>
      <c r="AX999" s="1" t="s">
        <v>10208</v>
      </c>
      <c r="AY999" s="1" t="s">
        <v>17946</v>
      </c>
      <c r="AZ999" s="1" t="s">
        <v>1051</v>
      </c>
      <c r="BA999" s="1" t="s">
        <v>413</v>
      </c>
      <c r="BB999" s="1">
        <v>62.39</v>
      </c>
      <c r="BC999" s="1">
        <v>6.68</v>
      </c>
      <c r="BD999" s="1"/>
      <c r="BE999" s="1"/>
      <c r="BF999" s="1"/>
      <c r="BG999" s="1"/>
      <c r="BH999" s="1"/>
      <c r="BI999" s="1"/>
      <c r="BJ999" s="1" t="s">
        <v>17947</v>
      </c>
      <c r="BK999" s="1"/>
      <c r="BL999" s="1"/>
      <c r="BM999" s="1" t="s">
        <v>17948</v>
      </c>
      <c r="BN999" s="1">
        <v>16</v>
      </c>
      <c r="BO999" s="1"/>
      <c r="BP999" s="1" t="str">
        <f>HYPERLINK("https://nconnect.nicmar.ac.in/storage/profile/ProfilePhoto_P25703064_951836.jpg","Download")</f>
        <v>0</v>
      </c>
      <c r="BQ999" s="3"/>
      <c r="BR999" s="3"/>
    </row>
    <row r="1000" spans="1:70">
      <c r="A1000" s="1" t="s">
        <v>552</v>
      </c>
      <c r="B1000" s="1" t="s">
        <v>1269</v>
      </c>
      <c r="C1000" s="1" t="s">
        <v>17949</v>
      </c>
      <c r="D1000" s="1" t="s">
        <v>6489</v>
      </c>
      <c r="E1000" s="1" t="s">
        <v>1032</v>
      </c>
      <c r="F1000" s="1" t="s">
        <v>17950</v>
      </c>
      <c r="G1000" s="1" t="s">
        <v>17951</v>
      </c>
      <c r="H1000" s="1" t="s">
        <v>17952</v>
      </c>
      <c r="I1000" s="1" t="s">
        <v>17953</v>
      </c>
      <c r="J1000" s="1">
        <v>7447508250</v>
      </c>
      <c r="K1000" s="1" t="s">
        <v>79</v>
      </c>
      <c r="L1000" s="1" t="s">
        <v>17954</v>
      </c>
      <c r="M1000" s="1" t="s">
        <v>81</v>
      </c>
      <c r="N1000" s="1" t="s">
        <v>185</v>
      </c>
      <c r="O1000" s="1"/>
      <c r="P1000" s="1" t="s">
        <v>1298</v>
      </c>
      <c r="Q1000" s="1" t="s">
        <v>17955</v>
      </c>
      <c r="R1000" s="1" t="s">
        <v>1032</v>
      </c>
      <c r="S1000" s="1">
        <v>9423218654</v>
      </c>
      <c r="T1000" s="1" t="s">
        <v>11897</v>
      </c>
      <c r="U1000" s="1" t="s">
        <v>8816</v>
      </c>
      <c r="V1000" s="1">
        <v>9404239022</v>
      </c>
      <c r="W1000" s="1" t="s">
        <v>7444</v>
      </c>
      <c r="X1000" s="1" t="s">
        <v>17956</v>
      </c>
      <c r="Y1000" s="1" t="s">
        <v>191</v>
      </c>
      <c r="Z1000" s="1" t="s">
        <v>92</v>
      </c>
      <c r="AA1000" s="1" t="s">
        <v>17956</v>
      </c>
      <c r="AB1000" s="1" t="s">
        <v>191</v>
      </c>
      <c r="AC1000" s="1" t="s">
        <v>92</v>
      </c>
      <c r="AD1000" s="1" t="s">
        <v>93</v>
      </c>
      <c r="AE1000" s="1" t="s">
        <v>93</v>
      </c>
      <c r="AF1000" s="1" t="s">
        <v>17957</v>
      </c>
      <c r="AG1000" s="1" t="s">
        <v>17958</v>
      </c>
      <c r="AH1000" s="1" t="s">
        <v>433</v>
      </c>
      <c r="AI1000" s="1" t="s">
        <v>173</v>
      </c>
      <c r="AJ1000" s="1">
        <v>78</v>
      </c>
      <c r="AK1000" s="1"/>
      <c r="AL1000" s="1" t="s">
        <v>17180</v>
      </c>
      <c r="AM1000" s="1" t="s">
        <v>17958</v>
      </c>
      <c r="AN1000" s="1" t="s">
        <v>436</v>
      </c>
      <c r="AO1000" s="1" t="s">
        <v>481</v>
      </c>
      <c r="AP1000" s="1">
        <v>57.17</v>
      </c>
      <c r="AQ1000" s="1"/>
      <c r="AR1000" s="1"/>
      <c r="AS1000" s="1"/>
      <c r="AT1000" s="1"/>
      <c r="AU1000" s="1"/>
      <c r="AV1000" s="1"/>
      <c r="AW1000" s="1"/>
      <c r="AX1000" s="1" t="s">
        <v>361</v>
      </c>
      <c r="AY1000" s="1" t="s">
        <v>17959</v>
      </c>
      <c r="AZ1000" s="1" t="s">
        <v>105</v>
      </c>
      <c r="BA1000" s="1" t="s">
        <v>1714</v>
      </c>
      <c r="BB1000" s="1">
        <v>76.19</v>
      </c>
      <c r="BC1000" s="1">
        <v>8.02</v>
      </c>
      <c r="BD1000" s="1"/>
      <c r="BE1000" s="1"/>
      <c r="BF1000" s="1"/>
      <c r="BG1000" s="1"/>
      <c r="BH1000" s="1"/>
      <c r="BI1000" s="1"/>
      <c r="BJ1000" s="1" t="s">
        <v>17960</v>
      </c>
      <c r="BK1000" s="1"/>
      <c r="BL1000" s="1"/>
      <c r="BM1000" s="1" t="s">
        <v>17961</v>
      </c>
      <c r="BN1000" s="1">
        <v>9</v>
      </c>
      <c r="BO1000" s="1"/>
      <c r="BP1000" s="1" t="str">
        <f>HYPERLINK("https://nconnect.nicmar.ac.in/storage/profile/ProfilePhoto_P25703065_946527.jpg","Download")</f>
        <v>0</v>
      </c>
      <c r="BQ1000" s="3"/>
      <c r="BR1000" s="3"/>
    </row>
    <row r="1001" spans="1:70">
      <c r="A1001" s="1" t="s">
        <v>552</v>
      </c>
      <c r="B1001" s="1" t="s">
        <v>1269</v>
      </c>
      <c r="C1001" s="1" t="s">
        <v>17962</v>
      </c>
      <c r="D1001" s="1" t="s">
        <v>17963</v>
      </c>
      <c r="E1001" s="1" t="s">
        <v>17964</v>
      </c>
      <c r="F1001" s="1" t="s">
        <v>17965</v>
      </c>
      <c r="G1001" s="1" t="s">
        <v>17966</v>
      </c>
      <c r="H1001" s="1" t="s">
        <v>17967</v>
      </c>
      <c r="I1001" s="1" t="s">
        <v>17968</v>
      </c>
      <c r="J1001" s="1">
        <v>8169845690</v>
      </c>
      <c r="K1001" s="1" t="s">
        <v>79</v>
      </c>
      <c r="L1001" s="1" t="s">
        <v>17969</v>
      </c>
      <c r="M1001" s="1" t="s">
        <v>81</v>
      </c>
      <c r="N1001" s="1" t="s">
        <v>17970</v>
      </c>
      <c r="O1001" s="1"/>
      <c r="P1001" s="1" t="s">
        <v>1298</v>
      </c>
      <c r="Q1001" s="1" t="s">
        <v>17971</v>
      </c>
      <c r="R1001" s="1" t="s">
        <v>17972</v>
      </c>
      <c r="S1001" s="1">
        <v>9860215269</v>
      </c>
      <c r="T1001" s="1" t="s">
        <v>496</v>
      </c>
      <c r="U1001" s="1" t="s">
        <v>17973</v>
      </c>
      <c r="V1001" s="1">
        <v>7219018300</v>
      </c>
      <c r="W1001" s="1" t="s">
        <v>651</v>
      </c>
      <c r="X1001" s="1" t="s">
        <v>17974</v>
      </c>
      <c r="Y1001" s="1" t="s">
        <v>5080</v>
      </c>
      <c r="Z1001" s="1" t="s">
        <v>92</v>
      </c>
      <c r="AA1001" s="1" t="s">
        <v>17974</v>
      </c>
      <c r="AB1001" s="1" t="s">
        <v>5080</v>
      </c>
      <c r="AC1001" s="1" t="s">
        <v>92</v>
      </c>
      <c r="AD1001" s="1">
        <v>6.92</v>
      </c>
      <c r="AE1001" s="1" t="s">
        <v>93</v>
      </c>
      <c r="AF1001" s="1" t="s">
        <v>8837</v>
      </c>
      <c r="AG1001" s="1" t="s">
        <v>160</v>
      </c>
      <c r="AH1001" s="1" t="s">
        <v>166</v>
      </c>
      <c r="AI1001" s="1" t="s">
        <v>409</v>
      </c>
      <c r="AJ1001" s="1">
        <v>71</v>
      </c>
      <c r="AK1001" s="1"/>
      <c r="AL1001" s="1" t="s">
        <v>17975</v>
      </c>
      <c r="AM1001" s="1" t="s">
        <v>160</v>
      </c>
      <c r="AN1001" s="1" t="s">
        <v>699</v>
      </c>
      <c r="AO1001" s="1" t="s">
        <v>504</v>
      </c>
      <c r="AP1001" s="1">
        <v>78.33</v>
      </c>
      <c r="AQ1001" s="1"/>
      <c r="AR1001" s="1"/>
      <c r="AS1001" s="1"/>
      <c r="AT1001" s="1"/>
      <c r="AU1001" s="1"/>
      <c r="AV1001" s="1"/>
      <c r="AW1001" s="1"/>
      <c r="AX1001" s="1" t="s">
        <v>1024</v>
      </c>
      <c r="AY1001" s="1" t="s">
        <v>17976</v>
      </c>
      <c r="AZ1001" s="1" t="s">
        <v>506</v>
      </c>
      <c r="BA1001" s="1" t="s">
        <v>3165</v>
      </c>
      <c r="BB1001" s="1">
        <v>62.5</v>
      </c>
      <c r="BC1001" s="1">
        <v>7.33</v>
      </c>
      <c r="BD1001" s="1"/>
      <c r="BE1001" s="1"/>
      <c r="BF1001" s="1"/>
      <c r="BG1001" s="1"/>
      <c r="BH1001" s="1"/>
      <c r="BI1001" s="1"/>
      <c r="BJ1001" s="1" t="s">
        <v>17977</v>
      </c>
      <c r="BK1001" s="1"/>
      <c r="BL1001" s="1"/>
      <c r="BM1001" s="1" t="s">
        <v>17978</v>
      </c>
      <c r="BN1001" s="1">
        <v>17</v>
      </c>
      <c r="BO1001" s="1" t="s">
        <v>17979</v>
      </c>
      <c r="BP1001" s="1" t="str">
        <f>HYPERLINK("https://nconnect.nicmar.ac.in/storage/profile/ProfilePhoto_P25703066_498361.jpg","Download")</f>
        <v>0</v>
      </c>
      <c r="BQ1001" s="3"/>
      <c r="BR1001" s="3"/>
    </row>
    <row r="1002" spans="1:70">
      <c r="A1002" s="1" t="s">
        <v>552</v>
      </c>
      <c r="B1002" s="1" t="s">
        <v>1269</v>
      </c>
      <c r="C1002" s="1" t="s">
        <v>17980</v>
      </c>
      <c r="D1002" s="1" t="s">
        <v>17981</v>
      </c>
      <c r="E1002" s="1"/>
      <c r="F1002" s="1" t="s">
        <v>15451</v>
      </c>
      <c r="G1002" s="1" t="s">
        <v>17982</v>
      </c>
      <c r="H1002" s="1" t="s">
        <v>17983</v>
      </c>
      <c r="I1002" s="1" t="s">
        <v>17984</v>
      </c>
      <c r="J1002" s="1">
        <v>8839930021</v>
      </c>
      <c r="K1002" s="1" t="s">
        <v>148</v>
      </c>
      <c r="L1002" s="1" t="s">
        <v>17985</v>
      </c>
      <c r="M1002" s="1" t="s">
        <v>81</v>
      </c>
      <c r="N1002" s="1" t="s">
        <v>82</v>
      </c>
      <c r="O1002" s="1" t="s">
        <v>17986</v>
      </c>
      <c r="P1002" s="1" t="s">
        <v>1278</v>
      </c>
      <c r="Q1002" s="1" t="s">
        <v>17987</v>
      </c>
      <c r="R1002" s="1" t="s">
        <v>17988</v>
      </c>
      <c r="S1002" s="1">
        <v>7620471414</v>
      </c>
      <c r="T1002" s="1" t="s">
        <v>87</v>
      </c>
      <c r="U1002" s="1" t="s">
        <v>17989</v>
      </c>
      <c r="V1002" s="1">
        <v>7803959500</v>
      </c>
      <c r="W1002" s="1" t="s">
        <v>156</v>
      </c>
      <c r="X1002" s="1" t="s">
        <v>17990</v>
      </c>
      <c r="Y1002" s="1" t="s">
        <v>6088</v>
      </c>
      <c r="Z1002" s="1" t="s">
        <v>1237</v>
      </c>
      <c r="AA1002" s="1" t="s">
        <v>17990</v>
      </c>
      <c r="AB1002" s="1" t="s">
        <v>6088</v>
      </c>
      <c r="AC1002" s="1" t="s">
        <v>1237</v>
      </c>
      <c r="AD1002" s="1" t="s">
        <v>93</v>
      </c>
      <c r="AE1002" s="1" t="s">
        <v>93</v>
      </c>
      <c r="AF1002" s="1" t="s">
        <v>17991</v>
      </c>
      <c r="AG1002" s="1" t="s">
        <v>17992</v>
      </c>
      <c r="AH1002" s="1" t="s">
        <v>383</v>
      </c>
      <c r="AI1002" s="1" t="s">
        <v>166</v>
      </c>
      <c r="AJ1002" s="1">
        <v>84.66</v>
      </c>
      <c r="AK1002" s="1">
        <v>0</v>
      </c>
      <c r="AL1002" s="1" t="s">
        <v>17991</v>
      </c>
      <c r="AM1002" s="1" t="s">
        <v>17992</v>
      </c>
      <c r="AN1002" s="1" t="s">
        <v>310</v>
      </c>
      <c r="AO1002" s="1" t="s">
        <v>173</v>
      </c>
      <c r="AP1002" s="1">
        <v>80.8</v>
      </c>
      <c r="AQ1002" s="1">
        <v>0</v>
      </c>
      <c r="AR1002" s="1"/>
      <c r="AS1002" s="1"/>
      <c r="AT1002" s="1"/>
      <c r="AU1002" s="1"/>
      <c r="AV1002" s="1"/>
      <c r="AW1002" s="1"/>
      <c r="AX1002" s="1" t="s">
        <v>17993</v>
      </c>
      <c r="AY1002" s="1" t="s">
        <v>17994</v>
      </c>
      <c r="AZ1002" s="1" t="s">
        <v>173</v>
      </c>
      <c r="BA1002" s="1" t="s">
        <v>386</v>
      </c>
      <c r="BB1002" s="1">
        <v>78.27</v>
      </c>
      <c r="BC1002" s="1"/>
      <c r="BD1002" s="1" t="s">
        <v>17995</v>
      </c>
      <c r="BE1002" s="1" t="s">
        <v>17695</v>
      </c>
      <c r="BF1002" s="1" t="s">
        <v>386</v>
      </c>
      <c r="BG1002" s="1" t="s">
        <v>6092</v>
      </c>
      <c r="BH1002" s="1">
        <v>63.95</v>
      </c>
      <c r="BI1002" s="1"/>
      <c r="BJ1002" s="1" t="s">
        <v>4112</v>
      </c>
      <c r="BK1002" s="1"/>
      <c r="BL1002" s="1"/>
      <c r="BM1002" s="1"/>
      <c r="BN1002" s="1"/>
      <c r="BO1002" s="1" t="s">
        <v>17996</v>
      </c>
      <c r="BP1002" s="1" t="str">
        <f>HYPERLINK("https://nconnect.nicmar.ac.in/storage/profile/ProfilePhoto_P25703067_814359.jpg","Download")</f>
        <v>0</v>
      </c>
      <c r="BQ1002" s="3"/>
      <c r="BR1002" s="3"/>
    </row>
    <row r="1003" spans="1:70">
      <c r="A1003" s="1" t="s">
        <v>552</v>
      </c>
      <c r="B1003" s="1" t="s">
        <v>1269</v>
      </c>
      <c r="C1003" s="1" t="s">
        <v>17997</v>
      </c>
      <c r="D1003" s="1" t="s">
        <v>6117</v>
      </c>
      <c r="E1003" s="1" t="s">
        <v>208</v>
      </c>
      <c r="F1003" s="1" t="s">
        <v>17998</v>
      </c>
      <c r="G1003" s="1" t="s">
        <v>17999</v>
      </c>
      <c r="H1003" s="1" t="s">
        <v>18000</v>
      </c>
      <c r="I1003" s="1" t="s">
        <v>18001</v>
      </c>
      <c r="J1003" s="1">
        <v>8080879711</v>
      </c>
      <c r="K1003" s="1" t="s">
        <v>148</v>
      </c>
      <c r="L1003" s="1" t="s">
        <v>13485</v>
      </c>
      <c r="M1003" s="1" t="s">
        <v>81</v>
      </c>
      <c r="N1003" s="1" t="s">
        <v>18002</v>
      </c>
      <c r="O1003" s="1"/>
      <c r="P1003" s="1" t="s">
        <v>1298</v>
      </c>
      <c r="Q1003" s="1" t="s">
        <v>18003</v>
      </c>
      <c r="R1003" s="1" t="s">
        <v>18004</v>
      </c>
      <c r="S1003" s="1">
        <v>8080879711</v>
      </c>
      <c r="T1003" s="1" t="s">
        <v>1351</v>
      </c>
      <c r="U1003" s="1" t="s">
        <v>18005</v>
      </c>
      <c r="V1003" s="1">
        <v>9579801266</v>
      </c>
      <c r="W1003" s="1" t="s">
        <v>156</v>
      </c>
      <c r="X1003" s="1" t="s">
        <v>18006</v>
      </c>
      <c r="Y1003" s="1" t="s">
        <v>328</v>
      </c>
      <c r="Z1003" s="1" t="s">
        <v>92</v>
      </c>
      <c r="AA1003" s="1" t="s">
        <v>18006</v>
      </c>
      <c r="AB1003" s="1" t="s">
        <v>328</v>
      </c>
      <c r="AC1003" s="1" t="s">
        <v>92</v>
      </c>
      <c r="AD1003" s="1" t="s">
        <v>93</v>
      </c>
      <c r="AE1003" s="1" t="s">
        <v>93</v>
      </c>
      <c r="AF1003" s="1" t="s">
        <v>18007</v>
      </c>
      <c r="AG1003" s="1" t="s">
        <v>9727</v>
      </c>
      <c r="AH1003" s="1" t="s">
        <v>479</v>
      </c>
      <c r="AI1003" s="1" t="s">
        <v>173</v>
      </c>
      <c r="AJ1003" s="1">
        <v>63.2</v>
      </c>
      <c r="AK1003" s="1">
        <v>6.65</v>
      </c>
      <c r="AL1003" s="1" t="s">
        <v>18008</v>
      </c>
      <c r="AM1003" s="1" t="s">
        <v>544</v>
      </c>
      <c r="AN1003" s="1" t="s">
        <v>681</v>
      </c>
      <c r="AO1003" s="1" t="s">
        <v>284</v>
      </c>
      <c r="AP1003" s="1">
        <v>86.5</v>
      </c>
      <c r="AQ1003" s="1">
        <v>8.65</v>
      </c>
      <c r="AR1003" s="1"/>
      <c r="AS1003" s="1"/>
      <c r="AT1003" s="1"/>
      <c r="AU1003" s="1"/>
      <c r="AV1003" s="1"/>
      <c r="AW1003" s="1"/>
      <c r="AX1003" s="1" t="s">
        <v>335</v>
      </c>
      <c r="AY1003" s="1" t="s">
        <v>18009</v>
      </c>
      <c r="AZ1003" s="1" t="s">
        <v>5487</v>
      </c>
      <c r="BA1003" s="1" t="s">
        <v>1584</v>
      </c>
      <c r="BB1003" s="1">
        <v>62.7</v>
      </c>
      <c r="BC1003" s="1">
        <v>6.6</v>
      </c>
      <c r="BD1003" s="1"/>
      <c r="BE1003" s="1"/>
      <c r="BF1003" s="1"/>
      <c r="BG1003" s="1"/>
      <c r="BH1003" s="1"/>
      <c r="BI1003" s="1"/>
      <c r="BJ1003" s="1" t="s">
        <v>18010</v>
      </c>
      <c r="BK1003" s="1"/>
      <c r="BL1003" s="1"/>
      <c r="BM1003" s="1"/>
      <c r="BN1003" s="1"/>
      <c r="BO1003" s="1" t="s">
        <v>18011</v>
      </c>
      <c r="BP1003" s="1" t="str">
        <f>HYPERLINK("https://nconnect.nicmar.ac.in/storage/profile/ProfilePhoto_P25703069_368529.jpg","Download")</f>
        <v>0</v>
      </c>
      <c r="BQ1003" s="3"/>
      <c r="BR1003" s="3"/>
    </row>
    <row r="1004" spans="1:70">
      <c r="A1004" s="1" t="s">
        <v>552</v>
      </c>
      <c r="B1004" s="1" t="s">
        <v>1269</v>
      </c>
      <c r="C1004" s="1" t="s">
        <v>18012</v>
      </c>
      <c r="D1004" s="1" t="s">
        <v>18013</v>
      </c>
      <c r="E1004" s="1"/>
      <c r="F1004" s="1" t="s">
        <v>835</v>
      </c>
      <c r="G1004" s="1" t="s">
        <v>18014</v>
      </c>
      <c r="H1004" s="1" t="s">
        <v>18015</v>
      </c>
      <c r="I1004" s="1" t="s">
        <v>18016</v>
      </c>
      <c r="J1004" s="1">
        <v>9556069753</v>
      </c>
      <c r="K1004" s="1" t="s">
        <v>79</v>
      </c>
      <c r="L1004" s="1" t="s">
        <v>18017</v>
      </c>
      <c r="M1004" s="1" t="s">
        <v>81</v>
      </c>
      <c r="N1004" s="1" t="s">
        <v>241</v>
      </c>
      <c r="O1004" s="1"/>
      <c r="P1004" s="1" t="s">
        <v>1298</v>
      </c>
      <c r="Q1004" s="1" t="s">
        <v>18018</v>
      </c>
      <c r="R1004" s="1" t="s">
        <v>18019</v>
      </c>
      <c r="S1004" s="1">
        <v>9777446361</v>
      </c>
      <c r="T1004" s="1" t="s">
        <v>14376</v>
      </c>
      <c r="U1004" s="1" t="s">
        <v>18020</v>
      </c>
      <c r="V1004" s="1">
        <v>9777446361</v>
      </c>
      <c r="W1004" s="1" t="s">
        <v>273</v>
      </c>
      <c r="X1004" s="1" t="s">
        <v>18021</v>
      </c>
      <c r="Y1004" s="1" t="s">
        <v>18022</v>
      </c>
      <c r="Z1004" s="1" t="s">
        <v>1355</v>
      </c>
      <c r="AA1004" s="1" t="s">
        <v>18021</v>
      </c>
      <c r="AB1004" s="1" t="s">
        <v>18022</v>
      </c>
      <c r="AC1004" s="1" t="s">
        <v>1355</v>
      </c>
      <c r="AD1004" s="1">
        <v>8.07</v>
      </c>
      <c r="AE1004" s="1" t="s">
        <v>93</v>
      </c>
      <c r="AF1004" s="1" t="s">
        <v>18023</v>
      </c>
      <c r="AG1004" s="1" t="s">
        <v>18024</v>
      </c>
      <c r="AH1004" s="1" t="s">
        <v>5213</v>
      </c>
      <c r="AI1004" s="1" t="s">
        <v>2953</v>
      </c>
      <c r="AJ1004" s="1">
        <v>71.8</v>
      </c>
      <c r="AK1004" s="1"/>
      <c r="AL1004" s="1" t="s">
        <v>18023</v>
      </c>
      <c r="AM1004" s="1" t="s">
        <v>18024</v>
      </c>
      <c r="AN1004" s="1" t="s">
        <v>2995</v>
      </c>
      <c r="AO1004" s="1" t="s">
        <v>331</v>
      </c>
      <c r="AP1004" s="1">
        <v>61.6</v>
      </c>
      <c r="AQ1004" s="1"/>
      <c r="AR1004" s="1" t="s">
        <v>5406</v>
      </c>
      <c r="AS1004" s="1" t="s">
        <v>18025</v>
      </c>
      <c r="AT1004" s="1" t="s">
        <v>128</v>
      </c>
      <c r="AU1004" s="1" t="s">
        <v>161</v>
      </c>
      <c r="AV1004" s="1">
        <v>64.82</v>
      </c>
      <c r="AW1004" s="1"/>
      <c r="AX1004" s="1" t="s">
        <v>18026</v>
      </c>
      <c r="AY1004" s="1" t="s">
        <v>18027</v>
      </c>
      <c r="AZ1004" s="1" t="s">
        <v>337</v>
      </c>
      <c r="BA1004" s="1" t="s">
        <v>169</v>
      </c>
      <c r="BB1004" s="1">
        <v>72.8</v>
      </c>
      <c r="BC1004" s="1">
        <v>7.78</v>
      </c>
      <c r="BD1004" s="1"/>
      <c r="BE1004" s="1"/>
      <c r="BF1004" s="1"/>
      <c r="BG1004" s="1"/>
      <c r="BH1004" s="1"/>
      <c r="BI1004" s="1"/>
      <c r="BJ1004" s="1" t="s">
        <v>734</v>
      </c>
      <c r="BK1004" s="1" t="s">
        <v>18028</v>
      </c>
      <c r="BL1004" s="1" t="s">
        <v>4716</v>
      </c>
      <c r="BM1004" s="1" t="s">
        <v>18029</v>
      </c>
      <c r="BN1004" s="1">
        <v>3</v>
      </c>
      <c r="BO1004" s="1" t="s">
        <v>18030</v>
      </c>
      <c r="BP1004" s="1" t="str">
        <f>HYPERLINK("https://nconnect.nicmar.ac.in/storage/profile/ProfilePhoto_P25703070_916348.jpg","Download")</f>
        <v>0</v>
      </c>
      <c r="BQ1004" s="3"/>
      <c r="BR1004" s="3"/>
    </row>
    <row r="1005" spans="1:70">
      <c r="A1005" s="1" t="s">
        <v>552</v>
      </c>
      <c r="B1005" s="1" t="s">
        <v>1269</v>
      </c>
      <c r="C1005" s="1" t="s">
        <v>18031</v>
      </c>
      <c r="D1005" s="1" t="s">
        <v>1966</v>
      </c>
      <c r="E1005" s="1" t="s">
        <v>18032</v>
      </c>
      <c r="F1005" s="1" t="s">
        <v>18033</v>
      </c>
      <c r="G1005" s="1" t="s">
        <v>18034</v>
      </c>
      <c r="H1005" s="1" t="s">
        <v>18035</v>
      </c>
      <c r="I1005" s="1" t="s">
        <v>18036</v>
      </c>
      <c r="J1005" s="1">
        <v>8208743302</v>
      </c>
      <c r="K1005" s="1" t="s">
        <v>79</v>
      </c>
      <c r="L1005" s="1" t="s">
        <v>18037</v>
      </c>
      <c r="M1005" s="1" t="s">
        <v>81</v>
      </c>
      <c r="N1005" s="1" t="s">
        <v>860</v>
      </c>
      <c r="O1005" s="1"/>
      <c r="P1005" s="1" t="s">
        <v>1323</v>
      </c>
      <c r="Q1005" s="1" t="s">
        <v>18038</v>
      </c>
      <c r="R1005" s="1" t="s">
        <v>18039</v>
      </c>
      <c r="S1005" s="1">
        <v>9923102205</v>
      </c>
      <c r="T1005" s="1" t="s">
        <v>18040</v>
      </c>
      <c r="U1005" s="1" t="s">
        <v>18041</v>
      </c>
      <c r="V1005" s="1">
        <v>7588156681</v>
      </c>
      <c r="W1005" s="1" t="s">
        <v>156</v>
      </c>
      <c r="X1005" s="1" t="s">
        <v>18042</v>
      </c>
      <c r="Y1005" s="1" t="s">
        <v>91</v>
      </c>
      <c r="Z1005" s="1" t="s">
        <v>92</v>
      </c>
      <c r="AA1005" s="1" t="s">
        <v>18042</v>
      </c>
      <c r="AB1005" s="1" t="s">
        <v>91</v>
      </c>
      <c r="AC1005" s="1" t="s">
        <v>92</v>
      </c>
      <c r="AD1005" s="1" t="s">
        <v>93</v>
      </c>
      <c r="AE1005" s="1" t="s">
        <v>93</v>
      </c>
      <c r="AF1005" s="1" t="s">
        <v>18043</v>
      </c>
      <c r="AG1005" s="1" t="s">
        <v>307</v>
      </c>
      <c r="AH1005" s="1" t="s">
        <v>433</v>
      </c>
      <c r="AI1005" s="1" t="s">
        <v>173</v>
      </c>
      <c r="AJ1005" s="1">
        <v>60.83</v>
      </c>
      <c r="AK1005" s="1"/>
      <c r="AL1005" s="1" t="s">
        <v>8659</v>
      </c>
      <c r="AM1005" s="1" t="s">
        <v>18044</v>
      </c>
      <c r="AN1005" s="1" t="s">
        <v>506</v>
      </c>
      <c r="AO1005" s="1" t="s">
        <v>284</v>
      </c>
      <c r="AP1005" s="1">
        <v>74</v>
      </c>
      <c r="AQ1005" s="1"/>
      <c r="AR1005" s="1"/>
      <c r="AS1005" s="1"/>
      <c r="AT1005" s="1"/>
      <c r="AU1005" s="1"/>
      <c r="AV1005" s="1"/>
      <c r="AW1005" s="1"/>
      <c r="AX1005" s="1" t="s">
        <v>5048</v>
      </c>
      <c r="AY1005" s="1" t="s">
        <v>18045</v>
      </c>
      <c r="AZ1005" s="1" t="s">
        <v>481</v>
      </c>
      <c r="BA1005" s="1" t="s">
        <v>1714</v>
      </c>
      <c r="BB1005" s="1">
        <v>63.6</v>
      </c>
      <c r="BC1005" s="1">
        <v>6.36</v>
      </c>
      <c r="BD1005" s="1"/>
      <c r="BE1005" s="1"/>
      <c r="BF1005" s="1"/>
      <c r="BG1005" s="1"/>
      <c r="BH1005" s="1"/>
      <c r="BI1005" s="1"/>
      <c r="BJ1005" s="1" t="s">
        <v>734</v>
      </c>
      <c r="BK1005" s="1"/>
      <c r="BL1005" s="1"/>
      <c r="BM1005" s="1" t="s">
        <v>18046</v>
      </c>
      <c r="BN1005" s="1">
        <v>9</v>
      </c>
      <c r="BO1005" s="1"/>
      <c r="BP1005" s="1" t="str">
        <f>HYPERLINK("https://nconnect.nicmar.ac.in/storage/profile/ProfilePhoto_P25703071_927836.jpg","Download")</f>
        <v>0</v>
      </c>
      <c r="BQ1005" s="3"/>
      <c r="BR1005" s="3"/>
    </row>
    <row r="1006" spans="1:70">
      <c r="A1006" s="1" t="s">
        <v>552</v>
      </c>
      <c r="B1006" s="1" t="s">
        <v>1269</v>
      </c>
      <c r="C1006" s="1" t="s">
        <v>18047</v>
      </c>
      <c r="D1006" s="1" t="s">
        <v>18048</v>
      </c>
      <c r="E1006" s="1" t="s">
        <v>13553</v>
      </c>
      <c r="F1006" s="1" t="s">
        <v>2677</v>
      </c>
      <c r="G1006" s="1" t="s">
        <v>18049</v>
      </c>
      <c r="H1006" s="1" t="s">
        <v>18050</v>
      </c>
      <c r="I1006" s="1" t="s">
        <v>18051</v>
      </c>
      <c r="J1006" s="1">
        <v>8108011850</v>
      </c>
      <c r="K1006" s="1" t="s">
        <v>79</v>
      </c>
      <c r="L1006" s="1" t="s">
        <v>18052</v>
      </c>
      <c r="M1006" s="1" t="s">
        <v>81</v>
      </c>
      <c r="N1006" s="1" t="s">
        <v>3236</v>
      </c>
      <c r="O1006" s="1" t="s">
        <v>18053</v>
      </c>
      <c r="P1006" s="1" t="s">
        <v>1323</v>
      </c>
      <c r="Q1006" s="1" t="s">
        <v>18054</v>
      </c>
      <c r="R1006" s="1" t="s">
        <v>13553</v>
      </c>
      <c r="S1006" s="1">
        <v>9702542764</v>
      </c>
      <c r="T1006" s="1" t="s">
        <v>763</v>
      </c>
      <c r="U1006" s="1" t="s">
        <v>18055</v>
      </c>
      <c r="V1006" s="1">
        <v>7039284345</v>
      </c>
      <c r="W1006" s="1" t="s">
        <v>89</v>
      </c>
      <c r="X1006" s="1" t="s">
        <v>18056</v>
      </c>
      <c r="Y1006" s="1" t="s">
        <v>1623</v>
      </c>
      <c r="Z1006" s="1" t="s">
        <v>92</v>
      </c>
      <c r="AA1006" s="1" t="s">
        <v>18056</v>
      </c>
      <c r="AB1006" s="1" t="s">
        <v>1623</v>
      </c>
      <c r="AC1006" s="1" t="s">
        <v>92</v>
      </c>
      <c r="AD1006" s="1">
        <v>9.2</v>
      </c>
      <c r="AE1006" s="1" t="s">
        <v>93</v>
      </c>
      <c r="AF1006" s="1" t="s">
        <v>18057</v>
      </c>
      <c r="AG1006" s="1" t="s">
        <v>6980</v>
      </c>
      <c r="AH1006" s="1" t="s">
        <v>658</v>
      </c>
      <c r="AI1006" s="1" t="s">
        <v>129</v>
      </c>
      <c r="AJ1006" s="1">
        <v>80.6</v>
      </c>
      <c r="AK1006" s="1"/>
      <c r="AL1006" s="1" t="s">
        <v>18058</v>
      </c>
      <c r="AM1006" s="1" t="s">
        <v>6980</v>
      </c>
      <c r="AN1006" s="1" t="s">
        <v>1197</v>
      </c>
      <c r="AO1006" s="1" t="s">
        <v>131</v>
      </c>
      <c r="AP1006" s="1">
        <v>70</v>
      </c>
      <c r="AQ1006" s="1"/>
      <c r="AR1006" s="1"/>
      <c r="AS1006" s="1"/>
      <c r="AT1006" s="1"/>
      <c r="AU1006" s="1"/>
      <c r="AV1006" s="1"/>
      <c r="AW1006" s="1"/>
      <c r="AX1006" s="1" t="s">
        <v>253</v>
      </c>
      <c r="AY1006" s="1" t="s">
        <v>18059</v>
      </c>
      <c r="AZ1006" s="1" t="s">
        <v>131</v>
      </c>
      <c r="BA1006" s="1" t="s">
        <v>308</v>
      </c>
      <c r="BB1006" s="1">
        <v>57.65</v>
      </c>
      <c r="BC1006" s="1">
        <v>6.43</v>
      </c>
      <c r="BD1006" s="1"/>
      <c r="BE1006" s="1"/>
      <c r="BF1006" s="1"/>
      <c r="BG1006" s="1"/>
      <c r="BH1006" s="1"/>
      <c r="BI1006" s="1"/>
      <c r="BJ1006" s="1" t="s">
        <v>364</v>
      </c>
      <c r="BK1006" s="1" t="s">
        <v>18060</v>
      </c>
      <c r="BL1006" s="1" t="s">
        <v>13463</v>
      </c>
      <c r="BM1006" s="1" t="s">
        <v>18061</v>
      </c>
      <c r="BN1006" s="1">
        <v>11</v>
      </c>
      <c r="BO1006" s="1" t="s">
        <v>18062</v>
      </c>
      <c r="BP1006" s="1" t="str">
        <f>HYPERLINK("https://nconnect.nicmar.ac.in/storage/profile/ProfilePhoto_P25703072_791563.jpg","Download")</f>
        <v>0</v>
      </c>
      <c r="BQ1006" s="3"/>
      <c r="BR1006" s="3"/>
    </row>
    <row r="1007" spans="1:70">
      <c r="A1007" s="1" t="s">
        <v>552</v>
      </c>
      <c r="B1007" s="1" t="s">
        <v>1269</v>
      </c>
      <c r="C1007" s="1" t="s">
        <v>18063</v>
      </c>
      <c r="D1007" s="1" t="s">
        <v>443</v>
      </c>
      <c r="E1007" s="1" t="s">
        <v>6408</v>
      </c>
      <c r="F1007" s="1" t="s">
        <v>2024</v>
      </c>
      <c r="G1007" s="1" t="s">
        <v>18064</v>
      </c>
      <c r="H1007" s="1" t="s">
        <v>18065</v>
      </c>
      <c r="I1007" s="1" t="s">
        <v>18066</v>
      </c>
      <c r="J1007" s="1">
        <v>7743859567</v>
      </c>
      <c r="K1007" s="1" t="s">
        <v>79</v>
      </c>
      <c r="L1007" s="1" t="s">
        <v>18067</v>
      </c>
      <c r="M1007" s="1" t="s">
        <v>81</v>
      </c>
      <c r="N1007" s="1" t="s">
        <v>5731</v>
      </c>
      <c r="O1007" s="1"/>
      <c r="P1007" s="1" t="s">
        <v>1278</v>
      </c>
      <c r="Q1007" s="1" t="s">
        <v>18068</v>
      </c>
      <c r="R1007" s="1" t="s">
        <v>18069</v>
      </c>
      <c r="S1007" s="1">
        <v>9422181910</v>
      </c>
      <c r="T1007" s="1" t="s">
        <v>496</v>
      </c>
      <c r="U1007" s="1" t="s">
        <v>18070</v>
      </c>
      <c r="V1007" s="1">
        <v>9422324187</v>
      </c>
      <c r="W1007" s="1" t="s">
        <v>520</v>
      </c>
      <c r="X1007" s="1" t="s">
        <v>18071</v>
      </c>
      <c r="Y1007" s="1" t="s">
        <v>191</v>
      </c>
      <c r="Z1007" s="1" t="s">
        <v>92</v>
      </c>
      <c r="AA1007" s="1" t="s">
        <v>18072</v>
      </c>
      <c r="AB1007" s="1" t="s">
        <v>246</v>
      </c>
      <c r="AC1007" s="1" t="s">
        <v>92</v>
      </c>
      <c r="AD1007" s="1">
        <v>7.2</v>
      </c>
      <c r="AE1007" s="1" t="s">
        <v>93</v>
      </c>
      <c r="AF1007" s="1" t="s">
        <v>18073</v>
      </c>
      <c r="AG1007" s="1" t="s">
        <v>750</v>
      </c>
      <c r="AH1007" s="1" t="s">
        <v>527</v>
      </c>
      <c r="AI1007" s="1" t="s">
        <v>195</v>
      </c>
      <c r="AJ1007" s="1">
        <v>73.2</v>
      </c>
      <c r="AK1007" s="1">
        <v>0</v>
      </c>
      <c r="AL1007" s="1" t="s">
        <v>18074</v>
      </c>
      <c r="AM1007" s="1" t="s">
        <v>750</v>
      </c>
      <c r="AN1007" s="1" t="s">
        <v>166</v>
      </c>
      <c r="AO1007" s="1" t="s">
        <v>198</v>
      </c>
      <c r="AP1007" s="1">
        <v>66.77</v>
      </c>
      <c r="AQ1007" s="1">
        <v>0</v>
      </c>
      <c r="AR1007" s="1"/>
      <c r="AS1007" s="1"/>
      <c r="AT1007" s="1"/>
      <c r="AU1007" s="1"/>
      <c r="AV1007" s="1"/>
      <c r="AW1007" s="1"/>
      <c r="AX1007" s="1" t="s">
        <v>17869</v>
      </c>
      <c r="AY1007" s="1" t="s">
        <v>18075</v>
      </c>
      <c r="AZ1007" s="1" t="s">
        <v>681</v>
      </c>
      <c r="BA1007" s="1" t="s">
        <v>413</v>
      </c>
      <c r="BB1007" s="1">
        <v>77.1</v>
      </c>
      <c r="BC1007" s="1">
        <v>7.7</v>
      </c>
      <c r="BD1007" s="1"/>
      <c r="BE1007" s="1"/>
      <c r="BF1007" s="1"/>
      <c r="BG1007" s="1"/>
      <c r="BH1007" s="1"/>
      <c r="BI1007" s="1"/>
      <c r="BJ1007" s="1" t="s">
        <v>734</v>
      </c>
      <c r="BK1007" s="1"/>
      <c r="BL1007" s="1"/>
      <c r="BM1007" s="1" t="s">
        <v>18076</v>
      </c>
      <c r="BN1007" s="1">
        <v>40</v>
      </c>
      <c r="BO1007" s="1"/>
      <c r="BP1007" s="1" t="str">
        <f>HYPERLINK("https://nconnect.nicmar.ac.in/storage/profile/ProfilePhoto_P25703073_853419.jpg","Download")</f>
        <v>0</v>
      </c>
      <c r="BQ1007" s="3"/>
      <c r="BR1007" s="3"/>
    </row>
    <row r="1008" spans="1:70">
      <c r="A1008" s="1" t="s">
        <v>552</v>
      </c>
      <c r="B1008" s="1" t="s">
        <v>1269</v>
      </c>
      <c r="C1008" s="1" t="s">
        <v>18077</v>
      </c>
      <c r="D1008" s="1" t="s">
        <v>5472</v>
      </c>
      <c r="E1008" s="1" t="s">
        <v>18078</v>
      </c>
      <c r="F1008" s="1" t="s">
        <v>7519</v>
      </c>
      <c r="G1008" s="1" t="s">
        <v>18079</v>
      </c>
      <c r="H1008" s="1" t="s">
        <v>18080</v>
      </c>
      <c r="I1008" s="1" t="s">
        <v>18081</v>
      </c>
      <c r="J1008" s="1">
        <v>7517880354</v>
      </c>
      <c r="K1008" s="1" t="s">
        <v>79</v>
      </c>
      <c r="L1008" s="1" t="s">
        <v>18082</v>
      </c>
      <c r="M1008" s="1" t="s">
        <v>81</v>
      </c>
      <c r="N1008" s="1" t="s">
        <v>6219</v>
      </c>
      <c r="O1008" s="1"/>
      <c r="P1008" s="1" t="s">
        <v>1766</v>
      </c>
      <c r="Q1008" s="1" t="s">
        <v>18083</v>
      </c>
      <c r="R1008" s="1" t="s">
        <v>18084</v>
      </c>
      <c r="S1008" s="1">
        <v>7774964929</v>
      </c>
      <c r="T1008" s="1" t="s">
        <v>18085</v>
      </c>
      <c r="U1008" s="1" t="s">
        <v>18086</v>
      </c>
      <c r="V1008" s="1">
        <v>9226466945</v>
      </c>
      <c r="W1008" s="1" t="s">
        <v>18085</v>
      </c>
      <c r="X1008" s="1" t="s">
        <v>18087</v>
      </c>
      <c r="Y1008" s="1" t="s">
        <v>3482</v>
      </c>
      <c r="Z1008" s="1" t="s">
        <v>92</v>
      </c>
      <c r="AA1008" s="1" t="s">
        <v>18087</v>
      </c>
      <c r="AB1008" s="1" t="s">
        <v>3482</v>
      </c>
      <c r="AC1008" s="1" t="s">
        <v>92</v>
      </c>
      <c r="AD1008" s="1" t="s">
        <v>93</v>
      </c>
      <c r="AE1008" s="1" t="s">
        <v>93</v>
      </c>
      <c r="AF1008" s="1" t="s">
        <v>18088</v>
      </c>
      <c r="AG1008" s="1" t="s">
        <v>18089</v>
      </c>
      <c r="AH1008" s="1" t="s">
        <v>165</v>
      </c>
      <c r="AI1008" s="1" t="s">
        <v>281</v>
      </c>
      <c r="AJ1008" s="1">
        <v>81.2</v>
      </c>
      <c r="AK1008" s="1"/>
      <c r="AL1008" s="1" t="s">
        <v>18090</v>
      </c>
      <c r="AM1008" s="1" t="s">
        <v>18091</v>
      </c>
      <c r="AN1008" s="1" t="s">
        <v>433</v>
      </c>
      <c r="AO1008" s="1" t="s">
        <v>360</v>
      </c>
      <c r="AP1008" s="1">
        <v>72.31</v>
      </c>
      <c r="AQ1008" s="1"/>
      <c r="AR1008" s="1"/>
      <c r="AS1008" s="1"/>
      <c r="AT1008" s="1"/>
      <c r="AU1008" s="1"/>
      <c r="AV1008" s="1"/>
      <c r="AW1008" s="1"/>
      <c r="AX1008" s="1" t="s">
        <v>18092</v>
      </c>
      <c r="AY1008" s="1" t="s">
        <v>18093</v>
      </c>
      <c r="AZ1008" s="1" t="s">
        <v>2016</v>
      </c>
      <c r="BA1008" s="1" t="s">
        <v>1361</v>
      </c>
      <c r="BB1008" s="1">
        <v>70.6</v>
      </c>
      <c r="BC1008" s="1">
        <v>7.06</v>
      </c>
      <c r="BD1008" s="1"/>
      <c r="BE1008" s="1"/>
      <c r="BF1008" s="1"/>
      <c r="BG1008" s="1"/>
      <c r="BH1008" s="1"/>
      <c r="BI1008" s="1"/>
      <c r="BJ1008" s="1" t="s">
        <v>18094</v>
      </c>
      <c r="BK1008" s="1"/>
      <c r="BL1008" s="1"/>
      <c r="BM1008" s="1"/>
      <c r="BN1008" s="1"/>
      <c r="BO1008" s="1" t="s">
        <v>10568</v>
      </c>
      <c r="BP1008" s="1" t="str">
        <f>HYPERLINK("https://nconnect.nicmar.ac.in/storage/profile/ProfilePhoto_P25703075_735968.jpg","Download")</f>
        <v>0</v>
      </c>
      <c r="BQ1008" s="3"/>
      <c r="BR1008" s="3"/>
    </row>
    <row r="1009" spans="1:70">
      <c r="A1009" s="1" t="s">
        <v>552</v>
      </c>
      <c r="B1009" s="1" t="s">
        <v>1269</v>
      </c>
      <c r="C1009" s="1" t="s">
        <v>18095</v>
      </c>
      <c r="D1009" s="1" t="s">
        <v>11694</v>
      </c>
      <c r="E1009" s="1"/>
      <c r="F1009" s="1" t="s">
        <v>18096</v>
      </c>
      <c r="G1009" s="1" t="s">
        <v>18097</v>
      </c>
      <c r="H1009" s="1" t="s">
        <v>18098</v>
      </c>
      <c r="I1009" s="1" t="s">
        <v>18099</v>
      </c>
      <c r="J1009" s="1">
        <v>7752901132</v>
      </c>
      <c r="K1009" s="1" t="s">
        <v>79</v>
      </c>
      <c r="L1009" s="1" t="s">
        <v>18100</v>
      </c>
      <c r="M1009" s="1" t="s">
        <v>81</v>
      </c>
      <c r="N1009" s="1" t="s">
        <v>5056</v>
      </c>
      <c r="O1009" s="1"/>
      <c r="P1009" s="1" t="s">
        <v>1323</v>
      </c>
      <c r="Q1009" s="1" t="s">
        <v>18101</v>
      </c>
      <c r="R1009" s="1" t="s">
        <v>18102</v>
      </c>
      <c r="S1009" s="1">
        <v>9648776435</v>
      </c>
      <c r="T1009" s="1" t="s">
        <v>154</v>
      </c>
      <c r="U1009" s="1" t="s">
        <v>18103</v>
      </c>
      <c r="V1009" s="1">
        <v>9235361317</v>
      </c>
      <c r="W1009" s="1" t="s">
        <v>273</v>
      </c>
      <c r="X1009" s="1" t="s">
        <v>18104</v>
      </c>
      <c r="Y1009" s="1" t="s">
        <v>18022</v>
      </c>
      <c r="Z1009" s="1" t="s">
        <v>1355</v>
      </c>
      <c r="AA1009" s="1" t="s">
        <v>18104</v>
      </c>
      <c r="AB1009" s="1" t="s">
        <v>18022</v>
      </c>
      <c r="AC1009" s="1" t="s">
        <v>1355</v>
      </c>
      <c r="AD1009" s="1" t="s">
        <v>93</v>
      </c>
      <c r="AE1009" s="1" t="s">
        <v>93</v>
      </c>
      <c r="AF1009" s="1" t="s">
        <v>16854</v>
      </c>
      <c r="AG1009" s="1" t="s">
        <v>18105</v>
      </c>
      <c r="AH1009" s="1" t="s">
        <v>310</v>
      </c>
      <c r="AI1009" s="1" t="s">
        <v>681</v>
      </c>
      <c r="AJ1009" s="1">
        <v>56</v>
      </c>
      <c r="AK1009" s="1"/>
      <c r="AL1009" s="1" t="s">
        <v>18106</v>
      </c>
      <c r="AM1009" s="1" t="s">
        <v>307</v>
      </c>
      <c r="AN1009" s="1" t="s">
        <v>3088</v>
      </c>
      <c r="AO1009" s="1" t="s">
        <v>874</v>
      </c>
      <c r="AP1009" s="1">
        <v>51.16</v>
      </c>
      <c r="AQ1009" s="1"/>
      <c r="AR1009" s="1"/>
      <c r="AS1009" s="1"/>
      <c r="AT1009" s="1"/>
      <c r="AU1009" s="1"/>
      <c r="AV1009" s="1"/>
      <c r="AW1009" s="1"/>
      <c r="AX1009" s="1" t="s">
        <v>18107</v>
      </c>
      <c r="AY1009" s="1" t="s">
        <v>18108</v>
      </c>
      <c r="AZ1009" s="1" t="s">
        <v>105</v>
      </c>
      <c r="BA1009" s="1" t="s">
        <v>1584</v>
      </c>
      <c r="BB1009" s="1">
        <v>60.32</v>
      </c>
      <c r="BC1009" s="1">
        <v>6.35</v>
      </c>
      <c r="BD1009" s="1"/>
      <c r="BE1009" s="1"/>
      <c r="BF1009" s="1"/>
      <c r="BG1009" s="1"/>
      <c r="BH1009" s="1"/>
      <c r="BI1009" s="1"/>
      <c r="BJ1009" s="1" t="s">
        <v>4112</v>
      </c>
      <c r="BK1009" s="1"/>
      <c r="BL1009" s="1"/>
      <c r="BM1009" s="1"/>
      <c r="BN1009" s="1"/>
      <c r="BO1009" s="1" t="s">
        <v>18109</v>
      </c>
      <c r="BP1009" s="1" t="str">
        <f>HYPERLINK("https://nconnect.nicmar.ac.in/storage/profile/ProfilePhoto_P25703076_758314.jpg","Download")</f>
        <v>0</v>
      </c>
      <c r="BQ1009" s="3"/>
      <c r="BR1009" s="3"/>
    </row>
    <row r="1010" spans="1:70">
      <c r="A1010" s="1" t="s">
        <v>552</v>
      </c>
      <c r="B1010" s="1" t="s">
        <v>1269</v>
      </c>
      <c r="C1010" s="1" t="s">
        <v>18110</v>
      </c>
      <c r="D1010" s="1" t="s">
        <v>181</v>
      </c>
      <c r="E1010" s="1" t="s">
        <v>18111</v>
      </c>
      <c r="F1010" s="1" t="s">
        <v>8682</v>
      </c>
      <c r="G1010" s="1" t="s">
        <v>18112</v>
      </c>
      <c r="H1010" s="1" t="s">
        <v>18113</v>
      </c>
      <c r="I1010" s="1" t="s">
        <v>18114</v>
      </c>
      <c r="J1010" s="1">
        <v>8830177969</v>
      </c>
      <c r="K1010" s="1" t="s">
        <v>79</v>
      </c>
      <c r="L1010" s="1" t="s">
        <v>18115</v>
      </c>
      <c r="M1010" s="1" t="s">
        <v>81</v>
      </c>
      <c r="N1010" s="1" t="s">
        <v>1418</v>
      </c>
      <c r="O1010" s="1"/>
      <c r="P1010" s="1" t="s">
        <v>1278</v>
      </c>
      <c r="Q1010" s="1" t="s">
        <v>18116</v>
      </c>
      <c r="R1010" s="1" t="s">
        <v>18111</v>
      </c>
      <c r="S1010" s="1">
        <v>9822213592</v>
      </c>
      <c r="T1010" s="1" t="s">
        <v>496</v>
      </c>
      <c r="U1010" s="1" t="s">
        <v>18117</v>
      </c>
      <c r="V1010" s="1">
        <v>8007177969</v>
      </c>
      <c r="W1010" s="1" t="s">
        <v>156</v>
      </c>
      <c r="X1010" s="1" t="s">
        <v>18118</v>
      </c>
      <c r="Y1010" s="1" t="s">
        <v>191</v>
      </c>
      <c r="Z1010" s="1" t="s">
        <v>92</v>
      </c>
      <c r="AA1010" s="1" t="s">
        <v>18118</v>
      </c>
      <c r="AB1010" s="1" t="s">
        <v>191</v>
      </c>
      <c r="AC1010" s="1" t="s">
        <v>92</v>
      </c>
      <c r="AD1010" s="1">
        <v>8.13</v>
      </c>
      <c r="AE1010" s="1" t="s">
        <v>93</v>
      </c>
      <c r="AF1010" s="1" t="s">
        <v>18119</v>
      </c>
      <c r="AG1010" s="1" t="s">
        <v>307</v>
      </c>
      <c r="AH1010" s="1" t="s">
        <v>1307</v>
      </c>
      <c r="AI1010" s="1" t="s">
        <v>308</v>
      </c>
      <c r="AJ1010" s="1">
        <v>77.8</v>
      </c>
      <c r="AK1010" s="1"/>
      <c r="AL1010" s="1" t="s">
        <v>14157</v>
      </c>
      <c r="AM1010" s="1" t="s">
        <v>18120</v>
      </c>
      <c r="AN1010" s="1" t="s">
        <v>201</v>
      </c>
      <c r="AO1010" s="1" t="s">
        <v>436</v>
      </c>
      <c r="AP1010" s="1">
        <v>87.17</v>
      </c>
      <c r="AQ1010" s="1"/>
      <c r="AR1010" s="1"/>
      <c r="AS1010" s="1"/>
      <c r="AT1010" s="1"/>
      <c r="AU1010" s="1"/>
      <c r="AV1010" s="1"/>
      <c r="AW1010" s="1"/>
      <c r="AX1010" s="1" t="s">
        <v>1002</v>
      </c>
      <c r="AY1010" s="1" t="s">
        <v>1002</v>
      </c>
      <c r="AZ1010" s="1" t="s">
        <v>436</v>
      </c>
      <c r="BA1010" s="1" t="s">
        <v>413</v>
      </c>
      <c r="BB1010" s="1">
        <v>83.66</v>
      </c>
      <c r="BC1010" s="1">
        <v>8.36</v>
      </c>
      <c r="BD1010" s="1"/>
      <c r="BE1010" s="1"/>
      <c r="BF1010" s="1"/>
      <c r="BG1010" s="1"/>
      <c r="BH1010" s="1"/>
      <c r="BI1010" s="1"/>
      <c r="BJ1010" s="1" t="s">
        <v>734</v>
      </c>
      <c r="BK1010" s="1"/>
      <c r="BL1010" s="1"/>
      <c r="BM1010" s="1" t="s">
        <v>18121</v>
      </c>
      <c r="BN1010" s="1">
        <v>37</v>
      </c>
      <c r="BO1010" s="1"/>
      <c r="BP1010" s="1" t="str">
        <f>HYPERLINK("https://nconnect.nicmar.ac.in/storage/profile/ProfilePhoto_P25703077_591873.jpg","Download")</f>
        <v>0</v>
      </c>
      <c r="BQ1010" s="3"/>
      <c r="BR1010" s="3"/>
    </row>
    <row r="1011" spans="1:70">
      <c r="A1011" s="1" t="s">
        <v>552</v>
      </c>
      <c r="B1011" s="1" t="s">
        <v>1269</v>
      </c>
      <c r="C1011" s="1" t="s">
        <v>18122</v>
      </c>
      <c r="D1011" s="1" t="s">
        <v>452</v>
      </c>
      <c r="E1011" s="1" t="s">
        <v>18123</v>
      </c>
      <c r="F1011" s="1" t="s">
        <v>2677</v>
      </c>
      <c r="G1011" s="1" t="s">
        <v>18124</v>
      </c>
      <c r="H1011" s="1" t="s">
        <v>18125</v>
      </c>
      <c r="I1011" s="1" t="s">
        <v>18126</v>
      </c>
      <c r="J1011" s="1">
        <v>9373435275</v>
      </c>
      <c r="K1011" s="1" t="s">
        <v>148</v>
      </c>
      <c r="L1011" s="1" t="s">
        <v>18127</v>
      </c>
      <c r="M1011" s="1" t="s">
        <v>81</v>
      </c>
      <c r="N1011" s="1" t="s">
        <v>2008</v>
      </c>
      <c r="O1011" s="1" t="s">
        <v>18128</v>
      </c>
      <c r="P1011" s="1" t="s">
        <v>1278</v>
      </c>
      <c r="Q1011" s="1" t="s">
        <v>18129</v>
      </c>
      <c r="R1011" s="1" t="s">
        <v>18123</v>
      </c>
      <c r="S1011" s="1">
        <v>9730160532</v>
      </c>
      <c r="T1011" s="1" t="s">
        <v>154</v>
      </c>
      <c r="U1011" s="1" t="s">
        <v>693</v>
      </c>
      <c r="V1011" s="1">
        <v>9503840633</v>
      </c>
      <c r="W1011" s="1" t="s">
        <v>156</v>
      </c>
      <c r="X1011" s="1" t="s">
        <v>18130</v>
      </c>
      <c r="Y1011" s="1" t="s">
        <v>1887</v>
      </c>
      <c r="Z1011" s="1" t="s">
        <v>92</v>
      </c>
      <c r="AA1011" s="1" t="s">
        <v>18130</v>
      </c>
      <c r="AB1011" s="1" t="s">
        <v>1887</v>
      </c>
      <c r="AC1011" s="1" t="s">
        <v>92</v>
      </c>
      <c r="AD1011" s="1" t="s">
        <v>93</v>
      </c>
      <c r="AE1011" s="1" t="s">
        <v>93</v>
      </c>
      <c r="AF1011" s="1" t="s">
        <v>18131</v>
      </c>
      <c r="AG1011" s="1" t="s">
        <v>18132</v>
      </c>
      <c r="AH1011" s="1" t="s">
        <v>433</v>
      </c>
      <c r="AI1011" s="1" t="s">
        <v>941</v>
      </c>
      <c r="AJ1011" s="1">
        <v>84.8</v>
      </c>
      <c r="AK1011" s="1">
        <v>0</v>
      </c>
      <c r="AL1011" s="1" t="s">
        <v>18133</v>
      </c>
      <c r="AM1011" s="1" t="s">
        <v>18132</v>
      </c>
      <c r="AN1011" s="1" t="s">
        <v>1131</v>
      </c>
      <c r="AO1011" s="1" t="s">
        <v>2690</v>
      </c>
      <c r="AP1011" s="1">
        <v>72.33</v>
      </c>
      <c r="AQ1011" s="1">
        <v>0</v>
      </c>
      <c r="AR1011" s="1"/>
      <c r="AS1011" s="1"/>
      <c r="AT1011" s="1"/>
      <c r="AU1011" s="1"/>
      <c r="AV1011" s="1"/>
      <c r="AW1011" s="1"/>
      <c r="AX1011" s="1" t="s">
        <v>7787</v>
      </c>
      <c r="AY1011" s="1" t="s">
        <v>18134</v>
      </c>
      <c r="AZ1011" s="1" t="s">
        <v>284</v>
      </c>
      <c r="BA1011" s="1" t="s">
        <v>1714</v>
      </c>
      <c r="BB1011" s="1">
        <v>74.98</v>
      </c>
      <c r="BC1011" s="1">
        <v>8.03</v>
      </c>
      <c r="BD1011" s="1"/>
      <c r="BE1011" s="1"/>
      <c r="BF1011" s="1"/>
      <c r="BG1011" s="1"/>
      <c r="BH1011" s="1"/>
      <c r="BI1011" s="1"/>
      <c r="BJ1011" s="1" t="s">
        <v>18135</v>
      </c>
      <c r="BK1011" s="1"/>
      <c r="BL1011" s="1"/>
      <c r="BM1011" s="1"/>
      <c r="BN1011" s="1"/>
      <c r="BO1011" s="1"/>
      <c r="BP1011" s="1" t="str">
        <f>HYPERLINK("https://nconnect.nicmar.ac.in/storage/profile/ProfilePhoto_P25703078_978462.jpg","Download")</f>
        <v>0</v>
      </c>
      <c r="BQ1011" s="3"/>
      <c r="BR1011" s="3"/>
    </row>
    <row r="1012" spans="1:70">
      <c r="A1012" s="1" t="s">
        <v>552</v>
      </c>
      <c r="B1012" s="1" t="s">
        <v>1269</v>
      </c>
      <c r="C1012" s="1" t="s">
        <v>18136</v>
      </c>
      <c r="D1012" s="1" t="s">
        <v>1899</v>
      </c>
      <c r="E1012" s="1" t="s">
        <v>1566</v>
      </c>
      <c r="F1012" s="1" t="s">
        <v>2677</v>
      </c>
      <c r="G1012" s="1" t="s">
        <v>18137</v>
      </c>
      <c r="H1012" s="1" t="s">
        <v>18138</v>
      </c>
      <c r="I1012" s="1" t="s">
        <v>18139</v>
      </c>
      <c r="J1012" s="1">
        <v>7558235037</v>
      </c>
      <c r="K1012" s="1" t="s">
        <v>79</v>
      </c>
      <c r="L1012" s="1" t="s">
        <v>18140</v>
      </c>
      <c r="M1012" s="1" t="s">
        <v>81</v>
      </c>
      <c r="N1012" s="1" t="s">
        <v>1418</v>
      </c>
      <c r="O1012" s="1"/>
      <c r="P1012" s="1" t="s">
        <v>1278</v>
      </c>
      <c r="Q1012" s="1" t="s">
        <v>18141</v>
      </c>
      <c r="R1012" s="1" t="s">
        <v>6479</v>
      </c>
      <c r="S1012" s="1">
        <v>9422037003</v>
      </c>
      <c r="T1012" s="1" t="s">
        <v>7444</v>
      </c>
      <c r="U1012" s="1" t="s">
        <v>18142</v>
      </c>
      <c r="V1012" s="1">
        <v>9922770998</v>
      </c>
      <c r="W1012" s="1" t="s">
        <v>156</v>
      </c>
      <c r="X1012" s="1" t="s">
        <v>18143</v>
      </c>
      <c r="Y1012" s="1" t="s">
        <v>2790</v>
      </c>
      <c r="Z1012" s="1" t="s">
        <v>92</v>
      </c>
      <c r="AA1012" s="1" t="s">
        <v>18143</v>
      </c>
      <c r="AB1012" s="1" t="s">
        <v>2790</v>
      </c>
      <c r="AC1012" s="1" t="s">
        <v>92</v>
      </c>
      <c r="AD1012" s="1">
        <v>7.61</v>
      </c>
      <c r="AE1012" s="1" t="s">
        <v>93</v>
      </c>
      <c r="AF1012" s="1" t="s">
        <v>18144</v>
      </c>
      <c r="AG1012" s="1" t="s">
        <v>18145</v>
      </c>
      <c r="AH1012" s="1" t="s">
        <v>281</v>
      </c>
      <c r="AI1012" s="1" t="s">
        <v>409</v>
      </c>
      <c r="AJ1012" s="1">
        <v>89.2</v>
      </c>
      <c r="AK1012" s="1"/>
      <c r="AL1012" s="1" t="s">
        <v>18146</v>
      </c>
      <c r="AM1012" s="1" t="s">
        <v>18147</v>
      </c>
      <c r="AN1012" s="1" t="s">
        <v>433</v>
      </c>
      <c r="AO1012" s="1" t="s">
        <v>1131</v>
      </c>
      <c r="AP1012" s="1">
        <v>81.67</v>
      </c>
      <c r="AQ1012" s="1"/>
      <c r="AR1012" s="1"/>
      <c r="AS1012" s="1"/>
      <c r="AT1012" s="1"/>
      <c r="AU1012" s="1"/>
      <c r="AV1012" s="1"/>
      <c r="AW1012" s="1"/>
      <c r="AX1012" s="1" t="s">
        <v>1892</v>
      </c>
      <c r="AY1012" s="1" t="s">
        <v>18148</v>
      </c>
      <c r="AZ1012" s="1" t="s">
        <v>436</v>
      </c>
      <c r="BA1012" s="1" t="s">
        <v>1714</v>
      </c>
      <c r="BB1012" s="1">
        <v>72.1</v>
      </c>
      <c r="BC1012" s="1">
        <v>7.71</v>
      </c>
      <c r="BD1012" s="1"/>
      <c r="BE1012" s="1"/>
      <c r="BF1012" s="1"/>
      <c r="BG1012" s="1"/>
      <c r="BH1012" s="1"/>
      <c r="BI1012" s="1"/>
      <c r="BJ1012" s="1" t="s">
        <v>18149</v>
      </c>
      <c r="BK1012" s="1"/>
      <c r="BL1012" s="1"/>
      <c r="BM1012" s="1" t="s">
        <v>18150</v>
      </c>
      <c r="BN1012" s="1">
        <v>20</v>
      </c>
      <c r="BO1012" s="1"/>
      <c r="BP1012" s="1" t="str">
        <f>HYPERLINK("https://nconnect.nicmar.ac.in/storage/profile/ProfilePhoto_P25703080_396475.jpg","Download")</f>
        <v>0</v>
      </c>
      <c r="BQ1012" s="3"/>
      <c r="BR1012" s="3"/>
    </row>
    <row r="1013" spans="1:70">
      <c r="A1013" s="1" t="s">
        <v>552</v>
      </c>
      <c r="B1013" s="1" t="s">
        <v>1269</v>
      </c>
      <c r="C1013" s="1" t="s">
        <v>18151</v>
      </c>
      <c r="D1013" s="1" t="s">
        <v>14268</v>
      </c>
      <c r="E1013" s="1" t="s">
        <v>6490</v>
      </c>
      <c r="F1013" s="1" t="s">
        <v>236</v>
      </c>
      <c r="G1013" s="1" t="s">
        <v>18152</v>
      </c>
      <c r="H1013" s="1" t="s">
        <v>18153</v>
      </c>
      <c r="I1013" s="1" t="s">
        <v>18153</v>
      </c>
      <c r="J1013" s="1">
        <v>7378759253</v>
      </c>
      <c r="K1013" s="1" t="s">
        <v>79</v>
      </c>
      <c r="L1013" s="1" t="s">
        <v>18154</v>
      </c>
      <c r="M1013" s="1" t="s">
        <v>81</v>
      </c>
      <c r="N1013" s="1" t="s">
        <v>860</v>
      </c>
      <c r="O1013" s="1"/>
      <c r="P1013" s="1" t="s">
        <v>1298</v>
      </c>
      <c r="Q1013" s="1" t="s">
        <v>18155</v>
      </c>
      <c r="R1013" s="1" t="s">
        <v>18156</v>
      </c>
      <c r="S1013" s="1">
        <v>9403558646</v>
      </c>
      <c r="T1013" s="1" t="s">
        <v>122</v>
      </c>
      <c r="U1013" s="1" t="s">
        <v>18157</v>
      </c>
      <c r="V1013" s="1">
        <v>9403558646</v>
      </c>
      <c r="W1013" s="1" t="s">
        <v>18158</v>
      </c>
      <c r="X1013" s="1" t="s">
        <v>18159</v>
      </c>
      <c r="Y1013" s="1" t="s">
        <v>6857</v>
      </c>
      <c r="Z1013" s="1" t="s">
        <v>92</v>
      </c>
      <c r="AA1013" s="1" t="s">
        <v>18159</v>
      </c>
      <c r="AB1013" s="1" t="s">
        <v>6857</v>
      </c>
      <c r="AC1013" s="1" t="s">
        <v>92</v>
      </c>
      <c r="AD1013" s="1">
        <v>8.83</v>
      </c>
      <c r="AE1013" s="1" t="s">
        <v>93</v>
      </c>
      <c r="AF1013" s="1" t="s">
        <v>17443</v>
      </c>
      <c r="AG1013" s="1" t="s">
        <v>3558</v>
      </c>
      <c r="AH1013" s="1" t="s">
        <v>162</v>
      </c>
      <c r="AI1013" s="1" t="s">
        <v>195</v>
      </c>
      <c r="AJ1013" s="1">
        <v>74.8</v>
      </c>
      <c r="AK1013" s="1"/>
      <c r="AL1013" s="1" t="s">
        <v>18160</v>
      </c>
      <c r="AM1013" s="1" t="s">
        <v>476</v>
      </c>
      <c r="AN1013" s="1" t="s">
        <v>166</v>
      </c>
      <c r="AO1013" s="1" t="s">
        <v>198</v>
      </c>
      <c r="AP1013" s="1">
        <v>67.69</v>
      </c>
      <c r="AQ1013" s="1"/>
      <c r="AR1013" s="1"/>
      <c r="AS1013" s="1"/>
      <c r="AT1013" s="1"/>
      <c r="AU1013" s="1"/>
      <c r="AV1013" s="1"/>
      <c r="AW1013" s="1"/>
      <c r="AX1013" s="1" t="s">
        <v>3982</v>
      </c>
      <c r="AY1013" s="1" t="s">
        <v>18161</v>
      </c>
      <c r="AZ1013" s="1" t="s">
        <v>201</v>
      </c>
      <c r="BA1013" s="1" t="s">
        <v>229</v>
      </c>
      <c r="BB1013" s="1">
        <v>72.8</v>
      </c>
      <c r="BC1013" s="1">
        <v>8.18</v>
      </c>
      <c r="BD1013" s="1"/>
      <c r="BE1013" s="1"/>
      <c r="BF1013" s="1"/>
      <c r="BG1013" s="1"/>
      <c r="BH1013" s="1"/>
      <c r="BI1013" s="1"/>
      <c r="BJ1013" s="1" t="s">
        <v>18162</v>
      </c>
      <c r="BK1013" s="1" t="s">
        <v>18163</v>
      </c>
      <c r="BL1013" s="1" t="s">
        <v>1920</v>
      </c>
      <c r="BM1013" s="1"/>
      <c r="BN1013" s="1"/>
      <c r="BO1013" s="1"/>
      <c r="BP1013" s="1" t="str">
        <f>HYPERLINK("https://nconnect.nicmar.ac.in/storage/profile/ProfilePhoto_P25703036_347852.jpg","Download")</f>
        <v>0</v>
      </c>
      <c r="BQ1013" s="3"/>
      <c r="BR1013" s="3"/>
    </row>
    <row r="1014" spans="1:70">
      <c r="A1014" s="1" t="s">
        <v>18164</v>
      </c>
      <c r="B1014" s="1" t="s">
        <v>1269</v>
      </c>
      <c r="C1014" s="1" t="s">
        <v>18165</v>
      </c>
      <c r="D1014" s="1" t="s">
        <v>4026</v>
      </c>
      <c r="E1014" s="1" t="s">
        <v>18166</v>
      </c>
      <c r="F1014" s="1" t="s">
        <v>6578</v>
      </c>
      <c r="G1014" s="1" t="s">
        <v>18167</v>
      </c>
      <c r="H1014" s="1" t="s">
        <v>18168</v>
      </c>
      <c r="I1014" s="1" t="s">
        <v>18169</v>
      </c>
      <c r="J1014" s="1">
        <v>7397991328</v>
      </c>
      <c r="K1014" s="1" t="s">
        <v>79</v>
      </c>
      <c r="L1014" s="1" t="s">
        <v>18170</v>
      </c>
      <c r="M1014" s="1" t="s">
        <v>81</v>
      </c>
      <c r="N1014" s="1" t="s">
        <v>1618</v>
      </c>
      <c r="O1014" s="1" t="s">
        <v>152</v>
      </c>
      <c r="P1014" s="1" t="s">
        <v>1323</v>
      </c>
      <c r="Q1014" s="1" t="s">
        <v>18171</v>
      </c>
      <c r="R1014" s="1" t="s">
        <v>18172</v>
      </c>
      <c r="S1014" s="1">
        <v>7030701647</v>
      </c>
      <c r="T1014" s="1" t="s">
        <v>18173</v>
      </c>
      <c r="U1014" s="1" t="s">
        <v>18174</v>
      </c>
      <c r="V1014" s="1">
        <v>9922014858</v>
      </c>
      <c r="W1014" s="1" t="s">
        <v>273</v>
      </c>
      <c r="X1014" s="1" t="s">
        <v>18175</v>
      </c>
      <c r="Y1014" s="1" t="s">
        <v>191</v>
      </c>
      <c r="Z1014" s="1" t="s">
        <v>92</v>
      </c>
      <c r="AA1014" s="1" t="s">
        <v>18175</v>
      </c>
      <c r="AB1014" s="1" t="s">
        <v>191</v>
      </c>
      <c r="AC1014" s="1" t="s">
        <v>92</v>
      </c>
      <c r="AD1014" s="1">
        <v>8.65</v>
      </c>
      <c r="AE1014" s="1" t="s">
        <v>93</v>
      </c>
      <c r="AF1014" s="1" t="s">
        <v>18176</v>
      </c>
      <c r="AG1014" s="1" t="s">
        <v>160</v>
      </c>
      <c r="AH1014" s="1" t="s">
        <v>101</v>
      </c>
      <c r="AI1014" s="1" t="s">
        <v>433</v>
      </c>
      <c r="AJ1014" s="1">
        <v>61.2</v>
      </c>
      <c r="AK1014" s="1"/>
      <c r="AL1014" s="1"/>
      <c r="AM1014" s="1"/>
      <c r="AN1014" s="1"/>
      <c r="AO1014" s="1"/>
      <c r="AP1014" s="1"/>
      <c r="AQ1014" s="1"/>
      <c r="AR1014" s="1" t="s">
        <v>18177</v>
      </c>
      <c r="AS1014" s="1" t="s">
        <v>18178</v>
      </c>
      <c r="AT1014" s="1" t="s">
        <v>310</v>
      </c>
      <c r="AU1014" s="1" t="s">
        <v>481</v>
      </c>
      <c r="AV1014" s="1">
        <v>81.11</v>
      </c>
      <c r="AW1014" s="1"/>
      <c r="AX1014" s="1" t="s">
        <v>18179</v>
      </c>
      <c r="AY1014" s="1" t="s">
        <v>18180</v>
      </c>
      <c r="AZ1014" s="1" t="s">
        <v>2693</v>
      </c>
      <c r="BA1014" s="1" t="s">
        <v>1714</v>
      </c>
      <c r="BB1014" s="1">
        <v>61.14</v>
      </c>
      <c r="BC1014" s="1">
        <v>6.87</v>
      </c>
      <c r="BD1014" s="1"/>
      <c r="BE1014" s="1"/>
      <c r="BF1014" s="1"/>
      <c r="BG1014" s="1"/>
      <c r="BH1014" s="1"/>
      <c r="BI1014" s="1"/>
      <c r="BJ1014" s="1" t="s">
        <v>18181</v>
      </c>
      <c r="BK1014" s="1"/>
      <c r="BL1014" s="1"/>
      <c r="BM1014" s="1" t="s">
        <v>18182</v>
      </c>
      <c r="BN1014" s="1">
        <v>12</v>
      </c>
      <c r="BO1014" s="1" t="s">
        <v>18183</v>
      </c>
      <c r="BP1014" s="1" t="str">
        <f>HYPERLINK("https://nconnect.nicmar.ac.in/storage/profile/ProfilePhoto_P25707001_689247.jpg","Download")</f>
        <v>0</v>
      </c>
      <c r="BQ1014" s="3"/>
      <c r="BR1014" s="3"/>
    </row>
    <row r="1015" spans="1:70">
      <c r="A1015" s="1" t="s">
        <v>18164</v>
      </c>
      <c r="B1015" s="1" t="s">
        <v>1269</v>
      </c>
      <c r="C1015" s="1" t="s">
        <v>18184</v>
      </c>
      <c r="D1015" s="1" t="s">
        <v>18185</v>
      </c>
      <c r="E1015" s="1"/>
      <c r="F1015" s="1" t="s">
        <v>18186</v>
      </c>
      <c r="G1015" s="1" t="s">
        <v>18187</v>
      </c>
      <c r="H1015" s="1" t="s">
        <v>18188</v>
      </c>
      <c r="I1015" s="1" t="s">
        <v>18189</v>
      </c>
      <c r="J1015" s="1">
        <v>6281993458</v>
      </c>
      <c r="K1015" s="1" t="s">
        <v>79</v>
      </c>
      <c r="L1015" s="1" t="s">
        <v>7240</v>
      </c>
      <c r="M1015" s="1" t="s">
        <v>81</v>
      </c>
      <c r="N1015" s="1" t="s">
        <v>2621</v>
      </c>
      <c r="O1015" s="1"/>
      <c r="P1015" s="1" t="s">
        <v>1278</v>
      </c>
      <c r="Q1015" s="1" t="s">
        <v>18190</v>
      </c>
      <c r="R1015" s="1" t="s">
        <v>18191</v>
      </c>
      <c r="S1015" s="1">
        <v>7702066075</v>
      </c>
      <c r="T1015" s="1" t="s">
        <v>4383</v>
      </c>
      <c r="U1015" s="1" t="s">
        <v>18192</v>
      </c>
      <c r="V1015" s="1">
        <v>7702066075</v>
      </c>
      <c r="W1015" s="1" t="s">
        <v>910</v>
      </c>
      <c r="X1015" s="1" t="s">
        <v>18193</v>
      </c>
      <c r="Y1015" s="1" t="s">
        <v>1150</v>
      </c>
      <c r="Z1015" s="1" t="s">
        <v>276</v>
      </c>
      <c r="AA1015" s="1" t="s">
        <v>18193</v>
      </c>
      <c r="AB1015" s="1" t="s">
        <v>1150</v>
      </c>
      <c r="AC1015" s="1" t="s">
        <v>276</v>
      </c>
      <c r="AD1015" s="1">
        <v>9.14</v>
      </c>
      <c r="AE1015" s="1" t="s">
        <v>93</v>
      </c>
      <c r="AF1015" s="1" t="s">
        <v>18194</v>
      </c>
      <c r="AG1015" s="1" t="s">
        <v>2245</v>
      </c>
      <c r="AH1015" s="1" t="s">
        <v>165</v>
      </c>
      <c r="AI1015" s="1" t="s">
        <v>281</v>
      </c>
      <c r="AJ1015" s="1">
        <v>98</v>
      </c>
      <c r="AK1015" s="1">
        <v>9.8</v>
      </c>
      <c r="AL1015" s="1"/>
      <c r="AM1015" s="1"/>
      <c r="AN1015" s="1"/>
      <c r="AO1015" s="1"/>
      <c r="AP1015" s="1"/>
      <c r="AQ1015" s="1"/>
      <c r="AR1015" s="1" t="s">
        <v>434</v>
      </c>
      <c r="AS1015" s="1" t="s">
        <v>18195</v>
      </c>
      <c r="AT1015" s="1" t="s">
        <v>101</v>
      </c>
      <c r="AU1015" s="1" t="s">
        <v>3088</v>
      </c>
      <c r="AV1015" s="1">
        <v>82.28</v>
      </c>
      <c r="AW1015" s="1"/>
      <c r="AX1015" s="1" t="s">
        <v>18196</v>
      </c>
      <c r="AY1015" s="1" t="s">
        <v>18197</v>
      </c>
      <c r="AZ1015" s="1" t="s">
        <v>135</v>
      </c>
      <c r="BA1015" s="1" t="s">
        <v>702</v>
      </c>
      <c r="BB1015" s="1">
        <v>76.4</v>
      </c>
      <c r="BC1015" s="1">
        <v>8.39</v>
      </c>
      <c r="BD1015" s="1"/>
      <c r="BE1015" s="1"/>
      <c r="BF1015" s="1"/>
      <c r="BG1015" s="1"/>
      <c r="BH1015" s="1"/>
      <c r="BI1015" s="1"/>
      <c r="BJ1015" s="1" t="s">
        <v>18198</v>
      </c>
      <c r="BK1015" s="1"/>
      <c r="BL1015" s="1"/>
      <c r="BM1015" s="1" t="s">
        <v>18199</v>
      </c>
      <c r="BN1015" s="1">
        <v>45</v>
      </c>
      <c r="BO1015" s="1" t="s">
        <v>18200</v>
      </c>
      <c r="BP1015" s="1" t="str">
        <f>HYPERLINK("https://nconnect.nicmar.ac.in/storage/profile/ProfilePhoto_P25707002_857632.jpg","Download")</f>
        <v>0</v>
      </c>
      <c r="BQ1015" s="3"/>
      <c r="BR1015" s="3"/>
    </row>
    <row r="1016" spans="1:70">
      <c r="A1016" s="1" t="s">
        <v>18164</v>
      </c>
      <c r="B1016" s="1" t="s">
        <v>1269</v>
      </c>
      <c r="C1016" s="1" t="s">
        <v>18201</v>
      </c>
      <c r="D1016" s="1" t="s">
        <v>18202</v>
      </c>
      <c r="E1016" s="1" t="s">
        <v>18203</v>
      </c>
      <c r="F1016" s="1" t="s">
        <v>18204</v>
      </c>
      <c r="G1016" s="1" t="s">
        <v>18205</v>
      </c>
      <c r="H1016" s="1" t="s">
        <v>18206</v>
      </c>
      <c r="I1016" s="1" t="s">
        <v>18207</v>
      </c>
      <c r="J1016" s="1">
        <v>7264940210</v>
      </c>
      <c r="K1016" s="1" t="s">
        <v>148</v>
      </c>
      <c r="L1016" s="1" t="s">
        <v>18208</v>
      </c>
      <c r="M1016" s="1" t="s">
        <v>81</v>
      </c>
      <c r="N1016" s="1" t="s">
        <v>1418</v>
      </c>
      <c r="O1016" s="1" t="s">
        <v>18209</v>
      </c>
      <c r="P1016" s="1" t="s">
        <v>214</v>
      </c>
      <c r="Q1016" s="1" t="s">
        <v>18210</v>
      </c>
      <c r="R1016" s="1" t="s">
        <v>18211</v>
      </c>
      <c r="S1016" s="1">
        <v>7841021061</v>
      </c>
      <c r="T1016" s="1" t="s">
        <v>93</v>
      </c>
      <c r="U1016" s="1" t="s">
        <v>18212</v>
      </c>
      <c r="V1016" s="1">
        <v>9960289259</v>
      </c>
      <c r="W1016" s="1" t="s">
        <v>154</v>
      </c>
      <c r="X1016" s="1" t="s">
        <v>18213</v>
      </c>
      <c r="Y1016" s="1" t="s">
        <v>1887</v>
      </c>
      <c r="Z1016" s="1" t="s">
        <v>92</v>
      </c>
      <c r="AA1016" s="1" t="s">
        <v>18214</v>
      </c>
      <c r="AB1016" s="1" t="s">
        <v>1887</v>
      </c>
      <c r="AC1016" s="1" t="s">
        <v>92</v>
      </c>
      <c r="AD1016" s="1">
        <v>9.51</v>
      </c>
      <c r="AE1016" s="1" t="s">
        <v>93</v>
      </c>
      <c r="AF1016" s="1" t="s">
        <v>18215</v>
      </c>
      <c r="AG1016" s="1" t="s">
        <v>160</v>
      </c>
      <c r="AH1016" s="1" t="s">
        <v>161</v>
      </c>
      <c r="AI1016" s="1" t="s">
        <v>162</v>
      </c>
      <c r="AJ1016" s="1">
        <v>94.6</v>
      </c>
      <c r="AK1016" s="1"/>
      <c r="AL1016" s="1" t="s">
        <v>18216</v>
      </c>
      <c r="AM1016" s="1" t="s">
        <v>160</v>
      </c>
      <c r="AN1016" s="1" t="s">
        <v>165</v>
      </c>
      <c r="AO1016" s="1" t="s">
        <v>166</v>
      </c>
      <c r="AP1016" s="1">
        <v>79.54</v>
      </c>
      <c r="AQ1016" s="1"/>
      <c r="AR1016" s="1"/>
      <c r="AS1016" s="1"/>
      <c r="AT1016" s="1"/>
      <c r="AU1016" s="1"/>
      <c r="AV1016" s="1"/>
      <c r="AW1016" s="1"/>
      <c r="AX1016" s="1" t="s">
        <v>361</v>
      </c>
      <c r="AY1016" s="1" t="s">
        <v>18217</v>
      </c>
      <c r="AZ1016" s="1" t="s">
        <v>201</v>
      </c>
      <c r="BA1016" s="1" t="s">
        <v>174</v>
      </c>
      <c r="BB1016" s="1">
        <v>84.74</v>
      </c>
      <c r="BC1016" s="1">
        <v>8.92</v>
      </c>
      <c r="BD1016" s="1"/>
      <c r="BE1016" s="1"/>
      <c r="BF1016" s="1"/>
      <c r="BG1016" s="1"/>
      <c r="BH1016" s="1"/>
      <c r="BI1016" s="1"/>
      <c r="BJ1016" s="1" t="s">
        <v>18218</v>
      </c>
      <c r="BK1016" s="1" t="s">
        <v>18219</v>
      </c>
      <c r="BL1016" s="1" t="s">
        <v>1920</v>
      </c>
      <c r="BM1016" s="1" t="s">
        <v>18220</v>
      </c>
      <c r="BN1016" s="1">
        <v>15</v>
      </c>
      <c r="BO1016" s="1" t="s">
        <v>18221</v>
      </c>
      <c r="BP1016" s="1" t="str">
        <f>HYPERLINK("https://nconnect.nicmar.ac.in/storage/profile/ProfilePhoto_P25707003_426789.jpg","Download")</f>
        <v>0</v>
      </c>
      <c r="BQ1016" s="3"/>
      <c r="BR1016" s="3"/>
    </row>
    <row r="1017" spans="1:70">
      <c r="A1017" s="1" t="s">
        <v>18164</v>
      </c>
      <c r="B1017" s="1" t="s">
        <v>1269</v>
      </c>
      <c r="C1017" s="1" t="s">
        <v>18222</v>
      </c>
      <c r="D1017" s="1" t="s">
        <v>18223</v>
      </c>
      <c r="E1017" s="1" t="s">
        <v>18224</v>
      </c>
      <c r="F1017" s="1" t="s">
        <v>18225</v>
      </c>
      <c r="G1017" s="1" t="s">
        <v>18226</v>
      </c>
      <c r="H1017" s="1" t="s">
        <v>18227</v>
      </c>
      <c r="I1017" s="1" t="s">
        <v>18228</v>
      </c>
      <c r="J1017" s="1">
        <v>9496455900</v>
      </c>
      <c r="K1017" s="1" t="s">
        <v>148</v>
      </c>
      <c r="L1017" s="1" t="s">
        <v>18229</v>
      </c>
      <c r="M1017" s="1" t="s">
        <v>81</v>
      </c>
      <c r="N1017" s="1" t="s">
        <v>18230</v>
      </c>
      <c r="O1017" s="1"/>
      <c r="P1017" s="1" t="s">
        <v>1298</v>
      </c>
      <c r="Q1017" s="1" t="s">
        <v>18231</v>
      </c>
      <c r="R1017" s="1" t="s">
        <v>18232</v>
      </c>
      <c r="S1017" s="1">
        <v>9400000124</v>
      </c>
      <c r="T1017" s="1" t="s">
        <v>18233</v>
      </c>
      <c r="U1017" s="1" t="s">
        <v>18234</v>
      </c>
      <c r="V1017" s="1">
        <v>9496455800</v>
      </c>
      <c r="W1017" s="1" t="s">
        <v>156</v>
      </c>
      <c r="X1017" s="1" t="s">
        <v>18235</v>
      </c>
      <c r="Y1017" s="1" t="s">
        <v>1491</v>
      </c>
      <c r="Z1017" s="1" t="s">
        <v>125</v>
      </c>
      <c r="AA1017" s="1" t="s">
        <v>18235</v>
      </c>
      <c r="AB1017" s="1" t="s">
        <v>1491</v>
      </c>
      <c r="AC1017" s="1" t="s">
        <v>125</v>
      </c>
      <c r="AD1017" s="1">
        <v>8.88</v>
      </c>
      <c r="AE1017" s="1" t="s">
        <v>93</v>
      </c>
      <c r="AF1017" s="1" t="s">
        <v>18236</v>
      </c>
      <c r="AG1017" s="1" t="s">
        <v>2533</v>
      </c>
      <c r="AH1017" s="1" t="s">
        <v>658</v>
      </c>
      <c r="AI1017" s="1" t="s">
        <v>129</v>
      </c>
      <c r="AJ1017" s="1">
        <v>83.6</v>
      </c>
      <c r="AK1017" s="1">
        <v>8.8</v>
      </c>
      <c r="AL1017" s="1" t="s">
        <v>18236</v>
      </c>
      <c r="AM1017" s="1" t="s">
        <v>307</v>
      </c>
      <c r="AN1017" s="1" t="s">
        <v>1197</v>
      </c>
      <c r="AO1017" s="1" t="s">
        <v>131</v>
      </c>
      <c r="AP1017" s="1">
        <v>81.6</v>
      </c>
      <c r="AQ1017" s="1"/>
      <c r="AR1017" s="1"/>
      <c r="AS1017" s="1"/>
      <c r="AT1017" s="1"/>
      <c r="AU1017" s="1"/>
      <c r="AV1017" s="1"/>
      <c r="AW1017" s="1"/>
      <c r="AX1017" s="1" t="s">
        <v>1494</v>
      </c>
      <c r="AY1017" s="1" t="s">
        <v>18237</v>
      </c>
      <c r="AZ1017" s="1" t="s">
        <v>131</v>
      </c>
      <c r="BA1017" s="1" t="s">
        <v>310</v>
      </c>
      <c r="BB1017" s="1">
        <v>66.45</v>
      </c>
      <c r="BC1017" s="1">
        <v>7.02</v>
      </c>
      <c r="BD1017" s="1"/>
      <c r="BE1017" s="1"/>
      <c r="BF1017" s="1"/>
      <c r="BG1017" s="1"/>
      <c r="BH1017" s="1"/>
      <c r="BI1017" s="1"/>
      <c r="BJ1017" s="1" t="s">
        <v>4606</v>
      </c>
      <c r="BK1017" s="1" t="s">
        <v>18238</v>
      </c>
      <c r="BL1017" s="1" t="s">
        <v>1629</v>
      </c>
      <c r="BM1017" s="1" t="s">
        <v>18239</v>
      </c>
      <c r="BN1017" s="1">
        <v>1</v>
      </c>
      <c r="BO1017" s="1" t="s">
        <v>18240</v>
      </c>
      <c r="BP1017" s="1" t="str">
        <f>HYPERLINK("https://nconnect.nicmar.ac.in/storage/profile/ProfilePhoto_P25707004_475816.jpg","Download")</f>
        <v>0</v>
      </c>
      <c r="BQ1017" s="3"/>
      <c r="BR1017" s="3"/>
    </row>
    <row r="1018" spans="1:70">
      <c r="A1018" s="1" t="s">
        <v>18164</v>
      </c>
      <c r="B1018" s="1" t="s">
        <v>1269</v>
      </c>
      <c r="C1018" s="1" t="s">
        <v>18241</v>
      </c>
      <c r="D1018" s="1" t="s">
        <v>18242</v>
      </c>
      <c r="E1018" s="1"/>
      <c r="F1018" s="1" t="s">
        <v>18243</v>
      </c>
      <c r="G1018" s="1" t="s">
        <v>18244</v>
      </c>
      <c r="H1018" s="1" t="s">
        <v>18245</v>
      </c>
      <c r="I1018" s="1" t="s">
        <v>18246</v>
      </c>
      <c r="J1018" s="1">
        <v>9663116476</v>
      </c>
      <c r="K1018" s="1" t="s">
        <v>79</v>
      </c>
      <c r="L1018" s="1" t="s">
        <v>5912</v>
      </c>
      <c r="M1018" s="1" t="s">
        <v>81</v>
      </c>
      <c r="N1018" s="1" t="s">
        <v>18247</v>
      </c>
      <c r="O1018" s="1"/>
      <c r="P1018" s="1" t="s">
        <v>1766</v>
      </c>
      <c r="Q1018" s="1" t="s">
        <v>18248</v>
      </c>
      <c r="R1018" s="1" t="s">
        <v>18249</v>
      </c>
      <c r="S1018" s="1">
        <v>9164580389</v>
      </c>
      <c r="T1018" s="1" t="s">
        <v>377</v>
      </c>
      <c r="U1018" s="1" t="s">
        <v>18250</v>
      </c>
      <c r="V1018" s="1">
        <v>7922897285</v>
      </c>
      <c r="W1018" s="1" t="s">
        <v>651</v>
      </c>
      <c r="X1018" s="1" t="s">
        <v>18251</v>
      </c>
      <c r="Y1018" s="1" t="s">
        <v>9742</v>
      </c>
      <c r="Z1018" s="1" t="s">
        <v>1084</v>
      </c>
      <c r="AA1018" s="1" t="s">
        <v>18251</v>
      </c>
      <c r="AB1018" s="1" t="s">
        <v>9742</v>
      </c>
      <c r="AC1018" s="1" t="s">
        <v>1084</v>
      </c>
      <c r="AD1018" s="1">
        <v>7.51</v>
      </c>
      <c r="AE1018" s="1" t="s">
        <v>93</v>
      </c>
      <c r="AF1018" s="1" t="s">
        <v>18252</v>
      </c>
      <c r="AG1018" s="1" t="s">
        <v>18253</v>
      </c>
      <c r="AH1018" s="1" t="s">
        <v>657</v>
      </c>
      <c r="AI1018" s="1" t="s">
        <v>678</v>
      </c>
      <c r="AJ1018" s="1">
        <v>77.9</v>
      </c>
      <c r="AK1018" s="1">
        <v>8.2</v>
      </c>
      <c r="AL1018" s="1" t="s">
        <v>18254</v>
      </c>
      <c r="AM1018" s="1" t="s">
        <v>18255</v>
      </c>
      <c r="AN1018" s="1" t="s">
        <v>162</v>
      </c>
      <c r="AO1018" s="1" t="s">
        <v>409</v>
      </c>
      <c r="AP1018" s="1">
        <v>57</v>
      </c>
      <c r="AQ1018" s="1"/>
      <c r="AR1018" s="1"/>
      <c r="AS1018" s="1"/>
      <c r="AT1018" s="1"/>
      <c r="AU1018" s="1"/>
      <c r="AV1018" s="1"/>
      <c r="AW1018" s="1"/>
      <c r="AX1018" s="1" t="s">
        <v>18256</v>
      </c>
      <c r="AY1018" s="1" t="s">
        <v>18255</v>
      </c>
      <c r="AZ1018" s="1" t="s">
        <v>310</v>
      </c>
      <c r="BA1018" s="1" t="s">
        <v>1978</v>
      </c>
      <c r="BB1018" s="1">
        <v>0</v>
      </c>
      <c r="BC1018" s="1"/>
      <c r="BD1018" s="1"/>
      <c r="BE1018" s="1"/>
      <c r="BF1018" s="1"/>
      <c r="BG1018" s="1"/>
      <c r="BH1018" s="1"/>
      <c r="BI1018" s="1"/>
      <c r="BJ1018" s="1" t="s">
        <v>734</v>
      </c>
      <c r="BK1018" s="1"/>
      <c r="BL1018" s="1"/>
      <c r="BM1018" s="1" t="s">
        <v>18257</v>
      </c>
      <c r="BN1018" s="1">
        <v>20</v>
      </c>
      <c r="BO1018" s="1"/>
      <c r="BP1018" s="1" t="str">
        <f>HYPERLINK("https://nconnect.nicmar.ac.in/storage/profile/ProfilePhoto_P25707005_192873.jpg","Download")</f>
        <v>0</v>
      </c>
      <c r="BQ1018" s="3"/>
      <c r="BR1018" s="3"/>
    </row>
    <row r="1019" spans="1:70">
      <c r="A1019" s="1" t="s">
        <v>18164</v>
      </c>
      <c r="B1019" s="1" t="s">
        <v>1269</v>
      </c>
      <c r="C1019" s="1" t="s">
        <v>18258</v>
      </c>
      <c r="D1019" s="1" t="s">
        <v>18259</v>
      </c>
      <c r="E1019" s="1"/>
      <c r="F1019" s="1" t="s">
        <v>18260</v>
      </c>
      <c r="G1019" s="1" t="s">
        <v>18261</v>
      </c>
      <c r="H1019" s="1" t="s">
        <v>18262</v>
      </c>
      <c r="I1019" s="1" t="s">
        <v>18263</v>
      </c>
      <c r="J1019" s="1">
        <v>9502853807</v>
      </c>
      <c r="K1019" s="1" t="s">
        <v>79</v>
      </c>
      <c r="L1019" s="1" t="s">
        <v>18264</v>
      </c>
      <c r="M1019" s="1" t="s">
        <v>81</v>
      </c>
      <c r="N1019" s="1" t="s">
        <v>18265</v>
      </c>
      <c r="O1019" s="1"/>
      <c r="P1019" s="1" t="s">
        <v>1323</v>
      </c>
      <c r="Q1019" s="1" t="s">
        <v>18266</v>
      </c>
      <c r="R1019" s="1" t="s">
        <v>18267</v>
      </c>
      <c r="S1019" s="1">
        <v>9618386467</v>
      </c>
      <c r="T1019" s="1" t="s">
        <v>154</v>
      </c>
      <c r="U1019" s="1" t="s">
        <v>18268</v>
      </c>
      <c r="V1019" s="1">
        <v>8897348079</v>
      </c>
      <c r="W1019" s="1" t="s">
        <v>18269</v>
      </c>
      <c r="X1019" s="1" t="s">
        <v>18270</v>
      </c>
      <c r="Y1019" s="1" t="s">
        <v>4387</v>
      </c>
      <c r="Z1019" s="1" t="s">
        <v>276</v>
      </c>
      <c r="AA1019" s="1" t="s">
        <v>18270</v>
      </c>
      <c r="AB1019" s="1" t="s">
        <v>4387</v>
      </c>
      <c r="AC1019" s="1" t="s">
        <v>276</v>
      </c>
      <c r="AD1019" s="1">
        <v>9.27</v>
      </c>
      <c r="AE1019" s="1" t="s">
        <v>93</v>
      </c>
      <c r="AF1019" s="1" t="s">
        <v>18271</v>
      </c>
      <c r="AG1019" s="1" t="s">
        <v>3125</v>
      </c>
      <c r="AH1019" s="1" t="s">
        <v>165</v>
      </c>
      <c r="AI1019" s="1" t="s">
        <v>281</v>
      </c>
      <c r="AJ1019" s="1">
        <v>87</v>
      </c>
      <c r="AK1019" s="1">
        <v>8.7</v>
      </c>
      <c r="AL1019" s="1" t="s">
        <v>1153</v>
      </c>
      <c r="AM1019" s="1" t="s">
        <v>1154</v>
      </c>
      <c r="AN1019" s="1" t="s">
        <v>101</v>
      </c>
      <c r="AO1019" s="1" t="s">
        <v>941</v>
      </c>
      <c r="AP1019" s="1">
        <v>74.7</v>
      </c>
      <c r="AQ1019" s="1">
        <v>7.84</v>
      </c>
      <c r="AR1019" s="1"/>
      <c r="AS1019" s="1"/>
      <c r="AT1019" s="1"/>
      <c r="AU1019" s="1"/>
      <c r="AV1019" s="1"/>
      <c r="AW1019" s="1"/>
      <c r="AX1019" s="1" t="s">
        <v>18272</v>
      </c>
      <c r="AY1019" s="1" t="s">
        <v>18273</v>
      </c>
      <c r="AZ1019" s="1" t="s">
        <v>699</v>
      </c>
      <c r="BA1019" s="1" t="s">
        <v>413</v>
      </c>
      <c r="BB1019" s="1">
        <v>85.1</v>
      </c>
      <c r="BC1019" s="1">
        <v>8.51</v>
      </c>
      <c r="BD1019" s="1"/>
      <c r="BE1019" s="1"/>
      <c r="BF1019" s="1"/>
      <c r="BG1019" s="1"/>
      <c r="BH1019" s="1"/>
      <c r="BI1019" s="1"/>
      <c r="BJ1019" s="1" t="s">
        <v>18274</v>
      </c>
      <c r="BK1019" s="1"/>
      <c r="BL1019" s="1"/>
      <c r="BM1019" s="1" t="s">
        <v>18275</v>
      </c>
      <c r="BN1019" s="1">
        <v>26</v>
      </c>
      <c r="BO1019" s="1" t="s">
        <v>18276</v>
      </c>
      <c r="BP1019" s="1" t="str">
        <f>HYPERLINK("https://nconnect.nicmar.ac.in/storage/profile/ProfilePhoto_P25707007_687459.jpg","Download")</f>
        <v>0</v>
      </c>
      <c r="BQ1019" s="3"/>
      <c r="BR1019" s="3"/>
    </row>
    <row r="1020" spans="1:70">
      <c r="A1020" s="1" t="s">
        <v>18164</v>
      </c>
      <c r="B1020" s="1" t="s">
        <v>1269</v>
      </c>
      <c r="C1020" s="1" t="s">
        <v>18277</v>
      </c>
      <c r="D1020" s="1" t="s">
        <v>1479</v>
      </c>
      <c r="E1020" s="1"/>
      <c r="F1020" s="1" t="s">
        <v>18278</v>
      </c>
      <c r="G1020" s="1" t="s">
        <v>18279</v>
      </c>
      <c r="H1020" s="1" t="s">
        <v>18280</v>
      </c>
      <c r="I1020" s="1" t="s">
        <v>18281</v>
      </c>
      <c r="J1020" s="1">
        <v>7907781254</v>
      </c>
      <c r="K1020" s="1" t="s">
        <v>148</v>
      </c>
      <c r="L1020" s="1" t="s">
        <v>18282</v>
      </c>
      <c r="M1020" s="1" t="s">
        <v>81</v>
      </c>
      <c r="N1020" s="1" t="s">
        <v>2134</v>
      </c>
      <c r="O1020" s="1"/>
      <c r="P1020" s="1" t="s">
        <v>1323</v>
      </c>
      <c r="Q1020" s="1" t="s">
        <v>18283</v>
      </c>
      <c r="R1020" s="1" t="s">
        <v>18284</v>
      </c>
      <c r="S1020" s="1">
        <v>9048715537</v>
      </c>
      <c r="T1020" s="1" t="s">
        <v>496</v>
      </c>
      <c r="U1020" s="1" t="s">
        <v>18285</v>
      </c>
      <c r="V1020" s="1">
        <v>9946909937</v>
      </c>
      <c r="W1020" s="1" t="s">
        <v>2624</v>
      </c>
      <c r="X1020" s="1" t="s">
        <v>18286</v>
      </c>
      <c r="Y1020" s="1" t="s">
        <v>124</v>
      </c>
      <c r="Z1020" s="1" t="s">
        <v>125</v>
      </c>
      <c r="AA1020" s="1" t="s">
        <v>18286</v>
      </c>
      <c r="AB1020" s="1" t="s">
        <v>124</v>
      </c>
      <c r="AC1020" s="1" t="s">
        <v>125</v>
      </c>
      <c r="AD1020" s="1">
        <v>9.55</v>
      </c>
      <c r="AE1020" s="1" t="s">
        <v>93</v>
      </c>
      <c r="AF1020" s="1" t="s">
        <v>18287</v>
      </c>
      <c r="AG1020" s="1" t="s">
        <v>6705</v>
      </c>
      <c r="AH1020" s="1" t="s">
        <v>998</v>
      </c>
      <c r="AI1020" s="1" t="s">
        <v>999</v>
      </c>
      <c r="AJ1020" s="1">
        <v>95</v>
      </c>
      <c r="AK1020" s="1"/>
      <c r="AL1020" s="1" t="s">
        <v>18288</v>
      </c>
      <c r="AM1020" s="1" t="s">
        <v>18289</v>
      </c>
      <c r="AN1020" s="1" t="s">
        <v>161</v>
      </c>
      <c r="AO1020" s="1" t="s">
        <v>456</v>
      </c>
      <c r="AP1020" s="1">
        <v>96</v>
      </c>
      <c r="AQ1020" s="1"/>
      <c r="AR1020" s="1"/>
      <c r="AS1020" s="1"/>
      <c r="AT1020" s="1"/>
      <c r="AU1020" s="1"/>
      <c r="AV1020" s="1"/>
      <c r="AW1020" s="1"/>
      <c r="AX1020" s="1" t="s">
        <v>18290</v>
      </c>
      <c r="AY1020" s="1" t="s">
        <v>18291</v>
      </c>
      <c r="AZ1020" s="1" t="s">
        <v>134</v>
      </c>
      <c r="BA1020" s="1" t="s">
        <v>2463</v>
      </c>
      <c r="BB1020" s="1">
        <v>73.95</v>
      </c>
      <c r="BC1020" s="1">
        <v>7.77</v>
      </c>
      <c r="BD1020" s="1"/>
      <c r="BE1020" s="1"/>
      <c r="BF1020" s="1"/>
      <c r="BG1020" s="1"/>
      <c r="BH1020" s="1"/>
      <c r="BI1020" s="1"/>
      <c r="BJ1020" s="1" t="s">
        <v>18292</v>
      </c>
      <c r="BK1020" s="1" t="s">
        <v>18293</v>
      </c>
      <c r="BL1020" s="1" t="s">
        <v>8700</v>
      </c>
      <c r="BM1020" s="1" t="s">
        <v>18294</v>
      </c>
      <c r="BN1020" s="1">
        <v>10</v>
      </c>
      <c r="BO1020" s="1" t="s">
        <v>18295</v>
      </c>
      <c r="BP1020" s="1" t="str">
        <f>HYPERLINK("https://nconnect.nicmar.ac.in/storage/profile/ProfilePhoto_P25707008_267589.jpg","Download")</f>
        <v>0</v>
      </c>
      <c r="BQ1020" s="3"/>
      <c r="BR1020" s="3"/>
    </row>
    <row r="1021" spans="1:70">
      <c r="A1021" s="1" t="s">
        <v>18164</v>
      </c>
      <c r="B1021" s="1" t="s">
        <v>1269</v>
      </c>
      <c r="C1021" s="1" t="s">
        <v>18296</v>
      </c>
      <c r="D1021" s="1" t="s">
        <v>18297</v>
      </c>
      <c r="E1021" s="1"/>
      <c r="F1021" s="1" t="s">
        <v>18298</v>
      </c>
      <c r="G1021" s="1" t="s">
        <v>18299</v>
      </c>
      <c r="H1021" s="1" t="s">
        <v>18300</v>
      </c>
      <c r="I1021" s="1" t="s">
        <v>18301</v>
      </c>
      <c r="J1021" s="1">
        <v>8056007744</v>
      </c>
      <c r="K1021" s="1" t="s">
        <v>148</v>
      </c>
      <c r="L1021" s="1" t="s">
        <v>18302</v>
      </c>
      <c r="M1021" s="1" t="s">
        <v>81</v>
      </c>
      <c r="N1021" s="1" t="s">
        <v>18303</v>
      </c>
      <c r="O1021" s="1"/>
      <c r="P1021" s="1" t="s">
        <v>1298</v>
      </c>
      <c r="Q1021" s="1" t="s">
        <v>18304</v>
      </c>
      <c r="R1021" s="1" t="s">
        <v>18305</v>
      </c>
      <c r="S1021" s="1">
        <v>9611211744</v>
      </c>
      <c r="T1021" s="1" t="s">
        <v>18306</v>
      </c>
      <c r="U1021" s="1" t="s">
        <v>18307</v>
      </c>
      <c r="V1021" s="1">
        <v>8056011186</v>
      </c>
      <c r="W1021" s="1" t="s">
        <v>89</v>
      </c>
      <c r="X1021" s="1" t="s">
        <v>18308</v>
      </c>
      <c r="Y1021" s="1" t="s">
        <v>2320</v>
      </c>
      <c r="Z1021" s="1" t="s">
        <v>1377</v>
      </c>
      <c r="AA1021" s="1" t="s">
        <v>18308</v>
      </c>
      <c r="AB1021" s="1" t="s">
        <v>2320</v>
      </c>
      <c r="AC1021" s="1" t="s">
        <v>1377</v>
      </c>
      <c r="AD1021" s="1">
        <v>9.98</v>
      </c>
      <c r="AE1021" s="1" t="s">
        <v>93</v>
      </c>
      <c r="AF1021" s="1" t="s">
        <v>18309</v>
      </c>
      <c r="AG1021" s="1" t="s">
        <v>18310</v>
      </c>
      <c r="AH1021" s="1" t="s">
        <v>279</v>
      </c>
      <c r="AI1021" s="1" t="s">
        <v>101</v>
      </c>
      <c r="AJ1021" s="1">
        <v>90.6</v>
      </c>
      <c r="AK1021" s="1"/>
      <c r="AL1021" s="1" t="s">
        <v>18309</v>
      </c>
      <c r="AM1021" s="1" t="s">
        <v>18310</v>
      </c>
      <c r="AN1021" s="1" t="s">
        <v>101</v>
      </c>
      <c r="AO1021" s="1" t="s">
        <v>681</v>
      </c>
      <c r="AP1021" s="1">
        <v>93.2</v>
      </c>
      <c r="AQ1021" s="1"/>
      <c r="AR1021" s="1"/>
      <c r="AS1021" s="1"/>
      <c r="AT1021" s="1"/>
      <c r="AU1021" s="1"/>
      <c r="AV1021" s="1"/>
      <c r="AW1021" s="1"/>
      <c r="AX1021" s="1" t="s">
        <v>18311</v>
      </c>
      <c r="AY1021" s="1" t="s">
        <v>18312</v>
      </c>
      <c r="AZ1021" s="1" t="s">
        <v>920</v>
      </c>
      <c r="BA1021" s="1" t="s">
        <v>590</v>
      </c>
      <c r="BB1021" s="1">
        <v>82.25</v>
      </c>
      <c r="BC1021" s="1">
        <v>8.22</v>
      </c>
      <c r="BD1021" s="1"/>
      <c r="BE1021" s="1"/>
      <c r="BF1021" s="1"/>
      <c r="BG1021" s="1"/>
      <c r="BH1021" s="1"/>
      <c r="BI1021" s="1"/>
      <c r="BJ1021" s="1" t="s">
        <v>18313</v>
      </c>
      <c r="BK1021" s="1" t="s">
        <v>18314</v>
      </c>
      <c r="BL1021" s="1" t="s">
        <v>1220</v>
      </c>
      <c r="BM1021" s="1" t="s">
        <v>18315</v>
      </c>
      <c r="BN1021" s="1">
        <v>8</v>
      </c>
      <c r="BO1021" s="1" t="s">
        <v>18316</v>
      </c>
      <c r="BP1021" s="1" t="str">
        <f>HYPERLINK("https://nconnect.nicmar.ac.in/storage/profile/ProfilePhoto_P25707011_829531.jpg","Download")</f>
        <v>0</v>
      </c>
      <c r="BQ1021" s="3"/>
      <c r="BR1021" s="3"/>
    </row>
    <row r="1022" spans="1:70">
      <c r="A1022" s="1" t="s">
        <v>18164</v>
      </c>
      <c r="B1022" s="1" t="s">
        <v>1269</v>
      </c>
      <c r="C1022" s="1" t="s">
        <v>18317</v>
      </c>
      <c r="D1022" s="1" t="s">
        <v>18318</v>
      </c>
      <c r="E1022" s="1" t="s">
        <v>3868</v>
      </c>
      <c r="F1022" s="1" t="s">
        <v>18319</v>
      </c>
      <c r="G1022" s="1" t="s">
        <v>18320</v>
      </c>
      <c r="H1022" s="1" t="s">
        <v>18321</v>
      </c>
      <c r="I1022" s="1" t="s">
        <v>18322</v>
      </c>
      <c r="J1022" s="1">
        <v>8830287545</v>
      </c>
      <c r="K1022" s="1" t="s">
        <v>148</v>
      </c>
      <c r="L1022" s="1" t="s">
        <v>18323</v>
      </c>
      <c r="M1022" s="1" t="s">
        <v>81</v>
      </c>
      <c r="N1022" s="1" t="s">
        <v>1618</v>
      </c>
      <c r="O1022" s="1"/>
      <c r="P1022" s="1" t="s">
        <v>1278</v>
      </c>
      <c r="Q1022" s="1" t="s">
        <v>18324</v>
      </c>
      <c r="R1022" s="1" t="s">
        <v>18325</v>
      </c>
      <c r="S1022" s="1">
        <v>9561742713</v>
      </c>
      <c r="T1022" s="1" t="s">
        <v>4581</v>
      </c>
      <c r="U1022" s="1" t="s">
        <v>18326</v>
      </c>
      <c r="V1022" s="1">
        <v>7744983743</v>
      </c>
      <c r="W1022" s="1" t="s">
        <v>156</v>
      </c>
      <c r="X1022" s="1" t="s">
        <v>18327</v>
      </c>
      <c r="Y1022" s="1" t="s">
        <v>191</v>
      </c>
      <c r="Z1022" s="1" t="s">
        <v>92</v>
      </c>
      <c r="AA1022" s="1" t="s">
        <v>18327</v>
      </c>
      <c r="AB1022" s="1" t="s">
        <v>191</v>
      </c>
      <c r="AC1022" s="1" t="s">
        <v>92</v>
      </c>
      <c r="AD1022" s="1">
        <v>8.48</v>
      </c>
      <c r="AE1022" s="1" t="s">
        <v>93</v>
      </c>
      <c r="AF1022" s="1" t="s">
        <v>14473</v>
      </c>
      <c r="AG1022" s="1" t="s">
        <v>3558</v>
      </c>
      <c r="AH1022" s="1" t="s">
        <v>101</v>
      </c>
      <c r="AI1022" s="1" t="s">
        <v>409</v>
      </c>
      <c r="AJ1022" s="1">
        <v>67.2</v>
      </c>
      <c r="AK1022" s="1"/>
      <c r="AL1022" s="1"/>
      <c r="AM1022" s="1"/>
      <c r="AN1022" s="1"/>
      <c r="AO1022" s="1"/>
      <c r="AP1022" s="1"/>
      <c r="AQ1022" s="1"/>
      <c r="AR1022" s="1" t="s">
        <v>7965</v>
      </c>
      <c r="AS1022" s="1" t="s">
        <v>18328</v>
      </c>
      <c r="AT1022" s="1" t="s">
        <v>201</v>
      </c>
      <c r="AU1022" s="1" t="s">
        <v>481</v>
      </c>
      <c r="AV1022" s="1">
        <v>81.95</v>
      </c>
      <c r="AW1022" s="1"/>
      <c r="AX1022" s="1" t="s">
        <v>361</v>
      </c>
      <c r="AY1022" s="1" t="s">
        <v>18329</v>
      </c>
      <c r="AZ1022" s="1" t="s">
        <v>2693</v>
      </c>
      <c r="BA1022" s="1" t="s">
        <v>1714</v>
      </c>
      <c r="BB1022" s="1">
        <v>58.91</v>
      </c>
      <c r="BC1022" s="1">
        <v>6.62</v>
      </c>
      <c r="BD1022" s="1"/>
      <c r="BE1022" s="1"/>
      <c r="BF1022" s="1"/>
      <c r="BG1022" s="1"/>
      <c r="BH1022" s="1"/>
      <c r="BI1022" s="1"/>
      <c r="BJ1022" s="1" t="s">
        <v>364</v>
      </c>
      <c r="BK1022" s="1"/>
      <c r="BL1022" s="1"/>
      <c r="BM1022" s="1" t="s">
        <v>18330</v>
      </c>
      <c r="BN1022" s="1">
        <v>30</v>
      </c>
      <c r="BO1022" s="1" t="s">
        <v>18331</v>
      </c>
      <c r="BP1022" s="1" t="str">
        <f>HYPERLINK("https://nconnect.nicmar.ac.in/storage/profile/ProfilePhoto_P25707012_126357.jpg","Download")</f>
        <v>0</v>
      </c>
      <c r="BQ1022" s="3"/>
      <c r="BR1022" s="3"/>
    </row>
    <row r="1023" spans="1:70">
      <c r="A1023" s="1" t="s">
        <v>18164</v>
      </c>
      <c r="B1023" s="1" t="s">
        <v>1269</v>
      </c>
      <c r="C1023" s="1" t="s">
        <v>18332</v>
      </c>
      <c r="D1023" s="1" t="s">
        <v>15568</v>
      </c>
      <c r="E1023" s="1"/>
      <c r="F1023" s="1" t="s">
        <v>18333</v>
      </c>
      <c r="G1023" s="1" t="s">
        <v>18334</v>
      </c>
      <c r="H1023" s="1" t="s">
        <v>18335</v>
      </c>
      <c r="I1023" s="1" t="s">
        <v>18336</v>
      </c>
      <c r="J1023" s="1">
        <v>7982326477</v>
      </c>
      <c r="K1023" s="1" t="s">
        <v>148</v>
      </c>
      <c r="L1023" s="1" t="s">
        <v>18337</v>
      </c>
      <c r="M1023" s="1" t="s">
        <v>81</v>
      </c>
      <c r="N1023" s="1" t="s">
        <v>5056</v>
      </c>
      <c r="O1023" s="1"/>
      <c r="P1023" s="1" t="s">
        <v>1323</v>
      </c>
      <c r="Q1023" s="1" t="s">
        <v>18338</v>
      </c>
      <c r="R1023" s="1" t="s">
        <v>18339</v>
      </c>
      <c r="S1023" s="1">
        <v>9910628505</v>
      </c>
      <c r="T1023" s="1" t="s">
        <v>18340</v>
      </c>
      <c r="U1023" s="1" t="s">
        <v>18341</v>
      </c>
      <c r="V1023" s="1">
        <v>9971408505</v>
      </c>
      <c r="W1023" s="1" t="s">
        <v>156</v>
      </c>
      <c r="X1023" s="1" t="s">
        <v>18342</v>
      </c>
      <c r="Y1023" s="1" t="s">
        <v>7563</v>
      </c>
      <c r="Z1023" s="1" t="s">
        <v>722</v>
      </c>
      <c r="AA1023" s="1" t="s">
        <v>18343</v>
      </c>
      <c r="AB1023" s="1" t="s">
        <v>7207</v>
      </c>
      <c r="AC1023" s="1" t="s">
        <v>722</v>
      </c>
      <c r="AD1023" s="1">
        <v>8.92</v>
      </c>
      <c r="AE1023" s="1" t="s">
        <v>93</v>
      </c>
      <c r="AF1023" s="1" t="s">
        <v>18344</v>
      </c>
      <c r="AG1023" s="1" t="s">
        <v>307</v>
      </c>
      <c r="AH1023" s="1" t="s">
        <v>503</v>
      </c>
      <c r="AI1023" s="1" t="s">
        <v>527</v>
      </c>
      <c r="AJ1023" s="1">
        <v>66.5</v>
      </c>
      <c r="AK1023" s="1">
        <v>7</v>
      </c>
      <c r="AL1023" s="1" t="s">
        <v>18345</v>
      </c>
      <c r="AM1023" s="1" t="s">
        <v>307</v>
      </c>
      <c r="AN1023" s="1" t="s">
        <v>678</v>
      </c>
      <c r="AO1023" s="1" t="s">
        <v>166</v>
      </c>
      <c r="AP1023" s="1">
        <v>67.2</v>
      </c>
      <c r="AQ1023" s="1">
        <v>7.07</v>
      </c>
      <c r="AR1023" s="1"/>
      <c r="AS1023" s="1"/>
      <c r="AT1023" s="1"/>
      <c r="AU1023" s="1"/>
      <c r="AV1023" s="1"/>
      <c r="AW1023" s="1"/>
      <c r="AX1023" s="1" t="s">
        <v>3356</v>
      </c>
      <c r="AY1023" s="1" t="s">
        <v>18346</v>
      </c>
      <c r="AZ1023" s="1" t="s">
        <v>169</v>
      </c>
      <c r="BA1023" s="1" t="s">
        <v>2693</v>
      </c>
      <c r="BB1023" s="1">
        <v>82.2</v>
      </c>
      <c r="BC1023" s="1">
        <v>8.22</v>
      </c>
      <c r="BD1023" s="1"/>
      <c r="BE1023" s="1"/>
      <c r="BF1023" s="1"/>
      <c r="BG1023" s="1"/>
      <c r="BH1023" s="1"/>
      <c r="BI1023" s="1"/>
      <c r="BJ1023" s="1" t="s">
        <v>18347</v>
      </c>
      <c r="BK1023" s="1"/>
      <c r="BL1023" s="1"/>
      <c r="BM1023" s="1" t="s">
        <v>18348</v>
      </c>
      <c r="BN1023" s="1">
        <v>57</v>
      </c>
      <c r="BO1023" s="1"/>
      <c r="BP1023" s="1" t="str">
        <f>HYPERLINK("https://nconnect.nicmar.ac.in/storage/profile/ProfilePhoto_P25707013_359281.jpg","Download")</f>
        <v>0</v>
      </c>
      <c r="BQ1023" s="3"/>
      <c r="BR1023" s="3"/>
    </row>
    <row r="1024" spans="1:70">
      <c r="A1024" s="1" t="s">
        <v>18164</v>
      </c>
      <c r="B1024" s="1" t="s">
        <v>1269</v>
      </c>
      <c r="C1024" s="1" t="s">
        <v>18349</v>
      </c>
      <c r="D1024" s="1" t="s">
        <v>18350</v>
      </c>
      <c r="E1024" s="1" t="s">
        <v>18351</v>
      </c>
      <c r="F1024" s="1" t="s">
        <v>7882</v>
      </c>
      <c r="G1024" s="1" t="s">
        <v>18352</v>
      </c>
      <c r="H1024" s="1" t="s">
        <v>18353</v>
      </c>
      <c r="I1024" s="1" t="s">
        <v>18354</v>
      </c>
      <c r="J1024" s="1">
        <v>9823220351</v>
      </c>
      <c r="K1024" s="1" t="s">
        <v>79</v>
      </c>
      <c r="L1024" s="1" t="s">
        <v>18355</v>
      </c>
      <c r="M1024" s="1" t="s">
        <v>81</v>
      </c>
      <c r="N1024" s="1" t="s">
        <v>18356</v>
      </c>
      <c r="O1024" s="1"/>
      <c r="P1024" s="1" t="s">
        <v>1298</v>
      </c>
      <c r="Q1024" s="1" t="s">
        <v>18357</v>
      </c>
      <c r="R1024" s="1" t="s">
        <v>18358</v>
      </c>
      <c r="S1024" s="1">
        <v>9420977474</v>
      </c>
      <c r="T1024" s="1" t="s">
        <v>154</v>
      </c>
      <c r="U1024" s="1" t="s">
        <v>18359</v>
      </c>
      <c r="V1024" s="1">
        <v>9822101690</v>
      </c>
      <c r="W1024" s="1" t="s">
        <v>156</v>
      </c>
      <c r="X1024" s="1" t="s">
        <v>18360</v>
      </c>
      <c r="Y1024" s="1" t="s">
        <v>499</v>
      </c>
      <c r="Z1024" s="1" t="s">
        <v>500</v>
      </c>
      <c r="AA1024" s="1" t="s">
        <v>18360</v>
      </c>
      <c r="AB1024" s="1" t="s">
        <v>499</v>
      </c>
      <c r="AC1024" s="1" t="s">
        <v>500</v>
      </c>
      <c r="AD1024" s="1">
        <v>9.79</v>
      </c>
      <c r="AE1024" s="1" t="s">
        <v>93</v>
      </c>
      <c r="AF1024" s="1" t="s">
        <v>18361</v>
      </c>
      <c r="AG1024" s="1" t="s">
        <v>14567</v>
      </c>
      <c r="AH1024" s="1" t="s">
        <v>101</v>
      </c>
      <c r="AI1024" s="1" t="s">
        <v>308</v>
      </c>
      <c r="AJ1024" s="1">
        <v>93.5</v>
      </c>
      <c r="AK1024" s="1"/>
      <c r="AL1024" s="1" t="s">
        <v>18362</v>
      </c>
      <c r="AM1024" s="1" t="s">
        <v>14567</v>
      </c>
      <c r="AN1024" s="1" t="s">
        <v>699</v>
      </c>
      <c r="AO1024" s="1" t="s">
        <v>1712</v>
      </c>
      <c r="AP1024" s="1">
        <v>83.67</v>
      </c>
      <c r="AQ1024" s="1"/>
      <c r="AR1024" s="1"/>
      <c r="AS1024" s="1"/>
      <c r="AT1024" s="1"/>
      <c r="AU1024" s="1"/>
      <c r="AV1024" s="1"/>
      <c r="AW1024" s="1"/>
      <c r="AX1024" s="1" t="s">
        <v>18363</v>
      </c>
      <c r="AY1024" s="1" t="s">
        <v>18363</v>
      </c>
      <c r="AZ1024" s="1" t="s">
        <v>1407</v>
      </c>
      <c r="BA1024" s="1" t="s">
        <v>1361</v>
      </c>
      <c r="BB1024" s="1">
        <v>78.4</v>
      </c>
      <c r="BC1024" s="1">
        <v>8.34</v>
      </c>
      <c r="BD1024" s="1"/>
      <c r="BE1024" s="1"/>
      <c r="BF1024" s="1"/>
      <c r="BG1024" s="1"/>
      <c r="BH1024" s="1"/>
      <c r="BI1024" s="1"/>
      <c r="BJ1024" s="1" t="s">
        <v>18364</v>
      </c>
      <c r="BK1024" s="1"/>
      <c r="BL1024" s="1"/>
      <c r="BM1024" s="1" t="s">
        <v>18365</v>
      </c>
      <c r="BN1024" s="1">
        <v>15</v>
      </c>
      <c r="BO1024" s="1" t="s">
        <v>18366</v>
      </c>
      <c r="BP1024" s="1" t="str">
        <f>HYPERLINK("https://nconnect.nicmar.ac.in/storage/profile/ProfilePhoto_P25707014_759148.jpg","Download")</f>
        <v>0</v>
      </c>
      <c r="BQ1024" s="3"/>
      <c r="BR1024" s="3"/>
    </row>
    <row r="1025" spans="1:70">
      <c r="A1025" s="1" t="s">
        <v>18164</v>
      </c>
      <c r="B1025" s="1" t="s">
        <v>1269</v>
      </c>
      <c r="C1025" s="1" t="s">
        <v>18367</v>
      </c>
      <c r="D1025" s="1" t="s">
        <v>854</v>
      </c>
      <c r="E1025" s="1"/>
      <c r="F1025" s="1" t="s">
        <v>17873</v>
      </c>
      <c r="G1025" s="1" t="s">
        <v>18368</v>
      </c>
      <c r="H1025" s="1" t="s">
        <v>18369</v>
      </c>
      <c r="I1025" s="1" t="s">
        <v>18370</v>
      </c>
      <c r="J1025" s="1">
        <v>9711938139</v>
      </c>
      <c r="K1025" s="1" t="s">
        <v>79</v>
      </c>
      <c r="L1025" s="1" t="s">
        <v>18371</v>
      </c>
      <c r="M1025" s="1" t="s">
        <v>81</v>
      </c>
      <c r="N1025" s="1" t="s">
        <v>2880</v>
      </c>
      <c r="O1025" s="1"/>
      <c r="P1025" s="1" t="s">
        <v>1278</v>
      </c>
      <c r="Q1025" s="1" t="s">
        <v>18372</v>
      </c>
      <c r="R1025" s="1" t="s">
        <v>18373</v>
      </c>
      <c r="S1025" s="1">
        <v>9412833527</v>
      </c>
      <c r="T1025" s="1" t="s">
        <v>18374</v>
      </c>
      <c r="U1025" s="1" t="s">
        <v>18375</v>
      </c>
      <c r="V1025" s="1">
        <v>8299285539</v>
      </c>
      <c r="W1025" s="1" t="s">
        <v>156</v>
      </c>
      <c r="X1025" s="1" t="s">
        <v>18376</v>
      </c>
      <c r="Y1025" s="1" t="s">
        <v>18377</v>
      </c>
      <c r="Z1025" s="1" t="s">
        <v>1355</v>
      </c>
      <c r="AA1025" s="1" t="s">
        <v>18376</v>
      </c>
      <c r="AB1025" s="1" t="s">
        <v>18377</v>
      </c>
      <c r="AC1025" s="1" t="s">
        <v>1355</v>
      </c>
      <c r="AD1025" s="1" t="s">
        <v>93</v>
      </c>
      <c r="AE1025" s="1" t="s">
        <v>93</v>
      </c>
      <c r="AF1025" s="1" t="s">
        <v>18378</v>
      </c>
      <c r="AG1025" s="1" t="s">
        <v>18379</v>
      </c>
      <c r="AH1025" s="1" t="s">
        <v>1670</v>
      </c>
      <c r="AI1025" s="1" t="s">
        <v>658</v>
      </c>
      <c r="AJ1025" s="1">
        <v>87.4</v>
      </c>
      <c r="AK1025" s="1">
        <v>9.2</v>
      </c>
      <c r="AL1025" s="1" t="s">
        <v>16924</v>
      </c>
      <c r="AM1025" s="1" t="s">
        <v>18380</v>
      </c>
      <c r="AN1025" s="1" t="s">
        <v>129</v>
      </c>
      <c r="AO1025" s="1" t="s">
        <v>1197</v>
      </c>
      <c r="AP1025" s="1">
        <v>91.6</v>
      </c>
      <c r="AQ1025" s="1"/>
      <c r="AR1025" s="1"/>
      <c r="AS1025" s="1"/>
      <c r="AT1025" s="1"/>
      <c r="AU1025" s="1"/>
      <c r="AV1025" s="1"/>
      <c r="AW1025" s="1"/>
      <c r="AX1025" s="1" t="s">
        <v>18381</v>
      </c>
      <c r="AY1025" s="1" t="s">
        <v>18382</v>
      </c>
      <c r="AZ1025" s="1" t="s">
        <v>131</v>
      </c>
      <c r="BA1025" s="1" t="s">
        <v>308</v>
      </c>
      <c r="BB1025" s="1">
        <v>61.4</v>
      </c>
      <c r="BC1025" s="1">
        <v>6.14</v>
      </c>
      <c r="BD1025" s="1"/>
      <c r="BE1025" s="1"/>
      <c r="BF1025" s="1"/>
      <c r="BG1025" s="1"/>
      <c r="BH1025" s="1"/>
      <c r="BI1025" s="1"/>
      <c r="BJ1025" s="1" t="s">
        <v>18383</v>
      </c>
      <c r="BK1025" s="1" t="s">
        <v>18384</v>
      </c>
      <c r="BL1025" s="1" t="s">
        <v>2654</v>
      </c>
      <c r="BM1025" s="1" t="s">
        <v>18385</v>
      </c>
      <c r="BN1025" s="1">
        <v>36</v>
      </c>
      <c r="BO1025" s="1"/>
      <c r="BP1025" s="1" t="str">
        <f>HYPERLINK("https://nconnect.nicmar.ac.in/storage/profile/ProfilePhoto_P25707015_275148.jpg","Download")</f>
        <v>0</v>
      </c>
      <c r="BQ1025" s="3"/>
      <c r="BR1025" s="3"/>
    </row>
    <row r="1026" spans="1:70">
      <c r="A1026" s="1" t="s">
        <v>18164</v>
      </c>
      <c r="B1026" s="1" t="s">
        <v>1269</v>
      </c>
      <c r="C1026" s="1" t="s">
        <v>18386</v>
      </c>
      <c r="D1026" s="1" t="s">
        <v>18387</v>
      </c>
      <c r="E1026" s="1"/>
      <c r="F1026" s="1" t="s">
        <v>18388</v>
      </c>
      <c r="G1026" s="1" t="s">
        <v>18389</v>
      </c>
      <c r="H1026" s="1" t="s">
        <v>18390</v>
      </c>
      <c r="I1026" s="1" t="s">
        <v>18391</v>
      </c>
      <c r="J1026" s="1">
        <v>6374435346</v>
      </c>
      <c r="K1026" s="1" t="s">
        <v>148</v>
      </c>
      <c r="L1026" s="1" t="s">
        <v>11013</v>
      </c>
      <c r="M1026" s="1" t="s">
        <v>81</v>
      </c>
      <c r="N1026" s="1" t="s">
        <v>18392</v>
      </c>
      <c r="O1026" s="1"/>
      <c r="P1026" s="1" t="s">
        <v>1278</v>
      </c>
      <c r="Q1026" s="1" t="s">
        <v>18393</v>
      </c>
      <c r="R1026" s="1" t="s">
        <v>18394</v>
      </c>
      <c r="S1026" s="1">
        <v>9283166157</v>
      </c>
      <c r="T1026" s="1" t="s">
        <v>18395</v>
      </c>
      <c r="U1026" s="1" t="s">
        <v>18396</v>
      </c>
      <c r="V1026" s="1">
        <v>9283798111</v>
      </c>
      <c r="W1026" s="1" t="s">
        <v>89</v>
      </c>
      <c r="X1026" s="1" t="s">
        <v>18397</v>
      </c>
      <c r="Y1026" s="1" t="s">
        <v>2320</v>
      </c>
      <c r="Z1026" s="1" t="s">
        <v>1377</v>
      </c>
      <c r="AA1026" s="1" t="s">
        <v>18397</v>
      </c>
      <c r="AB1026" s="1" t="s">
        <v>2320</v>
      </c>
      <c r="AC1026" s="1" t="s">
        <v>1377</v>
      </c>
      <c r="AD1026" s="1">
        <v>9.49</v>
      </c>
      <c r="AE1026" s="1" t="s">
        <v>93</v>
      </c>
      <c r="AF1026" s="1" t="s">
        <v>18398</v>
      </c>
      <c r="AG1026" s="1" t="s">
        <v>18399</v>
      </c>
      <c r="AH1026" s="1" t="s">
        <v>678</v>
      </c>
      <c r="AI1026" s="1" t="s">
        <v>166</v>
      </c>
      <c r="AJ1026" s="1">
        <v>85</v>
      </c>
      <c r="AK1026" s="1">
        <v>0</v>
      </c>
      <c r="AL1026" s="1" t="s">
        <v>18400</v>
      </c>
      <c r="AM1026" s="1" t="s">
        <v>18399</v>
      </c>
      <c r="AN1026" s="1" t="s">
        <v>433</v>
      </c>
      <c r="AO1026" s="1" t="s">
        <v>412</v>
      </c>
      <c r="AP1026" s="1">
        <v>75</v>
      </c>
      <c r="AQ1026" s="1">
        <v>0</v>
      </c>
      <c r="AR1026" s="1"/>
      <c r="AS1026" s="1"/>
      <c r="AT1026" s="1"/>
      <c r="AU1026" s="1"/>
      <c r="AV1026" s="1"/>
      <c r="AW1026" s="1"/>
      <c r="AX1026" s="1" t="s">
        <v>1381</v>
      </c>
      <c r="AY1026" s="1" t="s">
        <v>18401</v>
      </c>
      <c r="AZ1026" s="1" t="s">
        <v>920</v>
      </c>
      <c r="BA1026" s="1" t="s">
        <v>413</v>
      </c>
      <c r="BB1026" s="1">
        <v>87.3</v>
      </c>
      <c r="BC1026" s="1">
        <v>8.73</v>
      </c>
      <c r="BD1026" s="1"/>
      <c r="BE1026" s="1"/>
      <c r="BF1026" s="1"/>
      <c r="BG1026" s="1"/>
      <c r="BH1026" s="1"/>
      <c r="BI1026" s="1"/>
      <c r="BJ1026" s="1" t="s">
        <v>18402</v>
      </c>
      <c r="BK1026" s="1" t="s">
        <v>18403</v>
      </c>
      <c r="BL1026" s="1" t="s">
        <v>1028</v>
      </c>
      <c r="BM1026" s="1" t="s">
        <v>18404</v>
      </c>
      <c r="BN1026" s="1">
        <v>26</v>
      </c>
      <c r="BO1026" s="1" t="s">
        <v>18405</v>
      </c>
      <c r="BP1026" s="1" t="str">
        <f>HYPERLINK("https://nconnect.nicmar.ac.in/storage/profile/ProfilePhoto_P25707016_126584.jpg","Download")</f>
        <v>0</v>
      </c>
      <c r="BQ1026" s="3"/>
      <c r="BR1026" s="3"/>
    </row>
    <row r="1027" spans="1:70">
      <c r="A1027" s="1" t="s">
        <v>18164</v>
      </c>
      <c r="B1027" s="1" t="s">
        <v>1269</v>
      </c>
      <c r="C1027" s="1" t="s">
        <v>18406</v>
      </c>
      <c r="D1027" s="1" t="s">
        <v>595</v>
      </c>
      <c r="E1027" s="1"/>
      <c r="F1027" s="1" t="s">
        <v>18407</v>
      </c>
      <c r="G1027" s="1" t="s">
        <v>18408</v>
      </c>
      <c r="H1027" s="1" t="s">
        <v>18409</v>
      </c>
      <c r="I1027" s="1" t="s">
        <v>18410</v>
      </c>
      <c r="J1027" s="1">
        <v>7829595800</v>
      </c>
      <c r="K1027" s="1" t="s">
        <v>79</v>
      </c>
      <c r="L1027" s="1" t="s">
        <v>18411</v>
      </c>
      <c r="M1027" s="1" t="s">
        <v>81</v>
      </c>
      <c r="N1027" s="1" t="s">
        <v>14354</v>
      </c>
      <c r="O1027" s="1"/>
      <c r="P1027" s="1" t="s">
        <v>1323</v>
      </c>
      <c r="Q1027" s="1" t="s">
        <v>18412</v>
      </c>
      <c r="R1027" s="1" t="s">
        <v>18413</v>
      </c>
      <c r="S1027" s="1">
        <v>7829595800</v>
      </c>
      <c r="T1027" s="1" t="s">
        <v>1398</v>
      </c>
      <c r="U1027" s="1" t="s">
        <v>18414</v>
      </c>
      <c r="V1027" s="1">
        <v>9845336240</v>
      </c>
      <c r="W1027" s="1" t="s">
        <v>651</v>
      </c>
      <c r="X1027" s="1" t="s">
        <v>18415</v>
      </c>
      <c r="Y1027" s="1" t="s">
        <v>2747</v>
      </c>
      <c r="Z1027" s="1" t="s">
        <v>1084</v>
      </c>
      <c r="AA1027" s="1" t="s">
        <v>18415</v>
      </c>
      <c r="AB1027" s="1" t="s">
        <v>2747</v>
      </c>
      <c r="AC1027" s="1" t="s">
        <v>1084</v>
      </c>
      <c r="AD1027" s="1">
        <v>9.33</v>
      </c>
      <c r="AE1027" s="1" t="s">
        <v>93</v>
      </c>
      <c r="AF1027" s="1" t="s">
        <v>18416</v>
      </c>
      <c r="AG1027" s="1" t="s">
        <v>1515</v>
      </c>
      <c r="AH1027" s="1" t="s">
        <v>1197</v>
      </c>
      <c r="AI1027" s="1" t="s">
        <v>503</v>
      </c>
      <c r="AJ1027" s="1">
        <v>94.56</v>
      </c>
      <c r="AK1027" s="1"/>
      <c r="AL1027" s="1" t="s">
        <v>18417</v>
      </c>
      <c r="AM1027" s="1" t="s">
        <v>18418</v>
      </c>
      <c r="AN1027" s="1" t="s">
        <v>279</v>
      </c>
      <c r="AO1027" s="1" t="s">
        <v>195</v>
      </c>
      <c r="AP1027" s="1">
        <v>90.33</v>
      </c>
      <c r="AQ1027" s="1"/>
      <c r="AR1027" s="1"/>
      <c r="AS1027" s="1"/>
      <c r="AT1027" s="1"/>
      <c r="AU1027" s="1"/>
      <c r="AV1027" s="1"/>
      <c r="AW1027" s="1"/>
      <c r="AX1027" s="1" t="s">
        <v>1088</v>
      </c>
      <c r="AY1027" s="1" t="s">
        <v>18419</v>
      </c>
      <c r="AZ1027" s="1" t="s">
        <v>383</v>
      </c>
      <c r="BA1027" s="1" t="s">
        <v>436</v>
      </c>
      <c r="BB1027" s="1">
        <v>73.9</v>
      </c>
      <c r="BC1027" s="1">
        <v>8.14</v>
      </c>
      <c r="BD1027" s="1"/>
      <c r="BE1027" s="1"/>
      <c r="BF1027" s="1"/>
      <c r="BG1027" s="1"/>
      <c r="BH1027" s="1"/>
      <c r="BI1027" s="1"/>
      <c r="BJ1027" s="1" t="s">
        <v>18420</v>
      </c>
      <c r="BK1027" s="1"/>
      <c r="BL1027" s="1"/>
      <c r="BM1027" s="1" t="s">
        <v>18421</v>
      </c>
      <c r="BN1027" s="1">
        <v>59</v>
      </c>
      <c r="BO1027" s="1" t="s">
        <v>18422</v>
      </c>
      <c r="BP1027" s="1" t="str">
        <f>HYPERLINK("https://nconnect.nicmar.ac.in/storage/profile/ProfilePhoto_P25707017_492153.jpg","Download")</f>
        <v>0</v>
      </c>
      <c r="BQ1027" s="3"/>
      <c r="BR1027" s="3"/>
    </row>
    <row r="1028" spans="1:70">
      <c r="A1028" s="1" t="s">
        <v>18164</v>
      </c>
      <c r="B1028" s="1" t="s">
        <v>1269</v>
      </c>
      <c r="C1028" s="1" t="s">
        <v>18423</v>
      </c>
      <c r="D1028" s="1" t="s">
        <v>18424</v>
      </c>
      <c r="E1028" s="1" t="s">
        <v>5986</v>
      </c>
      <c r="F1028" s="1" t="s">
        <v>18425</v>
      </c>
      <c r="G1028" s="1" t="s">
        <v>18426</v>
      </c>
      <c r="H1028" s="1" t="s">
        <v>18427</v>
      </c>
      <c r="I1028" s="1" t="s">
        <v>18428</v>
      </c>
      <c r="J1028" s="1">
        <v>8104914549</v>
      </c>
      <c r="K1028" s="1" t="s">
        <v>148</v>
      </c>
      <c r="L1028" s="1" t="s">
        <v>13023</v>
      </c>
      <c r="M1028" s="1" t="s">
        <v>81</v>
      </c>
      <c r="N1028" s="1" t="s">
        <v>1418</v>
      </c>
      <c r="O1028" s="1" t="s">
        <v>18429</v>
      </c>
      <c r="P1028" s="1" t="s">
        <v>1298</v>
      </c>
      <c r="Q1028" s="1" t="s">
        <v>18430</v>
      </c>
      <c r="R1028" s="1" t="s">
        <v>5986</v>
      </c>
      <c r="S1028" s="1">
        <v>9004879500</v>
      </c>
      <c r="T1028" s="1" t="s">
        <v>763</v>
      </c>
      <c r="U1028" s="1" t="s">
        <v>2605</v>
      </c>
      <c r="V1028" s="1">
        <v>9222992520</v>
      </c>
      <c r="W1028" s="1" t="s">
        <v>651</v>
      </c>
      <c r="X1028" s="1" t="s">
        <v>18431</v>
      </c>
      <c r="Y1028" s="1" t="s">
        <v>1623</v>
      </c>
      <c r="Z1028" s="1" t="s">
        <v>92</v>
      </c>
      <c r="AA1028" s="1" t="s">
        <v>18431</v>
      </c>
      <c r="AB1028" s="1" t="s">
        <v>1623</v>
      </c>
      <c r="AC1028" s="1" t="s">
        <v>92</v>
      </c>
      <c r="AD1028" s="1">
        <v>9.68</v>
      </c>
      <c r="AE1028" s="1" t="s">
        <v>93</v>
      </c>
      <c r="AF1028" s="1" t="s">
        <v>18432</v>
      </c>
      <c r="AG1028" s="1" t="s">
        <v>18433</v>
      </c>
      <c r="AH1028" s="1" t="s">
        <v>101</v>
      </c>
      <c r="AI1028" s="1" t="s">
        <v>409</v>
      </c>
      <c r="AJ1028" s="1">
        <v>83.8</v>
      </c>
      <c r="AK1028" s="1"/>
      <c r="AL1028" s="1" t="s">
        <v>18434</v>
      </c>
      <c r="AM1028" s="1" t="s">
        <v>18433</v>
      </c>
      <c r="AN1028" s="1" t="s">
        <v>699</v>
      </c>
      <c r="AO1028" s="1" t="s">
        <v>506</v>
      </c>
      <c r="AP1028" s="1">
        <v>91.17</v>
      </c>
      <c r="AQ1028" s="1"/>
      <c r="AR1028" s="1"/>
      <c r="AS1028" s="1"/>
      <c r="AT1028" s="1"/>
      <c r="AU1028" s="1"/>
      <c r="AV1028" s="1"/>
      <c r="AW1028" s="1"/>
      <c r="AX1028" s="1" t="s">
        <v>1024</v>
      </c>
      <c r="AY1028" s="1" t="s">
        <v>18435</v>
      </c>
      <c r="AZ1028" s="1" t="s">
        <v>897</v>
      </c>
      <c r="BA1028" s="1" t="s">
        <v>1714</v>
      </c>
      <c r="BB1028" s="1">
        <v>70.5</v>
      </c>
      <c r="BC1028" s="1">
        <v>7.8</v>
      </c>
      <c r="BD1028" s="1"/>
      <c r="BE1028" s="1"/>
      <c r="BF1028" s="1"/>
      <c r="BG1028" s="1"/>
      <c r="BH1028" s="1"/>
      <c r="BI1028" s="1"/>
      <c r="BJ1028" s="1" t="s">
        <v>18436</v>
      </c>
      <c r="BK1028" s="1"/>
      <c r="BL1028" s="1"/>
      <c r="BM1028" s="1" t="s">
        <v>18437</v>
      </c>
      <c r="BN1028" s="1">
        <v>8</v>
      </c>
      <c r="BO1028" s="1"/>
      <c r="BP1028" s="1" t="str">
        <f>HYPERLINK("https://nconnect.nicmar.ac.in/storage/profile/ProfilePhoto_P25707018_314526.jpg","Download")</f>
        <v>0</v>
      </c>
      <c r="BQ1028" s="3"/>
      <c r="BR1028" s="3"/>
    </row>
    <row r="1029" spans="1:70">
      <c r="A1029" s="1" t="s">
        <v>18164</v>
      </c>
      <c r="B1029" s="1" t="s">
        <v>1269</v>
      </c>
      <c r="C1029" s="1" t="s">
        <v>18438</v>
      </c>
      <c r="D1029" s="1" t="s">
        <v>623</v>
      </c>
      <c r="E1029" s="1" t="s">
        <v>4328</v>
      </c>
      <c r="F1029" s="1" t="s">
        <v>18439</v>
      </c>
      <c r="G1029" s="1" t="s">
        <v>18440</v>
      </c>
      <c r="H1029" s="1" t="s">
        <v>18441</v>
      </c>
      <c r="I1029" s="1" t="s">
        <v>18442</v>
      </c>
      <c r="J1029" s="1">
        <v>7559492476</v>
      </c>
      <c r="K1029" s="1" t="s">
        <v>79</v>
      </c>
      <c r="L1029" s="1" t="s">
        <v>18443</v>
      </c>
      <c r="M1029" s="1" t="s">
        <v>81</v>
      </c>
      <c r="N1029" s="1" t="s">
        <v>6817</v>
      </c>
      <c r="O1029" s="1"/>
      <c r="P1029" s="1" t="s">
        <v>1298</v>
      </c>
      <c r="Q1029" s="1" t="s">
        <v>18444</v>
      </c>
      <c r="R1029" s="1" t="s">
        <v>18445</v>
      </c>
      <c r="S1029" s="1">
        <v>9403107425</v>
      </c>
      <c r="T1029" s="1" t="s">
        <v>7444</v>
      </c>
      <c r="U1029" s="1" t="s">
        <v>18446</v>
      </c>
      <c r="V1029" s="1">
        <v>8975988838</v>
      </c>
      <c r="W1029" s="1" t="s">
        <v>156</v>
      </c>
      <c r="X1029" s="1" t="s">
        <v>18447</v>
      </c>
      <c r="Y1029" s="1" t="s">
        <v>2790</v>
      </c>
      <c r="Z1029" s="1" t="s">
        <v>92</v>
      </c>
      <c r="AA1029" s="1" t="s">
        <v>18447</v>
      </c>
      <c r="AB1029" s="1" t="s">
        <v>2790</v>
      </c>
      <c r="AC1029" s="1" t="s">
        <v>92</v>
      </c>
      <c r="AD1029" s="1">
        <v>8.64</v>
      </c>
      <c r="AE1029" s="1" t="s">
        <v>93</v>
      </c>
      <c r="AF1029" s="1" t="s">
        <v>18448</v>
      </c>
      <c r="AG1029" s="1" t="s">
        <v>18449</v>
      </c>
      <c r="AH1029" s="1" t="s">
        <v>165</v>
      </c>
      <c r="AI1029" s="1" t="s">
        <v>281</v>
      </c>
      <c r="AJ1029" s="1">
        <v>85</v>
      </c>
      <c r="AK1029" s="1"/>
      <c r="AL1029" s="1" t="s">
        <v>18450</v>
      </c>
      <c r="AM1029" s="1" t="s">
        <v>18451</v>
      </c>
      <c r="AN1029" s="1" t="s">
        <v>433</v>
      </c>
      <c r="AO1029" s="1" t="s">
        <v>360</v>
      </c>
      <c r="AP1029" s="1">
        <v>66.77</v>
      </c>
      <c r="AQ1029" s="1"/>
      <c r="AR1029" s="1"/>
      <c r="AS1029" s="1"/>
      <c r="AT1029" s="1"/>
      <c r="AU1029" s="1"/>
      <c r="AV1029" s="1"/>
      <c r="AW1029" s="1"/>
      <c r="AX1029" s="1" t="s">
        <v>4506</v>
      </c>
      <c r="AY1029" s="1" t="s">
        <v>18452</v>
      </c>
      <c r="AZ1029" s="1" t="s">
        <v>681</v>
      </c>
      <c r="BA1029" s="1" t="s">
        <v>1714</v>
      </c>
      <c r="BB1029" s="1">
        <v>70.5</v>
      </c>
      <c r="BC1029" s="1">
        <v>7.55</v>
      </c>
      <c r="BD1029" s="1"/>
      <c r="BE1029" s="1"/>
      <c r="BF1029" s="1"/>
      <c r="BG1029" s="1"/>
      <c r="BH1029" s="1"/>
      <c r="BI1029" s="1"/>
      <c r="BJ1029" s="1" t="s">
        <v>18453</v>
      </c>
      <c r="BK1029" s="1"/>
      <c r="BL1029" s="1"/>
      <c r="BM1029" s="1" t="s">
        <v>18454</v>
      </c>
      <c r="BN1029" s="1">
        <v>16</v>
      </c>
      <c r="BO1029" s="1"/>
      <c r="BP1029" s="1" t="str">
        <f>HYPERLINK("https://nconnect.nicmar.ac.in/storage/profile/ProfilePhoto_P25707021_512496.jpg","Download")</f>
        <v>0</v>
      </c>
      <c r="BQ1029" s="3"/>
      <c r="BR1029" s="3"/>
    </row>
    <row r="1030" spans="1:70">
      <c r="A1030" s="1" t="s">
        <v>18164</v>
      </c>
      <c r="B1030" s="1" t="s">
        <v>1269</v>
      </c>
      <c r="C1030" s="1" t="s">
        <v>18455</v>
      </c>
      <c r="D1030" s="1" t="s">
        <v>18456</v>
      </c>
      <c r="E1030" s="1"/>
      <c r="F1030" s="1" t="s">
        <v>2129</v>
      </c>
      <c r="G1030" s="1" t="s">
        <v>18457</v>
      </c>
      <c r="H1030" s="1" t="s">
        <v>18458</v>
      </c>
      <c r="I1030" s="1" t="s">
        <v>18459</v>
      </c>
      <c r="J1030" s="1">
        <v>8606379551</v>
      </c>
      <c r="K1030" s="1" t="s">
        <v>148</v>
      </c>
      <c r="L1030" s="1" t="s">
        <v>18460</v>
      </c>
      <c r="M1030" s="1" t="s">
        <v>81</v>
      </c>
      <c r="N1030" s="1" t="s">
        <v>10146</v>
      </c>
      <c r="O1030" s="1"/>
      <c r="P1030" s="1" t="s">
        <v>3498</v>
      </c>
      <c r="Q1030" s="1" t="s">
        <v>18461</v>
      </c>
      <c r="R1030" s="1" t="s">
        <v>18462</v>
      </c>
      <c r="S1030" s="1">
        <v>9847301887</v>
      </c>
      <c r="T1030" s="1" t="s">
        <v>18463</v>
      </c>
      <c r="U1030" s="1" t="s">
        <v>18464</v>
      </c>
      <c r="V1030" s="1">
        <v>9947824751</v>
      </c>
      <c r="W1030" s="1" t="s">
        <v>122</v>
      </c>
      <c r="X1030" s="1" t="s">
        <v>18465</v>
      </c>
      <c r="Y1030" s="1" t="s">
        <v>5679</v>
      </c>
      <c r="Z1030" s="1" t="s">
        <v>125</v>
      </c>
      <c r="AA1030" s="1" t="s">
        <v>18465</v>
      </c>
      <c r="AB1030" s="1" t="s">
        <v>5679</v>
      </c>
      <c r="AC1030" s="1" t="s">
        <v>125</v>
      </c>
      <c r="AD1030" s="1">
        <v>9.53</v>
      </c>
      <c r="AE1030" s="1" t="s">
        <v>93</v>
      </c>
      <c r="AF1030" s="1" t="s">
        <v>501</v>
      </c>
      <c r="AG1030" s="1" t="s">
        <v>1665</v>
      </c>
      <c r="AH1030" s="1" t="s">
        <v>1307</v>
      </c>
      <c r="AI1030" s="1" t="s">
        <v>308</v>
      </c>
      <c r="AJ1030" s="1">
        <v>95.2</v>
      </c>
      <c r="AK1030" s="1"/>
      <c r="AL1030" s="1" t="s">
        <v>501</v>
      </c>
      <c r="AM1030" s="1" t="s">
        <v>1665</v>
      </c>
      <c r="AN1030" s="1" t="s">
        <v>1834</v>
      </c>
      <c r="AO1030" s="1" t="s">
        <v>506</v>
      </c>
      <c r="AP1030" s="1">
        <v>94.2</v>
      </c>
      <c r="AQ1030" s="1"/>
      <c r="AR1030" s="1"/>
      <c r="AS1030" s="1"/>
      <c r="AT1030" s="1"/>
      <c r="AU1030" s="1"/>
      <c r="AV1030" s="1"/>
      <c r="AW1030" s="1"/>
      <c r="AX1030" s="1" t="s">
        <v>132</v>
      </c>
      <c r="AY1030" s="1" t="s">
        <v>18466</v>
      </c>
      <c r="AZ1030" s="1" t="s">
        <v>135</v>
      </c>
      <c r="BA1030" s="1" t="s">
        <v>1361</v>
      </c>
      <c r="BB1030" s="1">
        <v>80.3</v>
      </c>
      <c r="BC1030" s="1">
        <v>8.03</v>
      </c>
      <c r="BD1030" s="1"/>
      <c r="BE1030" s="1"/>
      <c r="BF1030" s="1"/>
      <c r="BG1030" s="1"/>
      <c r="BH1030" s="1"/>
      <c r="BI1030" s="1"/>
      <c r="BJ1030" s="1" t="s">
        <v>18467</v>
      </c>
      <c r="BK1030" s="1"/>
      <c r="BL1030" s="1"/>
      <c r="BM1030" s="1" t="s">
        <v>18468</v>
      </c>
      <c r="BN1030" s="1">
        <v>19</v>
      </c>
      <c r="BO1030" s="1" t="s">
        <v>18469</v>
      </c>
      <c r="BP1030" s="1" t="str">
        <f>HYPERLINK("https://nconnect.nicmar.ac.in/storage/profile/ProfilePhoto_P25707022_251376.jpg","Download")</f>
        <v>0</v>
      </c>
      <c r="BQ1030" s="3"/>
      <c r="BR1030" s="3"/>
    </row>
    <row r="1031" spans="1:70">
      <c r="A1031" s="1" t="s">
        <v>18164</v>
      </c>
      <c r="B1031" s="1" t="s">
        <v>1269</v>
      </c>
      <c r="C1031" s="1" t="s">
        <v>18470</v>
      </c>
      <c r="D1031" s="1" t="s">
        <v>2596</v>
      </c>
      <c r="E1031" s="1" t="s">
        <v>3304</v>
      </c>
      <c r="F1031" s="1" t="s">
        <v>3852</v>
      </c>
      <c r="G1031" s="1" t="s">
        <v>18471</v>
      </c>
      <c r="H1031" s="1" t="s">
        <v>18472</v>
      </c>
      <c r="I1031" s="1" t="s">
        <v>18473</v>
      </c>
      <c r="J1031" s="1">
        <v>9145787174</v>
      </c>
      <c r="K1031" s="1" t="s">
        <v>79</v>
      </c>
      <c r="L1031" s="1" t="s">
        <v>18474</v>
      </c>
      <c r="M1031" s="1" t="s">
        <v>81</v>
      </c>
      <c r="N1031" s="1" t="s">
        <v>1418</v>
      </c>
      <c r="O1031" s="1"/>
      <c r="P1031" s="1" t="s">
        <v>1278</v>
      </c>
      <c r="Q1031" s="1" t="s">
        <v>18475</v>
      </c>
      <c r="R1031" s="1" t="s">
        <v>18476</v>
      </c>
      <c r="S1031" s="1">
        <v>7770064712</v>
      </c>
      <c r="T1031" s="1" t="s">
        <v>976</v>
      </c>
      <c r="U1031" s="1" t="s">
        <v>18477</v>
      </c>
      <c r="V1031" s="1">
        <v>9923809791</v>
      </c>
      <c r="W1031" s="1" t="s">
        <v>156</v>
      </c>
      <c r="X1031" s="1" t="s">
        <v>18478</v>
      </c>
      <c r="Y1031" s="1" t="s">
        <v>191</v>
      </c>
      <c r="Z1031" s="1" t="s">
        <v>92</v>
      </c>
      <c r="AA1031" s="1" t="s">
        <v>18479</v>
      </c>
      <c r="AB1031" s="1" t="s">
        <v>6399</v>
      </c>
      <c r="AC1031" s="1" t="s">
        <v>92</v>
      </c>
      <c r="AD1031" s="1">
        <v>8.77</v>
      </c>
      <c r="AE1031" s="1" t="s">
        <v>93</v>
      </c>
      <c r="AF1031" s="1" t="s">
        <v>18480</v>
      </c>
      <c r="AG1031" s="1" t="s">
        <v>544</v>
      </c>
      <c r="AH1031" s="1" t="s">
        <v>162</v>
      </c>
      <c r="AI1031" s="1" t="s">
        <v>195</v>
      </c>
      <c r="AJ1031" s="1">
        <v>81.2</v>
      </c>
      <c r="AK1031" s="1"/>
      <c r="AL1031" s="1"/>
      <c r="AM1031" s="1"/>
      <c r="AN1031" s="1"/>
      <c r="AO1031" s="1"/>
      <c r="AP1031" s="1"/>
      <c r="AQ1031" s="1"/>
      <c r="AR1031" s="1" t="s">
        <v>5406</v>
      </c>
      <c r="AS1031" s="1" t="s">
        <v>18481</v>
      </c>
      <c r="AT1031" s="1" t="s">
        <v>165</v>
      </c>
      <c r="AU1031" s="1" t="s">
        <v>170</v>
      </c>
      <c r="AV1031" s="1">
        <v>88.62</v>
      </c>
      <c r="AW1031" s="1"/>
      <c r="AX1031" s="1" t="s">
        <v>361</v>
      </c>
      <c r="AY1031" s="1" t="s">
        <v>18482</v>
      </c>
      <c r="AZ1031" s="1" t="s">
        <v>363</v>
      </c>
      <c r="BA1031" s="1" t="s">
        <v>682</v>
      </c>
      <c r="BB1031" s="1">
        <v>74.04</v>
      </c>
      <c r="BC1031" s="1">
        <v>8.32</v>
      </c>
      <c r="BD1031" s="1"/>
      <c r="BE1031" s="1"/>
      <c r="BF1031" s="1"/>
      <c r="BG1031" s="1"/>
      <c r="BH1031" s="1"/>
      <c r="BI1031" s="1"/>
      <c r="BJ1031" s="1" t="s">
        <v>18483</v>
      </c>
      <c r="BK1031" s="1" t="s">
        <v>18484</v>
      </c>
      <c r="BL1031" s="1" t="s">
        <v>4933</v>
      </c>
      <c r="BM1031" s="1" t="s">
        <v>18485</v>
      </c>
      <c r="BN1031" s="1">
        <v>21</v>
      </c>
      <c r="BO1031" s="1" t="s">
        <v>18486</v>
      </c>
      <c r="BP1031" s="1" t="str">
        <f>HYPERLINK("https://nconnect.nicmar.ac.in/storage/profile/ProfilePhoto_P25707023_842739.jpg","Download")</f>
        <v>0</v>
      </c>
      <c r="BQ1031" s="3"/>
      <c r="BR1031" s="3"/>
    </row>
    <row r="1032" spans="1:70">
      <c r="A1032" s="1" t="s">
        <v>18164</v>
      </c>
      <c r="B1032" s="1" t="s">
        <v>1269</v>
      </c>
      <c r="C1032" s="1" t="s">
        <v>18487</v>
      </c>
      <c r="D1032" s="1" t="s">
        <v>7453</v>
      </c>
      <c r="E1032" s="1" t="s">
        <v>13371</v>
      </c>
      <c r="F1032" s="1" t="s">
        <v>18488</v>
      </c>
      <c r="G1032" s="1" t="s">
        <v>18489</v>
      </c>
      <c r="H1032" s="1" t="s">
        <v>18490</v>
      </c>
      <c r="I1032" s="1" t="s">
        <v>18491</v>
      </c>
      <c r="J1032" s="1">
        <v>9579173930</v>
      </c>
      <c r="K1032" s="1" t="s">
        <v>79</v>
      </c>
      <c r="L1032" s="1" t="s">
        <v>18492</v>
      </c>
      <c r="M1032" s="1" t="s">
        <v>81</v>
      </c>
      <c r="N1032" s="1" t="s">
        <v>1418</v>
      </c>
      <c r="O1032" s="1"/>
      <c r="P1032" s="1"/>
      <c r="Q1032" s="1" t="s">
        <v>18493</v>
      </c>
      <c r="R1032" s="1" t="s">
        <v>18494</v>
      </c>
      <c r="S1032" s="1">
        <v>9545236769</v>
      </c>
      <c r="T1032" s="1" t="s">
        <v>976</v>
      </c>
      <c r="U1032" s="1" t="s">
        <v>18495</v>
      </c>
      <c r="V1032" s="1">
        <v>9209683926</v>
      </c>
      <c r="W1032" s="1" t="s">
        <v>156</v>
      </c>
      <c r="X1032" s="1" t="s">
        <v>18496</v>
      </c>
      <c r="Y1032" s="1" t="s">
        <v>191</v>
      </c>
      <c r="Z1032" s="1" t="s">
        <v>92</v>
      </c>
      <c r="AA1032" s="1" t="s">
        <v>18497</v>
      </c>
      <c r="AB1032" s="1" t="s">
        <v>5080</v>
      </c>
      <c r="AC1032" s="1" t="s">
        <v>92</v>
      </c>
      <c r="AD1032" s="1">
        <v>9.56</v>
      </c>
      <c r="AE1032" s="1" t="s">
        <v>93</v>
      </c>
      <c r="AF1032" s="1" t="s">
        <v>18498</v>
      </c>
      <c r="AG1032" s="1" t="s">
        <v>18499</v>
      </c>
      <c r="AH1032" s="1" t="s">
        <v>101</v>
      </c>
      <c r="AI1032" s="1" t="s">
        <v>433</v>
      </c>
      <c r="AJ1032" s="1">
        <v>77.4</v>
      </c>
      <c r="AK1032" s="1"/>
      <c r="AL1032" s="1"/>
      <c r="AM1032" s="1"/>
      <c r="AN1032" s="1"/>
      <c r="AO1032" s="1"/>
      <c r="AP1032" s="1"/>
      <c r="AQ1032" s="1"/>
      <c r="AR1032" s="1" t="s">
        <v>98</v>
      </c>
      <c r="AS1032" s="1" t="s">
        <v>18500</v>
      </c>
      <c r="AT1032" s="1" t="s">
        <v>201</v>
      </c>
      <c r="AU1032" s="1" t="s">
        <v>481</v>
      </c>
      <c r="AV1032" s="1">
        <v>84.32</v>
      </c>
      <c r="AW1032" s="1"/>
      <c r="AX1032" s="1" t="s">
        <v>253</v>
      </c>
      <c r="AY1032" s="1" t="s">
        <v>15834</v>
      </c>
      <c r="AZ1032" s="1" t="s">
        <v>105</v>
      </c>
      <c r="BA1032" s="1" t="s">
        <v>1714</v>
      </c>
      <c r="BB1032" s="1">
        <v>75.09</v>
      </c>
      <c r="BC1032" s="1">
        <v>8.51</v>
      </c>
      <c r="BD1032" s="1"/>
      <c r="BE1032" s="1"/>
      <c r="BF1032" s="1"/>
      <c r="BG1032" s="1"/>
      <c r="BH1032" s="1"/>
      <c r="BI1032" s="1"/>
      <c r="BJ1032" s="1" t="s">
        <v>18501</v>
      </c>
      <c r="BK1032" s="1"/>
      <c r="BL1032" s="1"/>
      <c r="BM1032" s="1"/>
      <c r="BN1032" s="1"/>
      <c r="BO1032" s="1"/>
      <c r="BP1032" s="1" t="str">
        <f>HYPERLINK("https://nconnect.nicmar.ac.in/storage/profile/ProfilePhoto_P25707024_269347.jpg","Download")</f>
        <v>0</v>
      </c>
      <c r="BQ1032" s="3"/>
      <c r="BR1032" s="3"/>
    </row>
    <row r="1033" spans="1:70">
      <c r="A1033" s="1" t="s">
        <v>18164</v>
      </c>
      <c r="B1033" s="1" t="s">
        <v>1269</v>
      </c>
      <c r="C1033" s="1" t="s">
        <v>18502</v>
      </c>
      <c r="D1033" s="1" t="s">
        <v>9022</v>
      </c>
      <c r="E1033" s="1"/>
      <c r="F1033" s="1" t="s">
        <v>18503</v>
      </c>
      <c r="G1033" s="1" t="s">
        <v>18504</v>
      </c>
      <c r="H1033" s="1" t="s">
        <v>18505</v>
      </c>
      <c r="I1033" s="1" t="s">
        <v>18506</v>
      </c>
      <c r="J1033" s="1">
        <v>7287024258</v>
      </c>
      <c r="K1033" s="1" t="s">
        <v>79</v>
      </c>
      <c r="L1033" s="1" t="s">
        <v>18507</v>
      </c>
      <c r="M1033" s="1" t="s">
        <v>81</v>
      </c>
      <c r="N1033" s="1" t="s">
        <v>18265</v>
      </c>
      <c r="O1033" s="1"/>
      <c r="P1033" s="1" t="s">
        <v>2507</v>
      </c>
      <c r="Q1033" s="1" t="s">
        <v>18508</v>
      </c>
      <c r="R1033" s="1" t="s">
        <v>18509</v>
      </c>
      <c r="S1033" s="1">
        <v>9848860100</v>
      </c>
      <c r="T1033" s="1" t="s">
        <v>18510</v>
      </c>
      <c r="U1033" s="1" t="s">
        <v>18511</v>
      </c>
      <c r="V1033" s="1">
        <v>7386167276</v>
      </c>
      <c r="W1033" s="1" t="s">
        <v>273</v>
      </c>
      <c r="X1033" s="1" t="s">
        <v>18512</v>
      </c>
      <c r="Y1033" s="1" t="s">
        <v>1150</v>
      </c>
      <c r="Z1033" s="1" t="s">
        <v>276</v>
      </c>
      <c r="AA1033" s="1" t="s">
        <v>18512</v>
      </c>
      <c r="AB1033" s="1" t="s">
        <v>1150</v>
      </c>
      <c r="AC1033" s="1" t="s">
        <v>276</v>
      </c>
      <c r="AD1033" s="1">
        <v>8.53</v>
      </c>
      <c r="AE1033" s="1" t="s">
        <v>93</v>
      </c>
      <c r="AF1033" s="1" t="s">
        <v>18513</v>
      </c>
      <c r="AG1033" s="1" t="s">
        <v>2245</v>
      </c>
      <c r="AH1033" s="1" t="s">
        <v>165</v>
      </c>
      <c r="AI1033" s="1" t="s">
        <v>281</v>
      </c>
      <c r="AJ1033" s="1">
        <v>92</v>
      </c>
      <c r="AK1033" s="1">
        <v>9.2</v>
      </c>
      <c r="AL1033" s="1"/>
      <c r="AM1033" s="1"/>
      <c r="AN1033" s="1"/>
      <c r="AO1033" s="1"/>
      <c r="AP1033" s="1"/>
      <c r="AQ1033" s="1"/>
      <c r="AR1033" s="1" t="s">
        <v>434</v>
      </c>
      <c r="AS1033" s="1" t="s">
        <v>18514</v>
      </c>
      <c r="AT1033" s="1" t="s">
        <v>101</v>
      </c>
      <c r="AU1033" s="1" t="s">
        <v>3088</v>
      </c>
      <c r="AV1033" s="1">
        <v>78.68</v>
      </c>
      <c r="AW1033" s="1"/>
      <c r="AX1033" s="1" t="s">
        <v>18515</v>
      </c>
      <c r="AY1033" s="1" t="s">
        <v>18516</v>
      </c>
      <c r="AZ1033" s="1" t="s">
        <v>135</v>
      </c>
      <c r="BA1033" s="1" t="s">
        <v>702</v>
      </c>
      <c r="BB1033" s="1">
        <v>78</v>
      </c>
      <c r="BC1033" s="1">
        <v>8.55</v>
      </c>
      <c r="BD1033" s="1"/>
      <c r="BE1033" s="1"/>
      <c r="BF1033" s="1"/>
      <c r="BG1033" s="1"/>
      <c r="BH1033" s="1"/>
      <c r="BI1033" s="1"/>
      <c r="BJ1033" s="1" t="s">
        <v>18517</v>
      </c>
      <c r="BK1033" s="1"/>
      <c r="BL1033" s="1"/>
      <c r="BM1033" s="1" t="s">
        <v>18518</v>
      </c>
      <c r="BN1033" s="1">
        <v>15</v>
      </c>
      <c r="BO1033" s="1" t="s">
        <v>18519</v>
      </c>
      <c r="BP1033" s="1" t="str">
        <f>HYPERLINK("https://nconnect.nicmar.ac.in/storage/profile/ProfilePhoto_P25707025_542186.jpg","Download")</f>
        <v>0</v>
      </c>
      <c r="BQ1033" s="3"/>
      <c r="BR1033" s="3"/>
    </row>
    <row r="1034" spans="1:70">
      <c r="A1034" s="1" t="s">
        <v>18164</v>
      </c>
      <c r="B1034" s="1" t="s">
        <v>1269</v>
      </c>
      <c r="C1034" s="1" t="s">
        <v>18520</v>
      </c>
      <c r="D1034" s="1" t="s">
        <v>18521</v>
      </c>
      <c r="E1034" s="1"/>
      <c r="F1034" s="1" t="s">
        <v>4117</v>
      </c>
      <c r="G1034" s="1" t="s">
        <v>18522</v>
      </c>
      <c r="H1034" s="1" t="s">
        <v>18523</v>
      </c>
      <c r="I1034" s="1" t="s">
        <v>18524</v>
      </c>
      <c r="J1034" s="1">
        <v>8989534337</v>
      </c>
      <c r="K1034" s="1" t="s">
        <v>148</v>
      </c>
      <c r="L1034" s="1" t="s">
        <v>12418</v>
      </c>
      <c r="M1034" s="1" t="s">
        <v>81</v>
      </c>
      <c r="N1034" s="1" t="s">
        <v>11963</v>
      </c>
      <c r="O1034" s="1"/>
      <c r="P1034" s="1" t="s">
        <v>1278</v>
      </c>
      <c r="Q1034" s="1" t="s">
        <v>18525</v>
      </c>
      <c r="R1034" s="1" t="s">
        <v>18526</v>
      </c>
      <c r="S1034" s="1">
        <v>9424314510</v>
      </c>
      <c r="T1034" s="1" t="s">
        <v>763</v>
      </c>
      <c r="U1034" s="1" t="s">
        <v>18527</v>
      </c>
      <c r="V1034" s="1">
        <v>9343156882</v>
      </c>
      <c r="W1034" s="1" t="s">
        <v>156</v>
      </c>
      <c r="X1034" s="1" t="s">
        <v>18528</v>
      </c>
      <c r="Y1034" s="1" t="s">
        <v>18529</v>
      </c>
      <c r="Z1034" s="1" t="s">
        <v>936</v>
      </c>
      <c r="AA1034" s="1" t="s">
        <v>18530</v>
      </c>
      <c r="AB1034" s="1" t="s">
        <v>18529</v>
      </c>
      <c r="AC1034" s="1" t="s">
        <v>936</v>
      </c>
      <c r="AD1034" s="1">
        <v>9.0</v>
      </c>
      <c r="AE1034" s="1" t="s">
        <v>93</v>
      </c>
      <c r="AF1034" s="1" t="s">
        <v>18531</v>
      </c>
      <c r="AG1034" s="1" t="s">
        <v>18532</v>
      </c>
      <c r="AH1034" s="1" t="s">
        <v>1065</v>
      </c>
      <c r="AI1034" s="1" t="s">
        <v>173</v>
      </c>
      <c r="AJ1034" s="1">
        <v>75.4</v>
      </c>
      <c r="AK1034" s="1"/>
      <c r="AL1034" s="1" t="s">
        <v>18531</v>
      </c>
      <c r="AM1034" s="1" t="s">
        <v>18533</v>
      </c>
      <c r="AN1034" s="1" t="s">
        <v>3088</v>
      </c>
      <c r="AO1034" s="1" t="s">
        <v>575</v>
      </c>
      <c r="AP1034" s="1">
        <v>83.8</v>
      </c>
      <c r="AQ1034" s="1"/>
      <c r="AR1034" s="1"/>
      <c r="AS1034" s="1"/>
      <c r="AT1034" s="1"/>
      <c r="AU1034" s="1"/>
      <c r="AV1034" s="1"/>
      <c r="AW1034" s="1"/>
      <c r="AX1034" s="1" t="s">
        <v>18534</v>
      </c>
      <c r="AY1034" s="1" t="s">
        <v>18535</v>
      </c>
      <c r="AZ1034" s="1" t="s">
        <v>105</v>
      </c>
      <c r="BA1034" s="1" t="s">
        <v>1361</v>
      </c>
      <c r="BB1034" s="1">
        <v>71.3</v>
      </c>
      <c r="BC1034" s="1"/>
      <c r="BD1034" s="1"/>
      <c r="BE1034" s="1"/>
      <c r="BF1034" s="1"/>
      <c r="BG1034" s="1"/>
      <c r="BH1034" s="1"/>
      <c r="BI1034" s="1"/>
      <c r="BJ1034" s="1" t="s">
        <v>734</v>
      </c>
      <c r="BK1034" s="1"/>
      <c r="BL1034" s="1"/>
      <c r="BM1034" s="1"/>
      <c r="BN1034" s="1"/>
      <c r="BO1034" s="1"/>
      <c r="BP1034" s="1" t="str">
        <f>HYPERLINK("https://nconnect.nicmar.ac.in/storage/profile/ProfilePhoto_P25707026_581379.jpg","Download")</f>
        <v>0</v>
      </c>
      <c r="BQ1034" s="3"/>
      <c r="BR1034" s="3"/>
    </row>
    <row r="1035" spans="1:70">
      <c r="A1035" s="1" t="s">
        <v>18164</v>
      </c>
      <c r="B1035" s="1" t="s">
        <v>1269</v>
      </c>
      <c r="C1035" s="1" t="s">
        <v>18536</v>
      </c>
      <c r="D1035" s="1" t="s">
        <v>18013</v>
      </c>
      <c r="E1035" s="1"/>
      <c r="F1035" s="1" t="s">
        <v>5908</v>
      </c>
      <c r="G1035" s="1" t="s">
        <v>18537</v>
      </c>
      <c r="H1035" s="1" t="s">
        <v>18538</v>
      </c>
      <c r="I1035" s="1" t="s">
        <v>18539</v>
      </c>
      <c r="J1035" s="1">
        <v>9958096028</v>
      </c>
      <c r="K1035" s="1" t="s">
        <v>79</v>
      </c>
      <c r="L1035" s="1" t="s">
        <v>1321</v>
      </c>
      <c r="M1035" s="1" t="s">
        <v>81</v>
      </c>
      <c r="N1035" s="1" t="s">
        <v>1951</v>
      </c>
      <c r="O1035" s="1" t="s">
        <v>18540</v>
      </c>
      <c r="P1035" s="1" t="s">
        <v>1278</v>
      </c>
      <c r="Q1035" s="1" t="s">
        <v>18541</v>
      </c>
      <c r="R1035" s="1" t="s">
        <v>18542</v>
      </c>
      <c r="S1035" s="1">
        <v>9811041098</v>
      </c>
      <c r="T1035" s="1" t="s">
        <v>842</v>
      </c>
      <c r="U1035" s="1" t="s">
        <v>18543</v>
      </c>
      <c r="V1035" s="1">
        <v>9953267199</v>
      </c>
      <c r="W1035" s="1" t="s">
        <v>89</v>
      </c>
      <c r="X1035" s="1" t="s">
        <v>18544</v>
      </c>
      <c r="Y1035" s="1" t="s">
        <v>4561</v>
      </c>
      <c r="Z1035" s="1" t="s">
        <v>1355</v>
      </c>
      <c r="AA1035" s="1" t="s">
        <v>18544</v>
      </c>
      <c r="AB1035" s="1" t="s">
        <v>4561</v>
      </c>
      <c r="AC1035" s="1" t="s">
        <v>1355</v>
      </c>
      <c r="AD1035" s="1">
        <v>7.54</v>
      </c>
      <c r="AE1035" s="1" t="s">
        <v>93</v>
      </c>
      <c r="AF1035" s="1" t="s">
        <v>18545</v>
      </c>
      <c r="AG1035" s="1" t="s">
        <v>18546</v>
      </c>
      <c r="AH1035" s="1" t="s">
        <v>999</v>
      </c>
      <c r="AI1035" s="1" t="s">
        <v>503</v>
      </c>
      <c r="AJ1035" s="1">
        <v>68.7</v>
      </c>
      <c r="AK1035" s="1"/>
      <c r="AL1035" s="1" t="s">
        <v>18547</v>
      </c>
      <c r="AM1035" s="1" t="s">
        <v>18548</v>
      </c>
      <c r="AN1035" s="1" t="s">
        <v>456</v>
      </c>
      <c r="AO1035" s="1" t="s">
        <v>195</v>
      </c>
      <c r="AP1035" s="1">
        <v>67.8</v>
      </c>
      <c r="AQ1035" s="1"/>
      <c r="AR1035" s="1"/>
      <c r="AS1035" s="1"/>
      <c r="AT1035" s="1"/>
      <c r="AU1035" s="1"/>
      <c r="AV1035" s="1"/>
      <c r="AW1035" s="1"/>
      <c r="AX1035" s="1" t="s">
        <v>18549</v>
      </c>
      <c r="AY1035" s="1" t="s">
        <v>18550</v>
      </c>
      <c r="AZ1035" s="1" t="s">
        <v>310</v>
      </c>
      <c r="BA1035" s="1" t="s">
        <v>481</v>
      </c>
      <c r="BB1035" s="1">
        <v>69.4</v>
      </c>
      <c r="BC1035" s="1"/>
      <c r="BD1035" s="1"/>
      <c r="BE1035" s="1"/>
      <c r="BF1035" s="1"/>
      <c r="BG1035" s="1"/>
      <c r="BH1035" s="1"/>
      <c r="BI1035" s="1"/>
      <c r="BJ1035" s="1" t="s">
        <v>18551</v>
      </c>
      <c r="BK1035" s="1"/>
      <c r="BL1035" s="1"/>
      <c r="BM1035" s="1" t="s">
        <v>18552</v>
      </c>
      <c r="BN1035" s="1">
        <v>17</v>
      </c>
      <c r="BO1035" s="1"/>
      <c r="BP1035" s="1" t="str">
        <f>HYPERLINK("https://nconnect.nicmar.ac.in/storage/profile/ProfilePhoto_P25707027_184539.jpg","Download")</f>
        <v>0</v>
      </c>
      <c r="BQ1035" s="3"/>
      <c r="BR1035" s="3"/>
    </row>
    <row r="1036" spans="1:70">
      <c r="A1036" s="1" t="s">
        <v>18164</v>
      </c>
      <c r="B1036" s="1" t="s">
        <v>1269</v>
      </c>
      <c r="C1036" s="1" t="s">
        <v>18553</v>
      </c>
      <c r="D1036" s="1" t="s">
        <v>8681</v>
      </c>
      <c r="E1036" s="1" t="s">
        <v>1316</v>
      </c>
      <c r="F1036" s="1" t="s">
        <v>8011</v>
      </c>
      <c r="G1036" s="1" t="s">
        <v>18554</v>
      </c>
      <c r="H1036" s="1" t="s">
        <v>18555</v>
      </c>
      <c r="I1036" s="1" t="s">
        <v>18556</v>
      </c>
      <c r="J1036" s="1">
        <v>7507324914</v>
      </c>
      <c r="K1036" s="1" t="s">
        <v>79</v>
      </c>
      <c r="L1036" s="1" t="s">
        <v>1723</v>
      </c>
      <c r="M1036" s="1" t="s">
        <v>81</v>
      </c>
      <c r="N1036" s="1" t="s">
        <v>1418</v>
      </c>
      <c r="O1036" s="1"/>
      <c r="P1036" s="1" t="s">
        <v>1323</v>
      </c>
      <c r="Q1036" s="1" t="s">
        <v>18557</v>
      </c>
      <c r="R1036" s="1" t="s">
        <v>18558</v>
      </c>
      <c r="S1036" s="1">
        <v>8806882121</v>
      </c>
      <c r="T1036" s="1" t="s">
        <v>496</v>
      </c>
      <c r="U1036" s="1" t="s">
        <v>18559</v>
      </c>
      <c r="V1036" s="1">
        <v>9922070273</v>
      </c>
      <c r="W1036" s="1" t="s">
        <v>89</v>
      </c>
      <c r="X1036" s="1" t="s">
        <v>18560</v>
      </c>
      <c r="Y1036" s="1" t="s">
        <v>191</v>
      </c>
      <c r="Z1036" s="1" t="s">
        <v>92</v>
      </c>
      <c r="AA1036" s="1" t="s">
        <v>18560</v>
      </c>
      <c r="AB1036" s="1" t="s">
        <v>191</v>
      </c>
      <c r="AC1036" s="1" t="s">
        <v>92</v>
      </c>
      <c r="AD1036" s="1">
        <v>8.53</v>
      </c>
      <c r="AE1036" s="1" t="s">
        <v>93</v>
      </c>
      <c r="AF1036" s="1" t="s">
        <v>8018</v>
      </c>
      <c r="AG1036" s="1" t="s">
        <v>8054</v>
      </c>
      <c r="AH1036" s="1" t="s">
        <v>433</v>
      </c>
      <c r="AI1036" s="1" t="s">
        <v>412</v>
      </c>
      <c r="AJ1036" s="1">
        <v>87.2</v>
      </c>
      <c r="AK1036" s="1"/>
      <c r="AL1036" s="1" t="s">
        <v>18561</v>
      </c>
      <c r="AM1036" s="1" t="s">
        <v>8054</v>
      </c>
      <c r="AN1036" s="1" t="s">
        <v>173</v>
      </c>
      <c r="AO1036" s="1" t="s">
        <v>575</v>
      </c>
      <c r="AP1036" s="1">
        <v>70.33</v>
      </c>
      <c r="AQ1036" s="1"/>
      <c r="AR1036" s="1"/>
      <c r="AS1036" s="1"/>
      <c r="AT1036" s="1"/>
      <c r="AU1036" s="1"/>
      <c r="AV1036" s="1"/>
      <c r="AW1036" s="1"/>
      <c r="AX1036" s="1" t="s">
        <v>361</v>
      </c>
      <c r="AY1036" s="1" t="s">
        <v>18562</v>
      </c>
      <c r="AZ1036" s="1" t="s">
        <v>105</v>
      </c>
      <c r="BA1036" s="1" t="s">
        <v>1714</v>
      </c>
      <c r="BB1036" s="1">
        <v>69.9</v>
      </c>
      <c r="BC1036" s="1">
        <v>7.74</v>
      </c>
      <c r="BD1036" s="1"/>
      <c r="BE1036" s="1"/>
      <c r="BF1036" s="1"/>
      <c r="BG1036" s="1"/>
      <c r="BH1036" s="1"/>
      <c r="BI1036" s="1"/>
      <c r="BJ1036" s="1" t="s">
        <v>18563</v>
      </c>
      <c r="BK1036" s="1"/>
      <c r="BL1036" s="1"/>
      <c r="BM1036" s="1" t="s">
        <v>18564</v>
      </c>
      <c r="BN1036" s="1">
        <v>8</v>
      </c>
      <c r="BO1036" s="1" t="s">
        <v>18565</v>
      </c>
      <c r="BP1036" s="1" t="str">
        <f>HYPERLINK("https://nconnect.nicmar.ac.in/storage/profile/ProfilePhoto_P25707028_695231.jpg","Download")</f>
        <v>0</v>
      </c>
      <c r="BQ1036" s="3"/>
      <c r="BR1036" s="3"/>
    </row>
    <row r="1037" spans="1:70">
      <c r="A1037" s="1" t="s">
        <v>18164</v>
      </c>
      <c r="B1037" s="1" t="s">
        <v>1269</v>
      </c>
      <c r="C1037" s="1" t="s">
        <v>18566</v>
      </c>
      <c r="D1037" s="1" t="s">
        <v>18567</v>
      </c>
      <c r="E1037" s="1" t="s">
        <v>6318</v>
      </c>
      <c r="F1037" s="1" t="s">
        <v>18568</v>
      </c>
      <c r="G1037" s="1" t="s">
        <v>18569</v>
      </c>
      <c r="H1037" s="1" t="s">
        <v>18570</v>
      </c>
      <c r="I1037" s="1" t="s">
        <v>18571</v>
      </c>
      <c r="J1037" s="1">
        <v>8805032088</v>
      </c>
      <c r="K1037" s="1" t="s">
        <v>79</v>
      </c>
      <c r="L1037" s="1" t="s">
        <v>18572</v>
      </c>
      <c r="M1037" s="1" t="s">
        <v>81</v>
      </c>
      <c r="N1037" s="1" t="s">
        <v>1618</v>
      </c>
      <c r="O1037" s="1"/>
      <c r="P1037" s="1" t="s">
        <v>1278</v>
      </c>
      <c r="Q1037" s="1" t="s">
        <v>18573</v>
      </c>
      <c r="R1037" s="1" t="s">
        <v>6318</v>
      </c>
      <c r="S1037" s="1">
        <v>8830516177</v>
      </c>
      <c r="T1037" s="1" t="s">
        <v>154</v>
      </c>
      <c r="U1037" s="1" t="s">
        <v>7934</v>
      </c>
      <c r="V1037" s="1">
        <v>8830516177</v>
      </c>
      <c r="W1037" s="1" t="s">
        <v>156</v>
      </c>
      <c r="X1037" s="1" t="s">
        <v>18574</v>
      </c>
      <c r="Y1037" s="1" t="s">
        <v>523</v>
      </c>
      <c r="Z1037" s="1" t="s">
        <v>92</v>
      </c>
      <c r="AA1037" s="1" t="s">
        <v>18574</v>
      </c>
      <c r="AB1037" s="1" t="s">
        <v>523</v>
      </c>
      <c r="AC1037" s="1" t="s">
        <v>92</v>
      </c>
      <c r="AD1037" s="1">
        <v>8.85</v>
      </c>
      <c r="AE1037" s="1" t="s">
        <v>93</v>
      </c>
      <c r="AF1037" s="1" t="s">
        <v>18575</v>
      </c>
      <c r="AG1037" s="1" t="s">
        <v>18576</v>
      </c>
      <c r="AH1037" s="1" t="s">
        <v>165</v>
      </c>
      <c r="AI1037" s="1" t="s">
        <v>281</v>
      </c>
      <c r="AJ1037" s="1">
        <v>82.2</v>
      </c>
      <c r="AK1037" s="1"/>
      <c r="AL1037" s="1" t="s">
        <v>18577</v>
      </c>
      <c r="AM1037" s="1" t="s">
        <v>18576</v>
      </c>
      <c r="AN1037" s="1" t="s">
        <v>433</v>
      </c>
      <c r="AO1037" s="1" t="s">
        <v>360</v>
      </c>
      <c r="AP1037" s="1">
        <v>67.08</v>
      </c>
      <c r="AQ1037" s="1"/>
      <c r="AR1037" s="1"/>
      <c r="AS1037" s="1"/>
      <c r="AT1037" s="1"/>
      <c r="AU1037" s="1"/>
      <c r="AV1037" s="1"/>
      <c r="AW1037" s="1"/>
      <c r="AX1037" s="1" t="s">
        <v>18578</v>
      </c>
      <c r="AY1037" s="1" t="s">
        <v>18579</v>
      </c>
      <c r="AZ1037" s="1" t="s">
        <v>2016</v>
      </c>
      <c r="BA1037" s="1" t="s">
        <v>1939</v>
      </c>
      <c r="BB1037" s="1">
        <v>78.9</v>
      </c>
      <c r="BC1037" s="1">
        <v>7.89</v>
      </c>
      <c r="BD1037" s="1"/>
      <c r="BE1037" s="1"/>
      <c r="BF1037" s="1"/>
      <c r="BG1037" s="1"/>
      <c r="BH1037" s="1"/>
      <c r="BI1037" s="1"/>
      <c r="BJ1037" s="1" t="s">
        <v>734</v>
      </c>
      <c r="BK1037" s="1"/>
      <c r="BL1037" s="1"/>
      <c r="BM1037" s="1" t="s">
        <v>18580</v>
      </c>
      <c r="BN1037" s="1">
        <v>62</v>
      </c>
      <c r="BO1037" s="1" t="s">
        <v>18581</v>
      </c>
      <c r="BP1037" s="1" t="str">
        <f>HYPERLINK("https://nconnect.nicmar.ac.in/storage/profile/ProfilePhoto_P25707029_139628.jpg","Download")</f>
        <v>0</v>
      </c>
      <c r="BQ1037" s="3"/>
      <c r="BR1037" s="3"/>
    </row>
    <row r="1038" spans="1:70">
      <c r="A1038" s="1" t="s">
        <v>18164</v>
      </c>
      <c r="B1038" s="1" t="s">
        <v>1269</v>
      </c>
      <c r="C1038" s="1" t="s">
        <v>18582</v>
      </c>
      <c r="D1038" s="1" t="s">
        <v>18583</v>
      </c>
      <c r="E1038" s="1"/>
      <c r="F1038" s="1" t="s">
        <v>1653</v>
      </c>
      <c r="G1038" s="1" t="s">
        <v>18584</v>
      </c>
      <c r="H1038" s="1" t="s">
        <v>18585</v>
      </c>
      <c r="I1038" s="1" t="s">
        <v>18586</v>
      </c>
      <c r="J1038" s="1">
        <v>9004254887</v>
      </c>
      <c r="K1038" s="1" t="s">
        <v>79</v>
      </c>
      <c r="L1038" s="1" t="s">
        <v>18587</v>
      </c>
      <c r="M1038" s="1" t="s">
        <v>81</v>
      </c>
      <c r="N1038" s="1" t="s">
        <v>1951</v>
      </c>
      <c r="O1038" s="1"/>
      <c r="P1038" s="1" t="s">
        <v>1278</v>
      </c>
      <c r="Q1038" s="1" t="s">
        <v>18588</v>
      </c>
      <c r="R1038" s="1" t="s">
        <v>18589</v>
      </c>
      <c r="S1038" s="1">
        <v>9867614887</v>
      </c>
      <c r="T1038" s="1" t="s">
        <v>763</v>
      </c>
      <c r="U1038" s="1" t="s">
        <v>18590</v>
      </c>
      <c r="V1038" s="1">
        <v>9004243367</v>
      </c>
      <c r="W1038" s="1" t="s">
        <v>2094</v>
      </c>
      <c r="X1038" s="1" t="s">
        <v>18591</v>
      </c>
      <c r="Y1038" s="1" t="s">
        <v>1018</v>
      </c>
      <c r="Z1038" s="1" t="s">
        <v>92</v>
      </c>
      <c r="AA1038" s="1" t="s">
        <v>18591</v>
      </c>
      <c r="AB1038" s="1" t="s">
        <v>1018</v>
      </c>
      <c r="AC1038" s="1" t="s">
        <v>92</v>
      </c>
      <c r="AD1038" s="1">
        <v>9.1</v>
      </c>
      <c r="AE1038" s="1" t="s">
        <v>93</v>
      </c>
      <c r="AF1038" s="1" t="s">
        <v>18592</v>
      </c>
      <c r="AG1038" s="1" t="s">
        <v>2572</v>
      </c>
      <c r="AH1038" s="1" t="s">
        <v>161</v>
      </c>
      <c r="AI1038" s="1" t="s">
        <v>162</v>
      </c>
      <c r="AJ1038" s="1">
        <v>87.6</v>
      </c>
      <c r="AK1038" s="1">
        <v>9.6</v>
      </c>
      <c r="AL1038" s="1" t="s">
        <v>18593</v>
      </c>
      <c r="AM1038" s="1" t="s">
        <v>476</v>
      </c>
      <c r="AN1038" s="1" t="s">
        <v>165</v>
      </c>
      <c r="AO1038" s="1" t="s">
        <v>101</v>
      </c>
      <c r="AP1038" s="1">
        <v>68.46</v>
      </c>
      <c r="AQ1038" s="1"/>
      <c r="AR1038" s="1"/>
      <c r="AS1038" s="1"/>
      <c r="AT1038" s="1"/>
      <c r="AU1038" s="1"/>
      <c r="AV1038" s="1"/>
      <c r="AW1038" s="1"/>
      <c r="AX1038" s="1" t="s">
        <v>18594</v>
      </c>
      <c r="AY1038" s="1" t="s">
        <v>18595</v>
      </c>
      <c r="AZ1038" s="1" t="s">
        <v>636</v>
      </c>
      <c r="BA1038" s="1" t="s">
        <v>481</v>
      </c>
      <c r="BB1038" s="1">
        <v>78.4</v>
      </c>
      <c r="BC1038" s="1">
        <v>8.34</v>
      </c>
      <c r="BD1038" s="1"/>
      <c r="BE1038" s="1"/>
      <c r="BF1038" s="1"/>
      <c r="BG1038" s="1"/>
      <c r="BH1038" s="1"/>
      <c r="BI1038" s="1"/>
      <c r="BJ1038" s="1" t="s">
        <v>18596</v>
      </c>
      <c r="BK1038" s="1" t="s">
        <v>18597</v>
      </c>
      <c r="BL1038" s="1" t="s">
        <v>2384</v>
      </c>
      <c r="BM1038" s="1" t="s">
        <v>18598</v>
      </c>
      <c r="BN1038" s="1">
        <v>15</v>
      </c>
      <c r="BO1038" s="1" t="s">
        <v>18599</v>
      </c>
      <c r="BP1038" s="1" t="str">
        <f>HYPERLINK("https://nconnect.nicmar.ac.in/storage/profile/ProfilePhoto_P25707030_263785.jpg","Download")</f>
        <v>0</v>
      </c>
      <c r="BQ1038" s="3"/>
      <c r="BR1038" s="3"/>
    </row>
    <row r="1039" spans="1:70">
      <c r="A1039" s="1" t="s">
        <v>18164</v>
      </c>
      <c r="B1039" s="1" t="s">
        <v>1269</v>
      </c>
      <c r="C1039" s="1" t="s">
        <v>18600</v>
      </c>
      <c r="D1039" s="1" t="s">
        <v>8402</v>
      </c>
      <c r="E1039" s="1" t="s">
        <v>1546</v>
      </c>
      <c r="F1039" s="1" t="s">
        <v>795</v>
      </c>
      <c r="G1039" s="1" t="s">
        <v>18601</v>
      </c>
      <c r="H1039" s="1" t="s">
        <v>18602</v>
      </c>
      <c r="I1039" s="1" t="s">
        <v>18603</v>
      </c>
      <c r="J1039" s="1">
        <v>9372852385</v>
      </c>
      <c r="K1039" s="1" t="s">
        <v>79</v>
      </c>
      <c r="L1039" s="1" t="s">
        <v>18604</v>
      </c>
      <c r="M1039" s="1" t="s">
        <v>81</v>
      </c>
      <c r="N1039" s="1" t="s">
        <v>1618</v>
      </c>
      <c r="O1039" s="1"/>
      <c r="P1039" s="1" t="s">
        <v>1323</v>
      </c>
      <c r="Q1039" s="1" t="s">
        <v>18605</v>
      </c>
      <c r="R1039" s="1" t="s">
        <v>18606</v>
      </c>
      <c r="S1039" s="1">
        <v>8169978521</v>
      </c>
      <c r="T1039" s="1" t="s">
        <v>763</v>
      </c>
      <c r="U1039" s="1" t="s">
        <v>18607</v>
      </c>
      <c r="V1039" s="1">
        <v>8779067109</v>
      </c>
      <c r="W1039" s="1" t="s">
        <v>18608</v>
      </c>
      <c r="X1039" s="1" t="s">
        <v>18609</v>
      </c>
      <c r="Y1039" s="1" t="s">
        <v>766</v>
      </c>
      <c r="Z1039" s="1" t="s">
        <v>92</v>
      </c>
      <c r="AA1039" s="1" t="s">
        <v>18609</v>
      </c>
      <c r="AB1039" s="1" t="s">
        <v>766</v>
      </c>
      <c r="AC1039" s="1" t="s">
        <v>92</v>
      </c>
      <c r="AD1039" s="1">
        <v>8.85</v>
      </c>
      <c r="AE1039" s="1" t="s">
        <v>93</v>
      </c>
      <c r="AF1039" s="1" t="s">
        <v>14550</v>
      </c>
      <c r="AG1039" s="1" t="s">
        <v>4453</v>
      </c>
      <c r="AH1039" s="1" t="s">
        <v>636</v>
      </c>
      <c r="AI1039" s="1" t="s">
        <v>201</v>
      </c>
      <c r="AJ1039" s="1">
        <v>64</v>
      </c>
      <c r="AK1039" s="1"/>
      <c r="AL1039" s="1"/>
      <c r="AM1039" s="1"/>
      <c r="AN1039" s="1"/>
      <c r="AO1039" s="1"/>
      <c r="AP1039" s="1"/>
      <c r="AQ1039" s="1"/>
      <c r="AR1039" s="1" t="s">
        <v>434</v>
      </c>
      <c r="AS1039" s="1" t="s">
        <v>18610</v>
      </c>
      <c r="AT1039" s="1" t="s">
        <v>201</v>
      </c>
      <c r="AU1039" s="1" t="s">
        <v>481</v>
      </c>
      <c r="AV1039" s="1">
        <v>73.53</v>
      </c>
      <c r="AW1039" s="1"/>
      <c r="AX1039" s="1" t="s">
        <v>1024</v>
      </c>
      <c r="AY1039" s="1" t="s">
        <v>18611</v>
      </c>
      <c r="AZ1039" s="1" t="s">
        <v>105</v>
      </c>
      <c r="BA1039" s="1" t="s">
        <v>1584</v>
      </c>
      <c r="BB1039" s="1">
        <v>59.91</v>
      </c>
      <c r="BC1039" s="1"/>
      <c r="BD1039" s="1"/>
      <c r="BE1039" s="1"/>
      <c r="BF1039" s="1"/>
      <c r="BG1039" s="1"/>
      <c r="BH1039" s="1"/>
      <c r="BI1039" s="1"/>
      <c r="BJ1039" s="1" t="s">
        <v>364</v>
      </c>
      <c r="BK1039" s="1"/>
      <c r="BL1039" s="1"/>
      <c r="BM1039" s="1" t="s">
        <v>18612</v>
      </c>
      <c r="BN1039" s="1">
        <v>13</v>
      </c>
      <c r="BO1039" s="1" t="s">
        <v>18613</v>
      </c>
      <c r="BP1039" s="1" t="str">
        <f>HYPERLINK("https://nconnect.nicmar.ac.in/storage/profile/ProfilePhoto_P25707031_731429.jpg","Download")</f>
        <v>0</v>
      </c>
      <c r="BQ1039" s="3"/>
      <c r="BR1039" s="3"/>
    </row>
    <row r="1040" spans="1:70">
      <c r="A1040" s="1" t="s">
        <v>18164</v>
      </c>
      <c r="B1040" s="1" t="s">
        <v>1269</v>
      </c>
      <c r="C1040" s="1" t="s">
        <v>18614</v>
      </c>
      <c r="D1040" s="1" t="s">
        <v>18615</v>
      </c>
      <c r="E1040" s="1"/>
      <c r="F1040" s="1" t="s">
        <v>18616</v>
      </c>
      <c r="G1040" s="1" t="s">
        <v>18617</v>
      </c>
      <c r="H1040" s="1" t="s">
        <v>18618</v>
      </c>
      <c r="I1040" s="1" t="s">
        <v>18619</v>
      </c>
      <c r="J1040" s="1">
        <v>8660783941</v>
      </c>
      <c r="K1040" s="1" t="s">
        <v>148</v>
      </c>
      <c r="L1040" s="1" t="s">
        <v>18620</v>
      </c>
      <c r="M1040" s="1" t="s">
        <v>81</v>
      </c>
      <c r="N1040" s="1" t="s">
        <v>1418</v>
      </c>
      <c r="O1040" s="1"/>
      <c r="P1040" s="1" t="s">
        <v>1278</v>
      </c>
      <c r="Q1040" s="1" t="s">
        <v>18621</v>
      </c>
      <c r="R1040" s="1" t="s">
        <v>18622</v>
      </c>
      <c r="S1040" s="1">
        <v>9075067936</v>
      </c>
      <c r="T1040" s="1" t="s">
        <v>6887</v>
      </c>
      <c r="U1040" s="1" t="s">
        <v>18623</v>
      </c>
      <c r="V1040" s="1">
        <v>9921949882</v>
      </c>
      <c r="W1040" s="1" t="s">
        <v>18624</v>
      </c>
      <c r="X1040" s="1" t="s">
        <v>18625</v>
      </c>
      <c r="Y1040" s="1" t="s">
        <v>191</v>
      </c>
      <c r="Z1040" s="1" t="s">
        <v>92</v>
      </c>
      <c r="AA1040" s="1" t="s">
        <v>18626</v>
      </c>
      <c r="AB1040" s="1" t="s">
        <v>191</v>
      </c>
      <c r="AC1040" s="1" t="s">
        <v>92</v>
      </c>
      <c r="AD1040" s="1">
        <v>8.43</v>
      </c>
      <c r="AE1040" s="1" t="s">
        <v>93</v>
      </c>
      <c r="AF1040" s="1" t="s">
        <v>5263</v>
      </c>
      <c r="AG1040" s="1" t="s">
        <v>18627</v>
      </c>
      <c r="AH1040" s="1" t="s">
        <v>433</v>
      </c>
      <c r="AI1040" s="1" t="s">
        <v>941</v>
      </c>
      <c r="AJ1040" s="1">
        <v>91.8</v>
      </c>
      <c r="AK1040" s="1"/>
      <c r="AL1040" s="1" t="s">
        <v>18628</v>
      </c>
      <c r="AM1040" s="1" t="s">
        <v>18627</v>
      </c>
      <c r="AN1040" s="1" t="s">
        <v>436</v>
      </c>
      <c r="AO1040" s="1" t="s">
        <v>284</v>
      </c>
      <c r="AP1040" s="1">
        <v>71.4</v>
      </c>
      <c r="AQ1040" s="1"/>
      <c r="AR1040" s="1"/>
      <c r="AS1040" s="1"/>
      <c r="AT1040" s="1"/>
      <c r="AU1040" s="1"/>
      <c r="AV1040" s="1"/>
      <c r="AW1040" s="1"/>
      <c r="AX1040" s="1" t="s">
        <v>18629</v>
      </c>
      <c r="AY1040" s="1" t="s">
        <v>18630</v>
      </c>
      <c r="AZ1040" s="1" t="s">
        <v>105</v>
      </c>
      <c r="BA1040" s="1" t="s">
        <v>1361</v>
      </c>
      <c r="BB1040" s="1">
        <v>75.27</v>
      </c>
      <c r="BC1040" s="1"/>
      <c r="BD1040" s="1"/>
      <c r="BE1040" s="1"/>
      <c r="BF1040" s="1"/>
      <c r="BG1040" s="1"/>
      <c r="BH1040" s="1"/>
      <c r="BI1040" s="1"/>
      <c r="BJ1040" s="1" t="s">
        <v>734</v>
      </c>
      <c r="BK1040" s="1"/>
      <c r="BL1040" s="1"/>
      <c r="BM1040" s="1"/>
      <c r="BN1040" s="1"/>
      <c r="BO1040" s="1" t="s">
        <v>18631</v>
      </c>
      <c r="BP1040" s="1" t="str">
        <f>HYPERLINK("https://nconnect.nicmar.ac.in/storage/profile/ProfilePhoto_P25707033_857492.jpg","Download")</f>
        <v>0</v>
      </c>
      <c r="BQ1040" s="3"/>
      <c r="BR1040" s="3"/>
    </row>
    <row r="1041" spans="1:70">
      <c r="A1041" s="1" t="s">
        <v>18164</v>
      </c>
      <c r="B1041" s="1" t="s">
        <v>1269</v>
      </c>
      <c r="C1041" s="1" t="s">
        <v>18632</v>
      </c>
      <c r="D1041" s="1" t="s">
        <v>18633</v>
      </c>
      <c r="E1041" s="1"/>
      <c r="F1041" s="1" t="s">
        <v>5908</v>
      </c>
      <c r="G1041" s="1" t="s">
        <v>18634</v>
      </c>
      <c r="H1041" s="1" t="s">
        <v>18635</v>
      </c>
      <c r="I1041" s="1" t="s">
        <v>18636</v>
      </c>
      <c r="J1041" s="1">
        <v>8126404019</v>
      </c>
      <c r="K1041" s="1" t="s">
        <v>79</v>
      </c>
      <c r="L1041" s="1" t="s">
        <v>18637</v>
      </c>
      <c r="M1041" s="1" t="s">
        <v>81</v>
      </c>
      <c r="N1041" s="1" t="s">
        <v>5056</v>
      </c>
      <c r="O1041" s="1"/>
      <c r="P1041" s="1" t="s">
        <v>1278</v>
      </c>
      <c r="Q1041" s="1" t="s">
        <v>18638</v>
      </c>
      <c r="R1041" s="1" t="s">
        <v>18639</v>
      </c>
      <c r="S1041" s="1">
        <v>9457852818</v>
      </c>
      <c r="T1041" s="1" t="s">
        <v>763</v>
      </c>
      <c r="U1041" s="1" t="s">
        <v>18640</v>
      </c>
      <c r="V1041" s="1">
        <v>9457852819</v>
      </c>
      <c r="W1041" s="1" t="s">
        <v>89</v>
      </c>
      <c r="X1041" s="1" t="s">
        <v>18641</v>
      </c>
      <c r="Y1041" s="1" t="s">
        <v>18642</v>
      </c>
      <c r="Z1041" s="1" t="s">
        <v>1355</v>
      </c>
      <c r="AA1041" s="1" t="s">
        <v>18641</v>
      </c>
      <c r="AB1041" s="1" t="s">
        <v>18642</v>
      </c>
      <c r="AC1041" s="1" t="s">
        <v>1355</v>
      </c>
      <c r="AD1041" s="1">
        <v>7.35</v>
      </c>
      <c r="AE1041" s="1" t="s">
        <v>93</v>
      </c>
      <c r="AF1041" s="1" t="s">
        <v>18643</v>
      </c>
      <c r="AG1041" s="1" t="s">
        <v>18644</v>
      </c>
      <c r="AH1041" s="1" t="s">
        <v>999</v>
      </c>
      <c r="AI1041" s="1" t="s">
        <v>131</v>
      </c>
      <c r="AJ1041" s="1">
        <v>64.16</v>
      </c>
      <c r="AK1041" s="1"/>
      <c r="AL1041" s="1" t="s">
        <v>18643</v>
      </c>
      <c r="AM1041" s="1" t="s">
        <v>18645</v>
      </c>
      <c r="AN1041" s="1" t="s">
        <v>456</v>
      </c>
      <c r="AO1041" s="1" t="s">
        <v>479</v>
      </c>
      <c r="AP1041" s="1">
        <v>57.6</v>
      </c>
      <c r="AQ1041" s="1"/>
      <c r="AR1041" s="1"/>
      <c r="AS1041" s="1"/>
      <c r="AT1041" s="1"/>
      <c r="AU1041" s="1"/>
      <c r="AV1041" s="1"/>
      <c r="AW1041" s="1"/>
      <c r="AX1041" s="1" t="s">
        <v>18646</v>
      </c>
      <c r="AY1041" s="1" t="s">
        <v>18647</v>
      </c>
      <c r="AZ1041" s="1" t="s">
        <v>201</v>
      </c>
      <c r="BA1041" s="1" t="s">
        <v>18648</v>
      </c>
      <c r="BB1041" s="1">
        <v>62.07</v>
      </c>
      <c r="BC1041" s="1"/>
      <c r="BD1041" s="1" t="s">
        <v>18646</v>
      </c>
      <c r="BE1041" s="1" t="s">
        <v>17333</v>
      </c>
      <c r="BF1041" s="1" t="s">
        <v>1090</v>
      </c>
      <c r="BG1041" s="1" t="s">
        <v>8434</v>
      </c>
      <c r="BH1041" s="1">
        <v>75.48</v>
      </c>
      <c r="BI1041" s="1"/>
      <c r="BJ1041" s="1" t="s">
        <v>734</v>
      </c>
      <c r="BK1041" s="1"/>
      <c r="BL1041" s="1"/>
      <c r="BM1041" s="1" t="s">
        <v>18649</v>
      </c>
      <c r="BN1041" s="1">
        <v>13</v>
      </c>
      <c r="BO1041" s="1" t="s">
        <v>18650</v>
      </c>
      <c r="BP1041" s="1" t="str">
        <f>HYPERLINK("https://nconnect.nicmar.ac.in/storage/profile/ProfilePhoto_P25707034_398276.jpg","Download")</f>
        <v>0</v>
      </c>
      <c r="BQ1041" s="3"/>
      <c r="BR1041" s="3"/>
    </row>
    <row r="1042" spans="1:70">
      <c r="A1042" s="1" t="s">
        <v>18164</v>
      </c>
      <c r="B1042" s="1" t="s">
        <v>1269</v>
      </c>
      <c r="C1042" s="1" t="s">
        <v>18651</v>
      </c>
      <c r="D1042" s="1" t="s">
        <v>6168</v>
      </c>
      <c r="E1042" s="1" t="s">
        <v>10087</v>
      </c>
      <c r="F1042" s="1" t="s">
        <v>13940</v>
      </c>
      <c r="G1042" s="1" t="s">
        <v>18652</v>
      </c>
      <c r="H1042" s="1" t="s">
        <v>18653</v>
      </c>
      <c r="I1042" s="1" t="s">
        <v>18654</v>
      </c>
      <c r="J1042" s="1">
        <v>9067032223</v>
      </c>
      <c r="K1042" s="1" t="s">
        <v>148</v>
      </c>
      <c r="L1042" s="1" t="s">
        <v>8904</v>
      </c>
      <c r="M1042" s="1" t="s">
        <v>81</v>
      </c>
      <c r="N1042" s="1" t="s">
        <v>18655</v>
      </c>
      <c r="O1042" s="1" t="s">
        <v>18656</v>
      </c>
      <c r="P1042" s="1" t="s">
        <v>1323</v>
      </c>
      <c r="Q1042" s="1" t="s">
        <v>18657</v>
      </c>
      <c r="R1042" s="1" t="s">
        <v>10087</v>
      </c>
      <c r="S1042" s="1">
        <v>9822396657</v>
      </c>
      <c r="T1042" s="1" t="s">
        <v>18658</v>
      </c>
      <c r="U1042" s="1" t="s">
        <v>3808</v>
      </c>
      <c r="V1042" s="1">
        <v>9021363301</v>
      </c>
      <c r="W1042" s="1" t="s">
        <v>18659</v>
      </c>
      <c r="X1042" s="1" t="s">
        <v>18660</v>
      </c>
      <c r="Y1042" s="1" t="s">
        <v>191</v>
      </c>
      <c r="Z1042" s="1" t="s">
        <v>92</v>
      </c>
      <c r="AA1042" s="1" t="s">
        <v>18661</v>
      </c>
      <c r="AB1042" s="1" t="s">
        <v>191</v>
      </c>
      <c r="AC1042" s="1" t="s">
        <v>92</v>
      </c>
      <c r="AD1042" s="1">
        <v>9.26</v>
      </c>
      <c r="AE1042" s="1" t="s">
        <v>93</v>
      </c>
      <c r="AF1042" s="1" t="s">
        <v>18662</v>
      </c>
      <c r="AG1042" s="1" t="s">
        <v>160</v>
      </c>
      <c r="AH1042" s="1" t="s">
        <v>97</v>
      </c>
      <c r="AI1042" s="1" t="s">
        <v>456</v>
      </c>
      <c r="AJ1042" s="1">
        <v>85.4</v>
      </c>
      <c r="AK1042" s="1"/>
      <c r="AL1042" s="1" t="s">
        <v>18663</v>
      </c>
      <c r="AM1042" s="1" t="s">
        <v>160</v>
      </c>
      <c r="AN1042" s="1" t="s">
        <v>1332</v>
      </c>
      <c r="AO1042" s="1" t="s">
        <v>457</v>
      </c>
      <c r="AP1042" s="1">
        <v>59.38</v>
      </c>
      <c r="AQ1042" s="1"/>
      <c r="AR1042" s="1"/>
      <c r="AS1042" s="1"/>
      <c r="AT1042" s="1"/>
      <c r="AU1042" s="1"/>
      <c r="AV1042" s="1"/>
      <c r="AW1042" s="1"/>
      <c r="AX1042" s="1" t="s">
        <v>361</v>
      </c>
      <c r="AY1042" s="1" t="s">
        <v>18664</v>
      </c>
      <c r="AZ1042" s="1" t="s">
        <v>18665</v>
      </c>
      <c r="BA1042" s="1" t="s">
        <v>590</v>
      </c>
      <c r="BB1042" s="1">
        <v>62.42</v>
      </c>
      <c r="BC1042" s="1">
        <v>7.01</v>
      </c>
      <c r="BD1042" s="1"/>
      <c r="BE1042" s="1"/>
      <c r="BF1042" s="1"/>
      <c r="BG1042" s="1"/>
      <c r="BH1042" s="1"/>
      <c r="BI1042" s="1"/>
      <c r="BJ1042" s="1" t="s">
        <v>18666</v>
      </c>
      <c r="BK1042" s="1" t="s">
        <v>18667</v>
      </c>
      <c r="BL1042" s="1" t="s">
        <v>2384</v>
      </c>
      <c r="BM1042" s="1" t="s">
        <v>18668</v>
      </c>
      <c r="BN1042" s="1">
        <v>24</v>
      </c>
      <c r="BO1042" s="1"/>
      <c r="BP1042" s="1" t="str">
        <f>HYPERLINK("https://nconnect.nicmar.ac.in/storage/profile/ProfilePhoto_P25707035_892731.jpg","Download")</f>
        <v>0</v>
      </c>
      <c r="BQ1042" s="3"/>
      <c r="BR1042" s="3"/>
    </row>
    <row r="1043" spans="1:70">
      <c r="A1043" s="1" t="s">
        <v>18164</v>
      </c>
      <c r="B1043" s="1" t="s">
        <v>1269</v>
      </c>
      <c r="C1043" s="1" t="s">
        <v>18669</v>
      </c>
      <c r="D1043" s="1" t="s">
        <v>7604</v>
      </c>
      <c r="E1043" s="1" t="s">
        <v>3547</v>
      </c>
      <c r="F1043" s="1" t="s">
        <v>18670</v>
      </c>
      <c r="G1043" s="1" t="s">
        <v>18671</v>
      </c>
      <c r="H1043" s="1" t="s">
        <v>18672</v>
      </c>
      <c r="I1043" s="1" t="s">
        <v>18673</v>
      </c>
      <c r="J1043" s="1">
        <v>9967448276</v>
      </c>
      <c r="K1043" s="1" t="s">
        <v>79</v>
      </c>
      <c r="L1043" s="1" t="s">
        <v>18674</v>
      </c>
      <c r="M1043" s="1" t="s">
        <v>81</v>
      </c>
      <c r="N1043" s="1" t="s">
        <v>6920</v>
      </c>
      <c r="O1043" s="1"/>
      <c r="P1043" s="1" t="s">
        <v>1278</v>
      </c>
      <c r="Q1043" s="1" t="s">
        <v>18675</v>
      </c>
      <c r="R1043" s="1" t="s">
        <v>18676</v>
      </c>
      <c r="S1043" s="1">
        <v>9867317957</v>
      </c>
      <c r="T1043" s="1" t="s">
        <v>7444</v>
      </c>
      <c r="U1043" s="1" t="s">
        <v>18677</v>
      </c>
      <c r="V1043" s="1">
        <v>9867043732</v>
      </c>
      <c r="W1043" s="1" t="s">
        <v>651</v>
      </c>
      <c r="X1043" s="1" t="s">
        <v>18678</v>
      </c>
      <c r="Y1043" s="1" t="s">
        <v>1018</v>
      </c>
      <c r="Z1043" s="1" t="s">
        <v>92</v>
      </c>
      <c r="AA1043" s="1" t="s">
        <v>18678</v>
      </c>
      <c r="AB1043" s="1" t="s">
        <v>1018</v>
      </c>
      <c r="AC1043" s="1" t="s">
        <v>92</v>
      </c>
      <c r="AD1043" s="1">
        <v>8.63</v>
      </c>
      <c r="AE1043" s="1" t="s">
        <v>93</v>
      </c>
      <c r="AF1043" s="1" t="s">
        <v>18679</v>
      </c>
      <c r="AG1043" s="1" t="s">
        <v>18680</v>
      </c>
      <c r="AH1043" s="1" t="s">
        <v>101</v>
      </c>
      <c r="AI1043" s="1" t="s">
        <v>409</v>
      </c>
      <c r="AJ1043" s="1">
        <v>81.8</v>
      </c>
      <c r="AK1043" s="1"/>
      <c r="AL1043" s="1" t="s">
        <v>18681</v>
      </c>
      <c r="AM1043" s="1" t="s">
        <v>160</v>
      </c>
      <c r="AN1043" s="1" t="s">
        <v>173</v>
      </c>
      <c r="AO1043" s="1" t="s">
        <v>504</v>
      </c>
      <c r="AP1043" s="1">
        <v>75.17</v>
      </c>
      <c r="AQ1043" s="1"/>
      <c r="AR1043" s="1"/>
      <c r="AS1043" s="1"/>
      <c r="AT1043" s="1"/>
      <c r="AU1043" s="1"/>
      <c r="AV1043" s="1"/>
      <c r="AW1043" s="1"/>
      <c r="AX1043" s="1" t="s">
        <v>253</v>
      </c>
      <c r="AY1043" s="1" t="s">
        <v>18682</v>
      </c>
      <c r="AZ1043" s="1" t="s">
        <v>897</v>
      </c>
      <c r="BA1043" s="1" t="s">
        <v>1361</v>
      </c>
      <c r="BB1043" s="1">
        <v>68.39</v>
      </c>
      <c r="BC1043" s="1">
        <v>7.62</v>
      </c>
      <c r="BD1043" s="1"/>
      <c r="BE1043" s="1"/>
      <c r="BF1043" s="1"/>
      <c r="BG1043" s="1"/>
      <c r="BH1043" s="1"/>
      <c r="BI1043" s="1"/>
      <c r="BJ1043" s="1" t="s">
        <v>18683</v>
      </c>
      <c r="BK1043" s="1"/>
      <c r="BL1043" s="1"/>
      <c r="BM1043" s="1" t="s">
        <v>18684</v>
      </c>
      <c r="BN1043" s="1">
        <v>8</v>
      </c>
      <c r="BO1043" s="1" t="s">
        <v>18685</v>
      </c>
      <c r="BP1043" s="1" t="str">
        <f>HYPERLINK("https://nconnect.nicmar.ac.in/storage/profile/ProfilePhoto_P25707036_319574.jpg","Download")</f>
        <v>0</v>
      </c>
      <c r="BQ1043" s="3"/>
      <c r="BR1043" s="3"/>
    </row>
    <row r="1044" spans="1:70">
      <c r="A1044" s="1" t="s">
        <v>18164</v>
      </c>
      <c r="B1044" s="1" t="s">
        <v>1269</v>
      </c>
      <c r="C1044" s="1" t="s">
        <v>18686</v>
      </c>
      <c r="D1044" s="1" t="s">
        <v>11693</v>
      </c>
      <c r="E1044" s="1" t="s">
        <v>13196</v>
      </c>
      <c r="F1044" s="1" t="s">
        <v>7882</v>
      </c>
      <c r="G1044" s="1" t="s">
        <v>18687</v>
      </c>
      <c r="H1044" s="1" t="s">
        <v>18688</v>
      </c>
      <c r="I1044" s="1" t="s">
        <v>18689</v>
      </c>
      <c r="J1044" s="1">
        <v>7768093156</v>
      </c>
      <c r="K1044" s="1" t="s">
        <v>79</v>
      </c>
      <c r="L1044" s="1" t="s">
        <v>13410</v>
      </c>
      <c r="M1044" s="1" t="s">
        <v>81</v>
      </c>
      <c r="N1044" s="1" t="s">
        <v>18690</v>
      </c>
      <c r="O1044" s="1"/>
      <c r="P1044" s="1" t="s">
        <v>1298</v>
      </c>
      <c r="Q1044" s="1" t="s">
        <v>18691</v>
      </c>
      <c r="R1044" s="1" t="s">
        <v>18692</v>
      </c>
      <c r="S1044" s="1">
        <v>7972194378</v>
      </c>
      <c r="T1044" s="1" t="s">
        <v>12070</v>
      </c>
      <c r="U1044" s="1" t="s">
        <v>18693</v>
      </c>
      <c r="V1044" s="1">
        <v>8007342244</v>
      </c>
      <c r="W1044" s="1" t="s">
        <v>12070</v>
      </c>
      <c r="X1044" s="1" t="s">
        <v>18694</v>
      </c>
      <c r="Y1044" s="1" t="s">
        <v>2790</v>
      </c>
      <c r="Z1044" s="1" t="s">
        <v>92</v>
      </c>
      <c r="AA1044" s="1" t="s">
        <v>18694</v>
      </c>
      <c r="AB1044" s="1" t="s">
        <v>2790</v>
      </c>
      <c r="AC1044" s="1" t="s">
        <v>92</v>
      </c>
      <c r="AD1044" s="1">
        <v>9.44</v>
      </c>
      <c r="AE1044" s="1" t="s">
        <v>93</v>
      </c>
      <c r="AF1044" s="1" t="s">
        <v>18695</v>
      </c>
      <c r="AG1044" s="1" t="s">
        <v>18696</v>
      </c>
      <c r="AH1044" s="1" t="s">
        <v>383</v>
      </c>
      <c r="AI1044" s="1" t="s">
        <v>1307</v>
      </c>
      <c r="AJ1044" s="1">
        <v>68.83</v>
      </c>
      <c r="AK1044" s="1"/>
      <c r="AL1044" s="1" t="s">
        <v>18697</v>
      </c>
      <c r="AM1044" s="1" t="s">
        <v>160</v>
      </c>
      <c r="AN1044" s="1" t="s">
        <v>310</v>
      </c>
      <c r="AO1044" s="1" t="s">
        <v>941</v>
      </c>
      <c r="AP1044" s="1">
        <v>65.08</v>
      </c>
      <c r="AQ1044" s="1"/>
      <c r="AR1044" s="1"/>
      <c r="AS1044" s="1"/>
      <c r="AT1044" s="1"/>
      <c r="AU1044" s="1"/>
      <c r="AV1044" s="1"/>
      <c r="AW1044" s="1"/>
      <c r="AX1044" s="1" t="s">
        <v>2691</v>
      </c>
      <c r="AY1044" s="1" t="s">
        <v>18698</v>
      </c>
      <c r="AZ1044" s="1" t="s">
        <v>506</v>
      </c>
      <c r="BA1044" s="1" t="s">
        <v>413</v>
      </c>
      <c r="BB1044" s="1">
        <v>82.4</v>
      </c>
      <c r="BC1044" s="1">
        <v>8.74</v>
      </c>
      <c r="BD1044" s="1"/>
      <c r="BE1044" s="1"/>
      <c r="BF1044" s="1"/>
      <c r="BG1044" s="1"/>
      <c r="BH1044" s="1"/>
      <c r="BI1044" s="1"/>
      <c r="BJ1044" s="1" t="s">
        <v>18699</v>
      </c>
      <c r="BK1044" s="1"/>
      <c r="BL1044" s="1"/>
      <c r="BM1044" s="1" t="s">
        <v>18700</v>
      </c>
      <c r="BN1044" s="1">
        <v>22</v>
      </c>
      <c r="BO1044" s="1" t="s">
        <v>18701</v>
      </c>
      <c r="BP1044" s="1" t="str">
        <f>HYPERLINK("https://nconnect.nicmar.ac.in/storage/profile/ProfilePhoto_P25707037_629387.jpg","Download")</f>
        <v>0</v>
      </c>
      <c r="BQ1044" s="3"/>
      <c r="BR1044" s="3"/>
    </row>
    <row r="1045" spans="1:70">
      <c r="A1045" s="1" t="s">
        <v>18164</v>
      </c>
      <c r="B1045" s="1" t="s">
        <v>1269</v>
      </c>
      <c r="C1045" s="1" t="s">
        <v>18702</v>
      </c>
      <c r="D1045" s="1" t="s">
        <v>18703</v>
      </c>
      <c r="E1045" s="1"/>
      <c r="F1045" s="1" t="s">
        <v>18704</v>
      </c>
      <c r="G1045" s="1" t="s">
        <v>18705</v>
      </c>
      <c r="H1045" s="1" t="s">
        <v>18706</v>
      </c>
      <c r="I1045" s="1" t="s">
        <v>18707</v>
      </c>
      <c r="J1045" s="1">
        <v>6289954906</v>
      </c>
      <c r="K1045" s="1" t="s">
        <v>148</v>
      </c>
      <c r="L1045" s="1" t="s">
        <v>15052</v>
      </c>
      <c r="M1045" s="1" t="s">
        <v>81</v>
      </c>
      <c r="N1045" s="1" t="s">
        <v>14662</v>
      </c>
      <c r="O1045" s="1"/>
      <c r="P1045" s="1" t="s">
        <v>1323</v>
      </c>
      <c r="Q1045" s="1" t="s">
        <v>18708</v>
      </c>
      <c r="R1045" s="1" t="s">
        <v>18709</v>
      </c>
      <c r="S1045" s="1">
        <v>9682557989</v>
      </c>
      <c r="T1045" s="1" t="s">
        <v>18710</v>
      </c>
      <c r="U1045" s="1" t="s">
        <v>18711</v>
      </c>
      <c r="V1045" s="1">
        <v>9123944987</v>
      </c>
      <c r="W1045" s="1" t="s">
        <v>273</v>
      </c>
      <c r="X1045" s="1" t="s">
        <v>18712</v>
      </c>
      <c r="Y1045" s="1" t="s">
        <v>4088</v>
      </c>
      <c r="Z1045" s="1" t="s">
        <v>783</v>
      </c>
      <c r="AA1045" s="1" t="s">
        <v>18712</v>
      </c>
      <c r="AB1045" s="1" t="s">
        <v>4088</v>
      </c>
      <c r="AC1045" s="1" t="s">
        <v>783</v>
      </c>
      <c r="AD1045" s="1">
        <v>8.45</v>
      </c>
      <c r="AE1045" s="1" t="s">
        <v>93</v>
      </c>
      <c r="AF1045" s="1" t="s">
        <v>18713</v>
      </c>
      <c r="AG1045" s="1" t="s">
        <v>18714</v>
      </c>
      <c r="AH1045" s="1" t="s">
        <v>162</v>
      </c>
      <c r="AI1045" s="1" t="s">
        <v>165</v>
      </c>
      <c r="AJ1045" s="1">
        <v>77.9</v>
      </c>
      <c r="AK1045" s="1">
        <v>8.2</v>
      </c>
      <c r="AL1045" s="1" t="s">
        <v>18715</v>
      </c>
      <c r="AM1045" s="1" t="s">
        <v>18716</v>
      </c>
      <c r="AN1045" s="1" t="s">
        <v>166</v>
      </c>
      <c r="AO1045" s="1" t="s">
        <v>433</v>
      </c>
      <c r="AP1045" s="1">
        <v>65.2</v>
      </c>
      <c r="AQ1045" s="1"/>
      <c r="AR1045" s="1"/>
      <c r="AS1045" s="1"/>
      <c r="AT1045" s="1"/>
      <c r="AU1045" s="1"/>
      <c r="AV1045" s="1"/>
      <c r="AW1045" s="1"/>
      <c r="AX1045" s="1" t="s">
        <v>850</v>
      </c>
      <c r="AY1045" s="1" t="s">
        <v>18717</v>
      </c>
      <c r="AZ1045" s="1" t="s">
        <v>1712</v>
      </c>
      <c r="BA1045" s="1" t="s">
        <v>1939</v>
      </c>
      <c r="BB1045" s="1">
        <v>69.4</v>
      </c>
      <c r="BC1045" s="1"/>
      <c r="BD1045" s="1"/>
      <c r="BE1045" s="1"/>
      <c r="BF1045" s="1"/>
      <c r="BG1045" s="1"/>
      <c r="BH1045" s="1"/>
      <c r="BI1045" s="1"/>
      <c r="BJ1045" s="1" t="s">
        <v>18718</v>
      </c>
      <c r="BK1045" s="1"/>
      <c r="BL1045" s="1"/>
      <c r="BM1045" s="1"/>
      <c r="BN1045" s="1"/>
      <c r="BO1045" s="1"/>
      <c r="BP1045" s="1" t="str">
        <f>HYPERLINK("https://nconnect.nicmar.ac.in/storage/profile/ProfilePhoto_P25707038_634579.jpg","Download")</f>
        <v>0</v>
      </c>
      <c r="BQ1045" s="3"/>
      <c r="BR1045" s="3"/>
    </row>
    <row r="1046" spans="1:70">
      <c r="A1046" s="1" t="s">
        <v>18164</v>
      </c>
      <c r="B1046" s="1" t="s">
        <v>1269</v>
      </c>
      <c r="C1046" s="1" t="s">
        <v>18719</v>
      </c>
      <c r="D1046" s="1" t="s">
        <v>18720</v>
      </c>
      <c r="E1046" s="1"/>
      <c r="F1046" s="1" t="s">
        <v>18721</v>
      </c>
      <c r="G1046" s="1" t="s">
        <v>18722</v>
      </c>
      <c r="H1046" s="1" t="s">
        <v>18723</v>
      </c>
      <c r="I1046" s="1" t="s">
        <v>18724</v>
      </c>
      <c r="J1046" s="1">
        <v>9115775205</v>
      </c>
      <c r="K1046" s="1" t="s">
        <v>148</v>
      </c>
      <c r="L1046" s="1" t="s">
        <v>18725</v>
      </c>
      <c r="M1046" s="1" t="s">
        <v>81</v>
      </c>
      <c r="N1046" s="1" t="s">
        <v>18726</v>
      </c>
      <c r="O1046" s="1"/>
      <c r="P1046" s="1" t="s">
        <v>1298</v>
      </c>
      <c r="Q1046" s="1" t="s">
        <v>18727</v>
      </c>
      <c r="R1046" s="1" t="s">
        <v>18728</v>
      </c>
      <c r="S1046" s="1">
        <v>9811018149</v>
      </c>
      <c r="T1046" s="1" t="s">
        <v>18729</v>
      </c>
      <c r="U1046" s="1" t="s">
        <v>18730</v>
      </c>
      <c r="V1046" s="1">
        <v>9115711925</v>
      </c>
      <c r="W1046" s="1" t="s">
        <v>122</v>
      </c>
      <c r="X1046" s="1" t="s">
        <v>18731</v>
      </c>
      <c r="Y1046" s="1" t="s">
        <v>2550</v>
      </c>
      <c r="Z1046" s="1" t="s">
        <v>722</v>
      </c>
      <c r="AA1046" s="1" t="s">
        <v>18732</v>
      </c>
      <c r="AB1046" s="1" t="s">
        <v>7207</v>
      </c>
      <c r="AC1046" s="1" t="s">
        <v>722</v>
      </c>
      <c r="AD1046" s="1">
        <v>8.84</v>
      </c>
      <c r="AE1046" s="1" t="s">
        <v>93</v>
      </c>
      <c r="AF1046" s="1" t="s">
        <v>18733</v>
      </c>
      <c r="AG1046" s="1" t="s">
        <v>18734</v>
      </c>
      <c r="AH1046" s="1" t="s">
        <v>1307</v>
      </c>
      <c r="AI1046" s="1" t="s">
        <v>308</v>
      </c>
      <c r="AJ1046" s="1">
        <v>75</v>
      </c>
      <c r="AK1046" s="1"/>
      <c r="AL1046" s="1" t="s">
        <v>18733</v>
      </c>
      <c r="AM1046" s="1" t="s">
        <v>18734</v>
      </c>
      <c r="AN1046" s="1" t="s">
        <v>1834</v>
      </c>
      <c r="AO1046" s="1" t="s">
        <v>506</v>
      </c>
      <c r="AP1046" s="1">
        <v>89.2</v>
      </c>
      <c r="AQ1046" s="1"/>
      <c r="AR1046" s="1"/>
      <c r="AS1046" s="1"/>
      <c r="AT1046" s="1"/>
      <c r="AU1046" s="1"/>
      <c r="AV1046" s="1"/>
      <c r="AW1046" s="1"/>
      <c r="AX1046" s="1" t="s">
        <v>18735</v>
      </c>
      <c r="AY1046" s="1" t="s">
        <v>18736</v>
      </c>
      <c r="AZ1046" s="1" t="s">
        <v>1407</v>
      </c>
      <c r="BA1046" s="1" t="s">
        <v>413</v>
      </c>
      <c r="BB1046" s="1">
        <v>80</v>
      </c>
      <c r="BC1046" s="1">
        <v>8</v>
      </c>
      <c r="BD1046" s="1"/>
      <c r="BE1046" s="1"/>
      <c r="BF1046" s="1"/>
      <c r="BG1046" s="1"/>
      <c r="BH1046" s="1"/>
      <c r="BI1046" s="1"/>
      <c r="BJ1046" s="1" t="s">
        <v>18737</v>
      </c>
      <c r="BK1046" s="1"/>
      <c r="BL1046" s="1"/>
      <c r="BM1046" s="1" t="s">
        <v>18738</v>
      </c>
      <c r="BN1046" s="1">
        <v>30</v>
      </c>
      <c r="BO1046" s="1" t="s">
        <v>18739</v>
      </c>
      <c r="BP1046" s="1" t="str">
        <f>HYPERLINK("https://nconnect.nicmar.ac.in/storage/profile/ProfilePhoto_P25707039_752349.jpg","Download")</f>
        <v>0</v>
      </c>
      <c r="BQ1046" s="3"/>
      <c r="BR1046" s="3"/>
    </row>
    <row r="1047" spans="1:70">
      <c r="A1047" s="1" t="s">
        <v>1113</v>
      </c>
      <c r="B1047" s="1" t="s">
        <v>1269</v>
      </c>
      <c r="C1047" s="1" t="s">
        <v>18740</v>
      </c>
      <c r="D1047" s="1" t="s">
        <v>18741</v>
      </c>
      <c r="E1047" s="1"/>
      <c r="F1047" s="1" t="s">
        <v>596</v>
      </c>
      <c r="G1047" s="1" t="s">
        <v>18742</v>
      </c>
      <c r="H1047" s="1" t="s">
        <v>18743</v>
      </c>
      <c r="I1047" s="1" t="s">
        <v>18744</v>
      </c>
      <c r="J1047" s="1">
        <v>9361199118</v>
      </c>
      <c r="K1047" s="1" t="s">
        <v>79</v>
      </c>
      <c r="L1047" s="1" t="s">
        <v>9983</v>
      </c>
      <c r="M1047" s="1" t="s">
        <v>81</v>
      </c>
      <c r="N1047" s="1" t="s">
        <v>18745</v>
      </c>
      <c r="O1047" s="1"/>
      <c r="P1047" s="1" t="s">
        <v>6640</v>
      </c>
      <c r="Q1047" s="1" t="s">
        <v>18746</v>
      </c>
      <c r="R1047" s="1" t="s">
        <v>18747</v>
      </c>
      <c r="S1047" s="1">
        <v>9443007880</v>
      </c>
      <c r="T1047" s="1" t="s">
        <v>18748</v>
      </c>
      <c r="U1047" s="1" t="s">
        <v>18749</v>
      </c>
      <c r="V1047" s="1">
        <v>9486273559</v>
      </c>
      <c r="W1047" s="1" t="s">
        <v>273</v>
      </c>
      <c r="X1047" s="1" t="s">
        <v>18750</v>
      </c>
      <c r="Y1047" s="1" t="s">
        <v>9690</v>
      </c>
      <c r="Z1047" s="1" t="s">
        <v>1377</v>
      </c>
      <c r="AA1047" s="1" t="s">
        <v>18750</v>
      </c>
      <c r="AB1047" s="1" t="s">
        <v>9690</v>
      </c>
      <c r="AC1047" s="1" t="s">
        <v>1377</v>
      </c>
      <c r="AD1047" s="1">
        <v>8.37</v>
      </c>
      <c r="AE1047" s="1" t="s">
        <v>93</v>
      </c>
      <c r="AF1047" s="1" t="s">
        <v>18751</v>
      </c>
      <c r="AG1047" s="1" t="s">
        <v>18752</v>
      </c>
      <c r="AH1047" s="1" t="s">
        <v>96</v>
      </c>
      <c r="AI1047" s="1" t="s">
        <v>503</v>
      </c>
      <c r="AJ1047" s="1">
        <v>97</v>
      </c>
      <c r="AK1047" s="1"/>
      <c r="AL1047" s="1" t="s">
        <v>18751</v>
      </c>
      <c r="AM1047" s="1" t="s">
        <v>18752</v>
      </c>
      <c r="AN1047" s="1" t="s">
        <v>162</v>
      </c>
      <c r="AO1047" s="1" t="s">
        <v>195</v>
      </c>
      <c r="AP1047" s="1">
        <v>59</v>
      </c>
      <c r="AQ1047" s="1"/>
      <c r="AR1047" s="1"/>
      <c r="AS1047" s="1"/>
      <c r="AT1047" s="1"/>
      <c r="AU1047" s="1"/>
      <c r="AV1047" s="1"/>
      <c r="AW1047" s="1"/>
      <c r="AX1047" s="1" t="s">
        <v>1381</v>
      </c>
      <c r="AY1047" s="1" t="s">
        <v>18753</v>
      </c>
      <c r="AZ1047" s="1" t="s">
        <v>636</v>
      </c>
      <c r="BA1047" s="1" t="s">
        <v>229</v>
      </c>
      <c r="BB1047" s="1">
        <v>73</v>
      </c>
      <c r="BC1047" s="1">
        <v>7.33</v>
      </c>
      <c r="BD1047" s="1"/>
      <c r="BE1047" s="1"/>
      <c r="BF1047" s="1"/>
      <c r="BG1047" s="1"/>
      <c r="BH1047" s="1"/>
      <c r="BI1047" s="1"/>
      <c r="BJ1047" s="1" t="s">
        <v>18754</v>
      </c>
      <c r="BK1047" s="1"/>
      <c r="BL1047" s="1"/>
      <c r="BM1047" s="1" t="s">
        <v>18755</v>
      </c>
      <c r="BN1047" s="1">
        <v>17</v>
      </c>
      <c r="BO1047" s="1" t="s">
        <v>18756</v>
      </c>
      <c r="BP1047" s="1" t="str">
        <f>HYPERLINK("https://nconnect.nicmar.ac.in/storage/profile/ProfilePhoto_P25706001_497368.jpg","Download")</f>
        <v>0</v>
      </c>
      <c r="BQ1047" s="3"/>
      <c r="BR1047" s="3"/>
    </row>
    <row r="1048" spans="1:70">
      <c r="A1048" s="1" t="s">
        <v>1113</v>
      </c>
      <c r="B1048" s="1" t="s">
        <v>1269</v>
      </c>
      <c r="C1048" s="1" t="s">
        <v>18757</v>
      </c>
      <c r="D1048" s="1" t="s">
        <v>14131</v>
      </c>
      <c r="E1048" s="1" t="s">
        <v>8828</v>
      </c>
      <c r="F1048" s="1" t="s">
        <v>8829</v>
      </c>
      <c r="G1048" s="1" t="s">
        <v>18758</v>
      </c>
      <c r="H1048" s="1" t="s">
        <v>18759</v>
      </c>
      <c r="I1048" s="1" t="s">
        <v>18760</v>
      </c>
      <c r="J1048" s="1">
        <v>8767396335</v>
      </c>
      <c r="K1048" s="1" t="s">
        <v>148</v>
      </c>
      <c r="L1048" s="1" t="s">
        <v>8833</v>
      </c>
      <c r="M1048" s="1" t="s">
        <v>81</v>
      </c>
      <c r="N1048" s="1" t="s">
        <v>18761</v>
      </c>
      <c r="O1048" s="1"/>
      <c r="P1048" s="1" t="s">
        <v>1323</v>
      </c>
      <c r="Q1048" s="1" t="s">
        <v>18762</v>
      </c>
      <c r="R1048" s="1" t="s">
        <v>8828</v>
      </c>
      <c r="S1048" s="1">
        <v>8999722459</v>
      </c>
      <c r="T1048" s="1" t="s">
        <v>18763</v>
      </c>
      <c r="U1048" s="1" t="s">
        <v>6939</v>
      </c>
      <c r="V1048" s="1">
        <v>8788934800</v>
      </c>
      <c r="W1048" s="1" t="s">
        <v>156</v>
      </c>
      <c r="X1048" s="1" t="s">
        <v>18764</v>
      </c>
      <c r="Y1048" s="1" t="s">
        <v>995</v>
      </c>
      <c r="Z1048" s="1" t="s">
        <v>92</v>
      </c>
      <c r="AA1048" s="1" t="s">
        <v>18764</v>
      </c>
      <c r="AB1048" s="1" t="s">
        <v>995</v>
      </c>
      <c r="AC1048" s="1" t="s">
        <v>92</v>
      </c>
      <c r="AD1048" s="1">
        <v>7.85</v>
      </c>
      <c r="AE1048" s="1" t="s">
        <v>93</v>
      </c>
      <c r="AF1048" s="1" t="s">
        <v>8837</v>
      </c>
      <c r="AG1048" s="1" t="s">
        <v>16481</v>
      </c>
      <c r="AH1048" s="1" t="s">
        <v>479</v>
      </c>
      <c r="AI1048" s="1" t="s">
        <v>101</v>
      </c>
      <c r="AJ1048" s="1">
        <v>54.6</v>
      </c>
      <c r="AK1048" s="1">
        <v>5.74</v>
      </c>
      <c r="AL1048" s="1"/>
      <c r="AM1048" s="1"/>
      <c r="AN1048" s="1"/>
      <c r="AO1048" s="1"/>
      <c r="AP1048" s="1"/>
      <c r="AQ1048" s="1"/>
      <c r="AR1048" s="1" t="s">
        <v>434</v>
      </c>
      <c r="AS1048" s="1" t="s">
        <v>8839</v>
      </c>
      <c r="AT1048" s="1" t="s">
        <v>636</v>
      </c>
      <c r="AU1048" s="1" t="s">
        <v>436</v>
      </c>
      <c r="AV1048" s="1">
        <v>94.11</v>
      </c>
      <c r="AW1048" s="1">
        <v>9.66</v>
      </c>
      <c r="AX1048" s="1" t="s">
        <v>253</v>
      </c>
      <c r="AY1048" s="1" t="s">
        <v>18765</v>
      </c>
      <c r="AZ1048" s="1" t="s">
        <v>1051</v>
      </c>
      <c r="BA1048" s="1" t="s">
        <v>944</v>
      </c>
      <c r="BB1048" s="1">
        <v>58.96</v>
      </c>
      <c r="BC1048" s="1">
        <v>6.48</v>
      </c>
      <c r="BD1048" s="1"/>
      <c r="BE1048" s="1"/>
      <c r="BF1048" s="1"/>
      <c r="BG1048" s="1"/>
      <c r="BH1048" s="1"/>
      <c r="BI1048" s="1"/>
      <c r="BJ1048" s="1" t="s">
        <v>7161</v>
      </c>
      <c r="BK1048" s="1"/>
      <c r="BL1048" s="1"/>
      <c r="BM1048" s="1" t="s">
        <v>18766</v>
      </c>
      <c r="BN1048" s="1">
        <v>12</v>
      </c>
      <c r="BO1048" s="1" t="s">
        <v>18767</v>
      </c>
      <c r="BP1048" s="1" t="str">
        <f>HYPERLINK("https://nconnect.nicmar.ac.in/storage/profile/ProfilePhoto_P25706002_764851.jpg","Download")</f>
        <v>0</v>
      </c>
      <c r="BQ1048" s="3"/>
      <c r="BR1048" s="3"/>
    </row>
    <row r="1049" spans="1:70">
      <c r="A1049" s="1" t="s">
        <v>1113</v>
      </c>
      <c r="B1049" s="1" t="s">
        <v>1269</v>
      </c>
      <c r="C1049" s="1" t="s">
        <v>18768</v>
      </c>
      <c r="D1049" s="1" t="s">
        <v>443</v>
      </c>
      <c r="E1049" s="1" t="s">
        <v>7974</v>
      </c>
      <c r="F1049" s="1" t="s">
        <v>4344</v>
      </c>
      <c r="G1049" s="1" t="s">
        <v>18769</v>
      </c>
      <c r="H1049" s="1" t="s">
        <v>18770</v>
      </c>
      <c r="I1049" s="1" t="s">
        <v>18771</v>
      </c>
      <c r="J1049" s="1">
        <v>8714062285</v>
      </c>
      <c r="K1049" s="1" t="s">
        <v>79</v>
      </c>
      <c r="L1049" s="1" t="s">
        <v>18772</v>
      </c>
      <c r="M1049" s="1" t="s">
        <v>81</v>
      </c>
      <c r="N1049" s="1" t="s">
        <v>18773</v>
      </c>
      <c r="O1049" s="1"/>
      <c r="P1049" s="1" t="s">
        <v>1766</v>
      </c>
      <c r="Q1049" s="1" t="s">
        <v>18774</v>
      </c>
      <c r="R1049" s="1" t="s">
        <v>18775</v>
      </c>
      <c r="S1049" s="1">
        <v>8129913184</v>
      </c>
      <c r="T1049" s="1" t="s">
        <v>14616</v>
      </c>
      <c r="U1049" s="1" t="s">
        <v>18776</v>
      </c>
      <c r="V1049" s="1">
        <v>7994274119</v>
      </c>
      <c r="W1049" s="1" t="s">
        <v>122</v>
      </c>
      <c r="X1049" s="1" t="s">
        <v>18777</v>
      </c>
      <c r="Y1049" s="1" t="s">
        <v>5679</v>
      </c>
      <c r="Z1049" s="1" t="s">
        <v>125</v>
      </c>
      <c r="AA1049" s="1" t="s">
        <v>18777</v>
      </c>
      <c r="AB1049" s="1" t="s">
        <v>5679</v>
      </c>
      <c r="AC1049" s="1" t="s">
        <v>125</v>
      </c>
      <c r="AD1049" s="1">
        <v>9.38</v>
      </c>
      <c r="AE1049" s="1" t="s">
        <v>93</v>
      </c>
      <c r="AF1049" s="1" t="s">
        <v>18778</v>
      </c>
      <c r="AG1049" s="1" t="s">
        <v>18779</v>
      </c>
      <c r="AH1049" s="1" t="s">
        <v>457</v>
      </c>
      <c r="AI1049" s="1" t="s">
        <v>308</v>
      </c>
      <c r="AJ1049" s="1">
        <v>91.4</v>
      </c>
      <c r="AK1049" s="1"/>
      <c r="AL1049" s="1" t="s">
        <v>18778</v>
      </c>
      <c r="AM1049" s="1" t="s">
        <v>18779</v>
      </c>
      <c r="AN1049" s="1" t="s">
        <v>360</v>
      </c>
      <c r="AO1049" s="1" t="s">
        <v>506</v>
      </c>
      <c r="AP1049" s="1">
        <v>95.2</v>
      </c>
      <c r="AQ1049" s="1"/>
      <c r="AR1049" s="1"/>
      <c r="AS1049" s="1"/>
      <c r="AT1049" s="1"/>
      <c r="AU1049" s="1"/>
      <c r="AV1049" s="1"/>
      <c r="AW1049" s="1"/>
      <c r="AX1049" s="1" t="s">
        <v>18780</v>
      </c>
      <c r="AY1049" s="1" t="s">
        <v>18781</v>
      </c>
      <c r="AZ1049" s="1" t="s">
        <v>897</v>
      </c>
      <c r="BA1049" s="1" t="s">
        <v>1584</v>
      </c>
      <c r="BB1049" s="1">
        <v>69.4</v>
      </c>
      <c r="BC1049" s="1">
        <v>6.94</v>
      </c>
      <c r="BD1049" s="1"/>
      <c r="BE1049" s="1"/>
      <c r="BF1049" s="1"/>
      <c r="BG1049" s="1"/>
      <c r="BH1049" s="1"/>
      <c r="BI1049" s="1"/>
      <c r="BJ1049" s="1" t="s">
        <v>1135</v>
      </c>
      <c r="BK1049" s="1"/>
      <c r="BL1049" s="1"/>
      <c r="BM1049" s="1" t="s">
        <v>18782</v>
      </c>
      <c r="BN1049" s="1">
        <v>22</v>
      </c>
      <c r="BO1049" s="1"/>
      <c r="BP1049" s="1" t="str">
        <f>HYPERLINK("https://nconnect.nicmar.ac.in/storage/profile/ProfilePhoto_P25706003_729314.jpg","Download")</f>
        <v>0</v>
      </c>
      <c r="BQ1049" s="3"/>
      <c r="BR1049" s="3"/>
    </row>
    <row r="1050" spans="1:70">
      <c r="A1050" s="1" t="s">
        <v>1113</v>
      </c>
      <c r="B1050" s="1" t="s">
        <v>1269</v>
      </c>
      <c r="C1050" s="1" t="s">
        <v>18783</v>
      </c>
      <c r="D1050" s="1" t="s">
        <v>512</v>
      </c>
      <c r="E1050" s="1"/>
      <c r="F1050" s="1" t="s">
        <v>18784</v>
      </c>
      <c r="G1050" s="1" t="s">
        <v>18785</v>
      </c>
      <c r="H1050" s="1" t="s">
        <v>18786</v>
      </c>
      <c r="I1050" s="1" t="s">
        <v>18787</v>
      </c>
      <c r="J1050" s="1">
        <v>8319054647</v>
      </c>
      <c r="K1050" s="1" t="s">
        <v>148</v>
      </c>
      <c r="L1050" s="1" t="s">
        <v>18788</v>
      </c>
      <c r="M1050" s="1" t="s">
        <v>81</v>
      </c>
      <c r="N1050" s="1" t="s">
        <v>2008</v>
      </c>
      <c r="O1050" s="1" t="s">
        <v>18789</v>
      </c>
      <c r="P1050" s="1" t="s">
        <v>1278</v>
      </c>
      <c r="Q1050" s="1" t="s">
        <v>18790</v>
      </c>
      <c r="R1050" s="1" t="s">
        <v>18791</v>
      </c>
      <c r="S1050" s="1">
        <v>9752475429</v>
      </c>
      <c r="T1050" s="1" t="s">
        <v>16643</v>
      </c>
      <c r="U1050" s="1" t="s">
        <v>18792</v>
      </c>
      <c r="V1050" s="1">
        <v>8718097538</v>
      </c>
      <c r="W1050" s="1" t="s">
        <v>89</v>
      </c>
      <c r="X1050" s="1" t="s">
        <v>18793</v>
      </c>
      <c r="Y1050" s="1" t="s">
        <v>191</v>
      </c>
      <c r="Z1050" s="1" t="s">
        <v>92</v>
      </c>
      <c r="AA1050" s="1" t="s">
        <v>18794</v>
      </c>
      <c r="AB1050" s="1" t="s">
        <v>6088</v>
      </c>
      <c r="AC1050" s="1" t="s">
        <v>1237</v>
      </c>
      <c r="AD1050" s="1">
        <v>9.91</v>
      </c>
      <c r="AE1050" s="1" t="s">
        <v>93</v>
      </c>
      <c r="AF1050" s="1" t="s">
        <v>18795</v>
      </c>
      <c r="AG1050" s="1" t="s">
        <v>9727</v>
      </c>
      <c r="AH1050" s="1" t="s">
        <v>279</v>
      </c>
      <c r="AI1050" s="1" t="s">
        <v>165</v>
      </c>
      <c r="AJ1050" s="1">
        <v>95</v>
      </c>
      <c r="AK1050" s="1">
        <v>10</v>
      </c>
      <c r="AL1050" s="1" t="s">
        <v>18795</v>
      </c>
      <c r="AM1050" s="1" t="s">
        <v>9727</v>
      </c>
      <c r="AN1050" s="1" t="s">
        <v>1307</v>
      </c>
      <c r="AO1050" s="1" t="s">
        <v>308</v>
      </c>
      <c r="AP1050" s="1">
        <v>87.6</v>
      </c>
      <c r="AQ1050" s="1"/>
      <c r="AR1050" s="1"/>
      <c r="AS1050" s="1"/>
      <c r="AT1050" s="1"/>
      <c r="AU1050" s="1"/>
      <c r="AV1050" s="1"/>
      <c r="AW1050" s="1"/>
      <c r="AX1050" s="1" t="s">
        <v>12387</v>
      </c>
      <c r="AY1050" s="1" t="s">
        <v>18796</v>
      </c>
      <c r="AZ1050" s="1" t="s">
        <v>310</v>
      </c>
      <c r="BA1050" s="1" t="s">
        <v>1939</v>
      </c>
      <c r="BB1050" s="1">
        <v>85.7</v>
      </c>
      <c r="BC1050" s="1">
        <v>9.07</v>
      </c>
      <c r="BD1050" s="1"/>
      <c r="BE1050" s="1"/>
      <c r="BF1050" s="1"/>
      <c r="BG1050" s="1"/>
      <c r="BH1050" s="1"/>
      <c r="BI1050" s="1"/>
      <c r="BJ1050" s="1" t="s">
        <v>18797</v>
      </c>
      <c r="BK1050" s="1" t="s">
        <v>18798</v>
      </c>
      <c r="BL1050" s="1" t="s">
        <v>639</v>
      </c>
      <c r="BM1050" s="1" t="s">
        <v>18799</v>
      </c>
      <c r="BN1050" s="1">
        <v>22</v>
      </c>
      <c r="BO1050" s="1" t="s">
        <v>18800</v>
      </c>
      <c r="BP1050" s="1" t="str">
        <f>HYPERLINK("https://nconnect.nicmar.ac.in/storage/profile/ProfilePhoto_P25706004_745293.jpg","Download")</f>
        <v>0</v>
      </c>
      <c r="BQ1050" s="3"/>
      <c r="BR1050" s="3"/>
    </row>
    <row r="1051" spans="1:70">
      <c r="A1051" s="1" t="s">
        <v>1113</v>
      </c>
      <c r="B1051" s="1" t="s">
        <v>1269</v>
      </c>
      <c r="C1051" s="1" t="s">
        <v>18801</v>
      </c>
      <c r="D1051" s="1" t="s">
        <v>7686</v>
      </c>
      <c r="E1051" s="1"/>
      <c r="F1051" s="1" t="s">
        <v>18802</v>
      </c>
      <c r="G1051" s="1" t="s">
        <v>18803</v>
      </c>
      <c r="H1051" s="1" t="s">
        <v>18804</v>
      </c>
      <c r="I1051" s="1" t="s">
        <v>18805</v>
      </c>
      <c r="J1051" s="1">
        <v>9606169448</v>
      </c>
      <c r="K1051" s="1" t="s">
        <v>148</v>
      </c>
      <c r="L1051" s="1" t="s">
        <v>18806</v>
      </c>
      <c r="M1051" s="1" t="s">
        <v>81</v>
      </c>
      <c r="N1051" s="1" t="s">
        <v>11494</v>
      </c>
      <c r="O1051" s="1"/>
      <c r="P1051" s="1" t="s">
        <v>1298</v>
      </c>
      <c r="Q1051" s="1" t="s">
        <v>18807</v>
      </c>
      <c r="R1051" s="1" t="s">
        <v>18808</v>
      </c>
      <c r="S1051" s="1">
        <v>9606169448</v>
      </c>
      <c r="T1051" s="1" t="s">
        <v>10476</v>
      </c>
      <c r="U1051" s="1" t="s">
        <v>18809</v>
      </c>
      <c r="V1051" s="1">
        <v>8970752252</v>
      </c>
      <c r="W1051" s="1" t="s">
        <v>7426</v>
      </c>
      <c r="X1051" s="1" t="s">
        <v>18810</v>
      </c>
      <c r="Y1051" s="1" t="s">
        <v>18811</v>
      </c>
      <c r="Z1051" s="1" t="s">
        <v>1084</v>
      </c>
      <c r="AA1051" s="1" t="s">
        <v>18812</v>
      </c>
      <c r="AB1051" s="1" t="s">
        <v>18811</v>
      </c>
      <c r="AC1051" s="1" t="s">
        <v>1084</v>
      </c>
      <c r="AD1051" s="1">
        <v>8.74</v>
      </c>
      <c r="AE1051" s="1" t="s">
        <v>93</v>
      </c>
      <c r="AF1051" s="1" t="s">
        <v>18813</v>
      </c>
      <c r="AG1051" s="1" t="s">
        <v>2749</v>
      </c>
      <c r="AH1051" s="1" t="s">
        <v>165</v>
      </c>
      <c r="AI1051" s="1" t="s">
        <v>1307</v>
      </c>
      <c r="AJ1051" s="1">
        <v>89.12</v>
      </c>
      <c r="AK1051" s="1">
        <v>0</v>
      </c>
      <c r="AL1051" s="1" t="s">
        <v>18813</v>
      </c>
      <c r="AM1051" s="1" t="s">
        <v>4797</v>
      </c>
      <c r="AN1051" s="1" t="s">
        <v>101</v>
      </c>
      <c r="AO1051" s="1" t="s">
        <v>941</v>
      </c>
      <c r="AP1051" s="1">
        <v>83.8</v>
      </c>
      <c r="AQ1051" s="1">
        <v>0</v>
      </c>
      <c r="AR1051" s="1"/>
      <c r="AS1051" s="1"/>
      <c r="AT1051" s="1"/>
      <c r="AU1051" s="1"/>
      <c r="AV1051" s="1"/>
      <c r="AW1051" s="1"/>
      <c r="AX1051" s="1" t="s">
        <v>18256</v>
      </c>
      <c r="AY1051" s="1" t="s">
        <v>18814</v>
      </c>
      <c r="AZ1051" s="1" t="s">
        <v>363</v>
      </c>
      <c r="BA1051" s="1" t="s">
        <v>1134</v>
      </c>
      <c r="BB1051" s="1">
        <v>70.86</v>
      </c>
      <c r="BC1051" s="1">
        <v>7.1</v>
      </c>
      <c r="BD1051" s="1"/>
      <c r="BE1051" s="1"/>
      <c r="BF1051" s="1"/>
      <c r="BG1051" s="1"/>
      <c r="BH1051" s="1"/>
      <c r="BI1051" s="1"/>
      <c r="BJ1051" s="1" t="s">
        <v>18815</v>
      </c>
      <c r="BK1051" s="1"/>
      <c r="BL1051" s="1"/>
      <c r="BM1051" s="1" t="s">
        <v>18816</v>
      </c>
      <c r="BN1051" s="1">
        <v>13</v>
      </c>
      <c r="BO1051" s="1"/>
      <c r="BP1051" s="1" t="str">
        <f>HYPERLINK("https://nconnect.nicmar.ac.in/storage/profile/ProfilePhoto_P25706005_369741.jpg","Download")</f>
        <v>0</v>
      </c>
      <c r="BQ1051" s="3"/>
      <c r="BR1051" s="3"/>
    </row>
    <row r="1052" spans="1:70">
      <c r="A1052" s="1" t="s">
        <v>1113</v>
      </c>
      <c r="B1052" s="1" t="s">
        <v>1269</v>
      </c>
      <c r="C1052" s="1" t="s">
        <v>18817</v>
      </c>
      <c r="D1052" s="1" t="s">
        <v>18818</v>
      </c>
      <c r="E1052" s="1" t="s">
        <v>18819</v>
      </c>
      <c r="F1052" s="1" t="s">
        <v>10309</v>
      </c>
      <c r="G1052" s="1" t="s">
        <v>18820</v>
      </c>
      <c r="H1052" s="1" t="s">
        <v>18821</v>
      </c>
      <c r="I1052" s="1" t="s">
        <v>18822</v>
      </c>
      <c r="J1052" s="1">
        <v>8928234154</v>
      </c>
      <c r="K1052" s="1" t="s">
        <v>79</v>
      </c>
      <c r="L1052" s="1" t="s">
        <v>18823</v>
      </c>
      <c r="M1052" s="1" t="s">
        <v>81</v>
      </c>
      <c r="N1052" s="1" t="s">
        <v>18824</v>
      </c>
      <c r="O1052" s="1"/>
      <c r="P1052" s="1" t="s">
        <v>1323</v>
      </c>
      <c r="Q1052" s="1" t="s">
        <v>18825</v>
      </c>
      <c r="R1052" s="1" t="s">
        <v>18826</v>
      </c>
      <c r="S1052" s="1">
        <v>8097449154</v>
      </c>
      <c r="T1052" s="1" t="s">
        <v>18827</v>
      </c>
      <c r="U1052" s="1" t="s">
        <v>18828</v>
      </c>
      <c r="V1052" s="1">
        <v>8850515128</v>
      </c>
      <c r="W1052" s="1" t="s">
        <v>2094</v>
      </c>
      <c r="X1052" s="1" t="s">
        <v>18829</v>
      </c>
      <c r="Y1052" s="1" t="s">
        <v>995</v>
      </c>
      <c r="Z1052" s="1" t="s">
        <v>92</v>
      </c>
      <c r="AA1052" s="1" t="s">
        <v>18829</v>
      </c>
      <c r="AB1052" s="1" t="s">
        <v>995</v>
      </c>
      <c r="AC1052" s="1" t="s">
        <v>92</v>
      </c>
      <c r="AD1052" s="1">
        <v>8.99</v>
      </c>
      <c r="AE1052" s="1" t="s">
        <v>93</v>
      </c>
      <c r="AF1052" s="1" t="s">
        <v>18830</v>
      </c>
      <c r="AG1052" s="1" t="s">
        <v>544</v>
      </c>
      <c r="AH1052" s="1" t="s">
        <v>165</v>
      </c>
      <c r="AI1052" s="1" t="s">
        <v>281</v>
      </c>
      <c r="AJ1052" s="1">
        <v>74.4</v>
      </c>
      <c r="AK1052" s="1"/>
      <c r="AL1052" s="1"/>
      <c r="AM1052" s="1"/>
      <c r="AN1052" s="1"/>
      <c r="AO1052" s="1"/>
      <c r="AP1052" s="1"/>
      <c r="AQ1052" s="1"/>
      <c r="AR1052" s="1" t="s">
        <v>18831</v>
      </c>
      <c r="AS1052" s="1" t="s">
        <v>18832</v>
      </c>
      <c r="AT1052" s="1" t="s">
        <v>636</v>
      </c>
      <c r="AU1052" s="1" t="s">
        <v>436</v>
      </c>
      <c r="AV1052" s="1">
        <v>87.72</v>
      </c>
      <c r="AW1052" s="1"/>
      <c r="AX1052" s="1" t="s">
        <v>1024</v>
      </c>
      <c r="AY1052" s="1" t="s">
        <v>18833</v>
      </c>
      <c r="AZ1052" s="1" t="s">
        <v>436</v>
      </c>
      <c r="BA1052" s="1" t="s">
        <v>413</v>
      </c>
      <c r="BB1052" s="1">
        <v>69.07</v>
      </c>
      <c r="BC1052" s="1">
        <v>7.83</v>
      </c>
      <c r="BD1052" s="1"/>
      <c r="BE1052" s="1"/>
      <c r="BF1052" s="1"/>
      <c r="BG1052" s="1"/>
      <c r="BH1052" s="1"/>
      <c r="BI1052" s="1"/>
      <c r="BJ1052" s="1" t="s">
        <v>18834</v>
      </c>
      <c r="BK1052" s="1" t="s">
        <v>18835</v>
      </c>
      <c r="BL1052" s="1" t="s">
        <v>287</v>
      </c>
      <c r="BM1052" s="1" t="s">
        <v>18836</v>
      </c>
      <c r="BN1052" s="1">
        <v>9</v>
      </c>
      <c r="BO1052" s="1"/>
      <c r="BP1052" s="1" t="str">
        <f>HYPERLINK("https://nconnect.nicmar.ac.in/storage/profile/ProfilePhoto_P25706006_148672.jpg","Download")</f>
        <v>0</v>
      </c>
      <c r="BQ1052" s="3"/>
      <c r="BR1052" s="3"/>
    </row>
    <row r="1053" spans="1:70">
      <c r="A1053" s="1" t="s">
        <v>1113</v>
      </c>
      <c r="B1053" s="1" t="s">
        <v>1269</v>
      </c>
      <c r="C1053" s="1" t="s">
        <v>18837</v>
      </c>
      <c r="D1053" s="1" t="s">
        <v>1925</v>
      </c>
      <c r="E1053" s="1" t="s">
        <v>4823</v>
      </c>
      <c r="F1053" s="1" t="s">
        <v>18838</v>
      </c>
      <c r="G1053" s="1" t="s">
        <v>18839</v>
      </c>
      <c r="H1053" s="1" t="s">
        <v>18840</v>
      </c>
      <c r="I1053" s="1" t="s">
        <v>18841</v>
      </c>
      <c r="J1053" s="1">
        <v>6301180283</v>
      </c>
      <c r="K1053" s="1" t="s">
        <v>79</v>
      </c>
      <c r="L1053" s="1" t="s">
        <v>18842</v>
      </c>
      <c r="M1053" s="1" t="s">
        <v>81</v>
      </c>
      <c r="N1053" s="1" t="s">
        <v>2276</v>
      </c>
      <c r="O1053" s="1"/>
      <c r="P1053" s="1" t="s">
        <v>3498</v>
      </c>
      <c r="Q1053" s="1" t="s">
        <v>18843</v>
      </c>
      <c r="R1053" s="1" t="s">
        <v>18844</v>
      </c>
      <c r="S1053" s="1">
        <v>9959680113</v>
      </c>
      <c r="T1053" s="1" t="s">
        <v>18845</v>
      </c>
      <c r="U1053" s="1" t="s">
        <v>18846</v>
      </c>
      <c r="V1053" s="1">
        <v>9000605652</v>
      </c>
      <c r="W1053" s="1" t="s">
        <v>651</v>
      </c>
      <c r="X1053" s="1" t="s">
        <v>18847</v>
      </c>
      <c r="Y1053" s="1" t="s">
        <v>608</v>
      </c>
      <c r="Z1053" s="1" t="s">
        <v>609</v>
      </c>
      <c r="AA1053" s="1" t="s">
        <v>18847</v>
      </c>
      <c r="AB1053" s="1" t="s">
        <v>608</v>
      </c>
      <c r="AC1053" s="1" t="s">
        <v>609</v>
      </c>
      <c r="AD1053" s="1">
        <v>9.5</v>
      </c>
      <c r="AE1053" s="1" t="s">
        <v>93</v>
      </c>
      <c r="AF1053" s="1" t="s">
        <v>18848</v>
      </c>
      <c r="AG1053" s="1" t="s">
        <v>18849</v>
      </c>
      <c r="AH1053" s="1" t="s">
        <v>96</v>
      </c>
      <c r="AI1053" s="1" t="s">
        <v>97</v>
      </c>
      <c r="AJ1053" s="1">
        <v>87</v>
      </c>
      <c r="AK1053" s="1">
        <v>8.7</v>
      </c>
      <c r="AL1053" s="1" t="s">
        <v>612</v>
      </c>
      <c r="AM1053" s="1" t="s">
        <v>613</v>
      </c>
      <c r="AN1053" s="1" t="s">
        <v>162</v>
      </c>
      <c r="AO1053" s="1" t="s">
        <v>195</v>
      </c>
      <c r="AP1053" s="1">
        <v>87.1</v>
      </c>
      <c r="AQ1053" s="1">
        <v>8.71</v>
      </c>
      <c r="AR1053" s="1"/>
      <c r="AS1053" s="1"/>
      <c r="AT1053" s="1"/>
      <c r="AU1053" s="1"/>
      <c r="AV1053" s="1"/>
      <c r="AW1053" s="1"/>
      <c r="AX1053" s="1" t="s">
        <v>614</v>
      </c>
      <c r="AY1053" s="1" t="s">
        <v>18850</v>
      </c>
      <c r="AZ1053" s="1" t="s">
        <v>165</v>
      </c>
      <c r="BA1053" s="1" t="s">
        <v>507</v>
      </c>
      <c r="BB1053" s="1">
        <v>57.9</v>
      </c>
      <c r="BC1053" s="1">
        <v>6.29</v>
      </c>
      <c r="BD1053" s="1"/>
      <c r="BE1053" s="1"/>
      <c r="BF1053" s="1"/>
      <c r="BG1053" s="1"/>
      <c r="BH1053" s="1"/>
      <c r="BI1053" s="1"/>
      <c r="BJ1053" s="1" t="s">
        <v>18851</v>
      </c>
      <c r="BK1053" s="1" t="s">
        <v>18852</v>
      </c>
      <c r="BL1053" s="1" t="s">
        <v>3246</v>
      </c>
      <c r="BM1053" s="1" t="s">
        <v>18853</v>
      </c>
      <c r="BN1053" s="1">
        <v>9</v>
      </c>
      <c r="BO1053" s="1"/>
      <c r="BP1053" s="1" t="str">
        <f>HYPERLINK("https://nconnect.nicmar.ac.in/storage/profile/ProfilePhoto_P25706007_459328.jpg","Download")</f>
        <v>0</v>
      </c>
      <c r="BQ1053" s="3"/>
      <c r="BR1053" s="3"/>
    </row>
    <row r="1054" spans="1:70">
      <c r="A1054" s="1" t="s">
        <v>1113</v>
      </c>
      <c r="B1054" s="1" t="s">
        <v>1269</v>
      </c>
      <c r="C1054" s="1" t="s">
        <v>18854</v>
      </c>
      <c r="D1054" s="1" t="s">
        <v>18855</v>
      </c>
      <c r="E1054" s="1"/>
      <c r="F1054" s="1" t="s">
        <v>18856</v>
      </c>
      <c r="G1054" s="1" t="s">
        <v>18857</v>
      </c>
      <c r="H1054" s="1" t="s">
        <v>18858</v>
      </c>
      <c r="I1054" s="1" t="s">
        <v>18859</v>
      </c>
      <c r="J1054" s="1">
        <v>9715208646</v>
      </c>
      <c r="K1054" s="1" t="s">
        <v>79</v>
      </c>
      <c r="L1054" s="1" t="s">
        <v>11661</v>
      </c>
      <c r="M1054" s="1" t="s">
        <v>81</v>
      </c>
      <c r="N1054" s="1" t="s">
        <v>3139</v>
      </c>
      <c r="O1054" s="1"/>
      <c r="P1054" s="1" t="s">
        <v>1323</v>
      </c>
      <c r="Q1054" s="1" t="s">
        <v>18860</v>
      </c>
      <c r="R1054" s="1" t="s">
        <v>7641</v>
      </c>
      <c r="S1054" s="1">
        <v>8838717125</v>
      </c>
      <c r="T1054" s="1" t="s">
        <v>4199</v>
      </c>
      <c r="U1054" s="1" t="s">
        <v>18861</v>
      </c>
      <c r="V1054" s="1">
        <v>7305110126</v>
      </c>
      <c r="W1054" s="1" t="s">
        <v>156</v>
      </c>
      <c r="X1054" s="1" t="s">
        <v>18862</v>
      </c>
      <c r="Y1054" s="1" t="s">
        <v>18863</v>
      </c>
      <c r="Z1054" s="1" t="s">
        <v>1377</v>
      </c>
      <c r="AA1054" s="1" t="s">
        <v>18862</v>
      </c>
      <c r="AB1054" s="1" t="s">
        <v>18863</v>
      </c>
      <c r="AC1054" s="1" t="s">
        <v>1377</v>
      </c>
      <c r="AD1054" s="1">
        <v>8.32</v>
      </c>
      <c r="AE1054" s="1" t="s">
        <v>93</v>
      </c>
      <c r="AF1054" s="1" t="s">
        <v>18864</v>
      </c>
      <c r="AG1054" s="1" t="s">
        <v>307</v>
      </c>
      <c r="AH1054" s="1" t="s">
        <v>162</v>
      </c>
      <c r="AI1054" s="1" t="s">
        <v>165</v>
      </c>
      <c r="AJ1054" s="1">
        <v>84.5</v>
      </c>
      <c r="AK1054" s="1">
        <v>9</v>
      </c>
      <c r="AL1054" s="1" t="s">
        <v>18865</v>
      </c>
      <c r="AM1054" s="1" t="s">
        <v>307</v>
      </c>
      <c r="AN1054" s="1" t="s">
        <v>101</v>
      </c>
      <c r="AO1054" s="1" t="s">
        <v>308</v>
      </c>
      <c r="AP1054" s="1">
        <v>73.6</v>
      </c>
      <c r="AQ1054" s="1">
        <v>7.74</v>
      </c>
      <c r="AR1054" s="1"/>
      <c r="AS1054" s="1"/>
      <c r="AT1054" s="1"/>
      <c r="AU1054" s="1"/>
      <c r="AV1054" s="1"/>
      <c r="AW1054" s="1"/>
      <c r="AX1054" s="1" t="s">
        <v>18866</v>
      </c>
      <c r="AY1054" s="1" t="s">
        <v>18867</v>
      </c>
      <c r="AZ1054" s="1" t="s">
        <v>310</v>
      </c>
      <c r="BA1054" s="1" t="s">
        <v>682</v>
      </c>
      <c r="BB1054" s="1">
        <v>80</v>
      </c>
      <c r="BC1054" s="1">
        <v>8</v>
      </c>
      <c r="BD1054" s="1"/>
      <c r="BE1054" s="1"/>
      <c r="BF1054" s="1"/>
      <c r="BG1054" s="1"/>
      <c r="BH1054" s="1"/>
      <c r="BI1054" s="1"/>
      <c r="BJ1054" s="1" t="s">
        <v>7161</v>
      </c>
      <c r="BK1054" s="1"/>
      <c r="BL1054" s="1"/>
      <c r="BM1054" s="1" t="s">
        <v>18868</v>
      </c>
      <c r="BN1054" s="1">
        <v>8</v>
      </c>
      <c r="BO1054" s="1"/>
      <c r="BP1054" s="1" t="str">
        <f>HYPERLINK("https://nconnect.nicmar.ac.in/storage/profile/ProfilePhoto_P25706008_824173.jpg","Download")</f>
        <v>0</v>
      </c>
      <c r="BQ1054" s="3"/>
      <c r="BR1054" s="3"/>
    </row>
    <row r="1055" spans="1:70">
      <c r="A1055" s="1" t="s">
        <v>1113</v>
      </c>
      <c r="B1055" s="1" t="s">
        <v>1269</v>
      </c>
      <c r="C1055" s="1" t="s">
        <v>18869</v>
      </c>
      <c r="D1055" s="1" t="s">
        <v>7659</v>
      </c>
      <c r="E1055" s="1" t="s">
        <v>3868</v>
      </c>
      <c r="F1055" s="1" t="s">
        <v>18870</v>
      </c>
      <c r="G1055" s="1" t="s">
        <v>18871</v>
      </c>
      <c r="H1055" s="1" t="s">
        <v>18872</v>
      </c>
      <c r="I1055" s="1" t="s">
        <v>18873</v>
      </c>
      <c r="J1055" s="1">
        <v>9373022458</v>
      </c>
      <c r="K1055" s="1" t="s">
        <v>148</v>
      </c>
      <c r="L1055" s="1" t="s">
        <v>7673</v>
      </c>
      <c r="M1055" s="1" t="s">
        <v>81</v>
      </c>
      <c r="N1055" s="1" t="s">
        <v>18824</v>
      </c>
      <c r="O1055" s="1" t="s">
        <v>18874</v>
      </c>
      <c r="P1055" s="1" t="s">
        <v>1323</v>
      </c>
      <c r="Q1055" s="1" t="s">
        <v>18875</v>
      </c>
      <c r="R1055" s="1" t="s">
        <v>18876</v>
      </c>
      <c r="S1055" s="1">
        <v>8550987765</v>
      </c>
      <c r="T1055" s="1" t="s">
        <v>18877</v>
      </c>
      <c r="U1055" s="1" t="s">
        <v>18878</v>
      </c>
      <c r="V1055" s="1">
        <v>7875757765</v>
      </c>
      <c r="W1055" s="1" t="s">
        <v>18879</v>
      </c>
      <c r="X1055" s="1" t="s">
        <v>18880</v>
      </c>
      <c r="Y1055" s="1" t="s">
        <v>191</v>
      </c>
      <c r="Z1055" s="1" t="s">
        <v>92</v>
      </c>
      <c r="AA1055" s="1" t="s">
        <v>18881</v>
      </c>
      <c r="AB1055" s="1" t="s">
        <v>191</v>
      </c>
      <c r="AC1055" s="1" t="s">
        <v>92</v>
      </c>
      <c r="AD1055" s="1">
        <v>9.69</v>
      </c>
      <c r="AE1055" s="1" t="s">
        <v>93</v>
      </c>
      <c r="AF1055" s="1" t="s">
        <v>18882</v>
      </c>
      <c r="AG1055" s="1" t="s">
        <v>18883</v>
      </c>
      <c r="AH1055" s="1" t="s">
        <v>101</v>
      </c>
      <c r="AI1055" s="1" t="s">
        <v>433</v>
      </c>
      <c r="AJ1055" s="1">
        <v>89.6</v>
      </c>
      <c r="AK1055" s="1"/>
      <c r="AL1055" s="1" t="s">
        <v>18884</v>
      </c>
      <c r="AM1055" s="1" t="s">
        <v>18883</v>
      </c>
      <c r="AN1055" s="1" t="s">
        <v>173</v>
      </c>
      <c r="AO1055" s="1" t="s">
        <v>436</v>
      </c>
      <c r="AP1055" s="1">
        <v>88.67</v>
      </c>
      <c r="AQ1055" s="1"/>
      <c r="AR1055" s="1"/>
      <c r="AS1055" s="1"/>
      <c r="AT1055" s="1"/>
      <c r="AU1055" s="1"/>
      <c r="AV1055" s="1"/>
      <c r="AW1055" s="1"/>
      <c r="AX1055" s="1" t="s">
        <v>18885</v>
      </c>
      <c r="AY1055" s="1" t="s">
        <v>18886</v>
      </c>
      <c r="AZ1055" s="1" t="s">
        <v>897</v>
      </c>
      <c r="BA1055" s="1" t="s">
        <v>1361</v>
      </c>
      <c r="BB1055" s="1">
        <v>76.19</v>
      </c>
      <c r="BC1055" s="1">
        <v>8.02</v>
      </c>
      <c r="BD1055" s="1"/>
      <c r="BE1055" s="1"/>
      <c r="BF1055" s="1"/>
      <c r="BG1055" s="1"/>
      <c r="BH1055" s="1"/>
      <c r="BI1055" s="1"/>
      <c r="BJ1055" s="1" t="s">
        <v>18887</v>
      </c>
      <c r="BK1055" s="1"/>
      <c r="BL1055" s="1"/>
      <c r="BM1055" s="1" t="s">
        <v>18888</v>
      </c>
      <c r="BN1055" s="1">
        <v>21</v>
      </c>
      <c r="BO1055" s="1" t="s">
        <v>18889</v>
      </c>
      <c r="BP1055" s="1" t="str">
        <f>HYPERLINK("https://nconnect.nicmar.ac.in/storage/profile/ProfilePhoto_P25706009_795423.jpg","Download")</f>
        <v>0</v>
      </c>
      <c r="BQ1055" s="3"/>
      <c r="BR1055" s="3"/>
    </row>
    <row r="1056" spans="1:70">
      <c r="A1056" s="1" t="s">
        <v>1113</v>
      </c>
      <c r="B1056" s="1" t="s">
        <v>1269</v>
      </c>
      <c r="C1056" s="1" t="s">
        <v>18890</v>
      </c>
      <c r="D1056" s="1" t="s">
        <v>17100</v>
      </c>
      <c r="E1056" s="1"/>
      <c r="F1056" s="1" t="s">
        <v>18891</v>
      </c>
      <c r="G1056" s="1" t="s">
        <v>18892</v>
      </c>
      <c r="H1056" s="1" t="s">
        <v>18893</v>
      </c>
      <c r="I1056" s="1" t="s">
        <v>18894</v>
      </c>
      <c r="J1056" s="1">
        <v>9168339222</v>
      </c>
      <c r="K1056" s="1" t="s">
        <v>148</v>
      </c>
      <c r="L1056" s="1" t="s">
        <v>18895</v>
      </c>
      <c r="M1056" s="1" t="s">
        <v>81</v>
      </c>
      <c r="N1056" s="1" t="s">
        <v>18896</v>
      </c>
      <c r="O1056" s="1" t="s">
        <v>18897</v>
      </c>
      <c r="P1056" s="1" t="s">
        <v>2507</v>
      </c>
      <c r="Q1056" s="1" t="s">
        <v>18898</v>
      </c>
      <c r="R1056" s="1" t="s">
        <v>18899</v>
      </c>
      <c r="S1056" s="1">
        <v>9730753535</v>
      </c>
      <c r="T1056" s="1" t="s">
        <v>763</v>
      </c>
      <c r="U1056" s="1" t="s">
        <v>18900</v>
      </c>
      <c r="V1056" s="1">
        <v>9168339222</v>
      </c>
      <c r="W1056" s="1" t="s">
        <v>18901</v>
      </c>
      <c r="X1056" s="1" t="s">
        <v>18902</v>
      </c>
      <c r="Y1056" s="1" t="s">
        <v>191</v>
      </c>
      <c r="Z1056" s="1" t="s">
        <v>92</v>
      </c>
      <c r="AA1056" s="1" t="s">
        <v>18902</v>
      </c>
      <c r="AB1056" s="1" t="s">
        <v>191</v>
      </c>
      <c r="AC1056" s="1" t="s">
        <v>92</v>
      </c>
      <c r="AD1056" s="1">
        <v>9.43</v>
      </c>
      <c r="AE1056" s="1" t="s">
        <v>93</v>
      </c>
      <c r="AF1056" s="1" t="s">
        <v>18903</v>
      </c>
      <c r="AG1056" s="1" t="s">
        <v>18904</v>
      </c>
      <c r="AH1056" s="1" t="s">
        <v>433</v>
      </c>
      <c r="AI1056" s="1" t="s">
        <v>173</v>
      </c>
      <c r="AJ1056" s="1">
        <v>96.6</v>
      </c>
      <c r="AK1056" s="1"/>
      <c r="AL1056" s="1" t="s">
        <v>18905</v>
      </c>
      <c r="AM1056" s="1" t="s">
        <v>18906</v>
      </c>
      <c r="AN1056" s="1" t="s">
        <v>920</v>
      </c>
      <c r="AO1056" s="1" t="s">
        <v>284</v>
      </c>
      <c r="AP1056" s="1">
        <v>94.5</v>
      </c>
      <c r="AQ1056" s="1"/>
      <c r="AR1056" s="1"/>
      <c r="AS1056" s="1"/>
      <c r="AT1056" s="1"/>
      <c r="AU1056" s="1"/>
      <c r="AV1056" s="1"/>
      <c r="AW1056" s="1"/>
      <c r="AX1056" s="1" t="s">
        <v>361</v>
      </c>
      <c r="AY1056" s="1" t="s">
        <v>1130</v>
      </c>
      <c r="AZ1056" s="1" t="s">
        <v>481</v>
      </c>
      <c r="BA1056" s="1" t="s">
        <v>1361</v>
      </c>
      <c r="BB1056" s="1">
        <v>85.52</v>
      </c>
      <c r="BC1056" s="1">
        <v>9.21</v>
      </c>
      <c r="BD1056" s="1"/>
      <c r="BE1056" s="1"/>
      <c r="BF1056" s="1"/>
      <c r="BG1056" s="1"/>
      <c r="BH1056" s="1"/>
      <c r="BI1056" s="1"/>
      <c r="BJ1056" s="1" t="s">
        <v>18907</v>
      </c>
      <c r="BK1056" s="1"/>
      <c r="BL1056" s="1"/>
      <c r="BM1056" s="1" t="s">
        <v>18908</v>
      </c>
      <c r="BN1056" s="1">
        <v>8</v>
      </c>
      <c r="BO1056" s="1"/>
      <c r="BP1056" s="1" t="str">
        <f>HYPERLINK("https://nconnect.nicmar.ac.in/storage/profile/ProfilePhoto_P25706010_137249.jpg","Download")</f>
        <v>0</v>
      </c>
      <c r="BQ1056" s="3"/>
      <c r="BR1056" s="3"/>
    </row>
    <row r="1057" spans="1:70">
      <c r="A1057" s="1" t="s">
        <v>1113</v>
      </c>
      <c r="B1057" s="1" t="s">
        <v>1269</v>
      </c>
      <c r="C1057" s="1" t="s">
        <v>18909</v>
      </c>
      <c r="D1057" s="1" t="s">
        <v>417</v>
      </c>
      <c r="E1057" s="1" t="s">
        <v>1455</v>
      </c>
      <c r="F1057" s="1" t="s">
        <v>18910</v>
      </c>
      <c r="G1057" s="1" t="s">
        <v>18911</v>
      </c>
      <c r="H1057" s="1" t="s">
        <v>18912</v>
      </c>
      <c r="I1057" s="1" t="s">
        <v>18913</v>
      </c>
      <c r="J1057" s="1">
        <v>7709765680</v>
      </c>
      <c r="K1057" s="1" t="s">
        <v>148</v>
      </c>
      <c r="L1057" s="1" t="s">
        <v>5516</v>
      </c>
      <c r="M1057" s="1" t="s">
        <v>81</v>
      </c>
      <c r="N1057" s="1" t="s">
        <v>1930</v>
      </c>
      <c r="O1057" s="1"/>
      <c r="P1057" s="1" t="s">
        <v>1323</v>
      </c>
      <c r="Q1057" s="1" t="s">
        <v>18914</v>
      </c>
      <c r="R1057" s="1" t="s">
        <v>18915</v>
      </c>
      <c r="S1057" s="1">
        <v>9881461032</v>
      </c>
      <c r="T1057" s="1" t="s">
        <v>120</v>
      </c>
      <c r="U1057" s="1" t="s">
        <v>18916</v>
      </c>
      <c r="V1057" s="1">
        <v>9881461031</v>
      </c>
      <c r="W1057" s="1" t="s">
        <v>763</v>
      </c>
      <c r="X1057" s="1" t="s">
        <v>18917</v>
      </c>
      <c r="Y1057" s="1" t="s">
        <v>191</v>
      </c>
      <c r="Z1057" s="1" t="s">
        <v>92</v>
      </c>
      <c r="AA1057" s="1" t="s">
        <v>18917</v>
      </c>
      <c r="AB1057" s="1" t="s">
        <v>191</v>
      </c>
      <c r="AC1057" s="1" t="s">
        <v>92</v>
      </c>
      <c r="AD1057" s="1">
        <v>8.31</v>
      </c>
      <c r="AE1057" s="1" t="s">
        <v>93</v>
      </c>
      <c r="AF1057" s="1" t="s">
        <v>18918</v>
      </c>
      <c r="AG1057" s="1" t="s">
        <v>18919</v>
      </c>
      <c r="AH1057" s="1" t="s">
        <v>503</v>
      </c>
      <c r="AI1057" s="1" t="s">
        <v>527</v>
      </c>
      <c r="AJ1057" s="1">
        <v>85.5</v>
      </c>
      <c r="AK1057" s="1">
        <v>9</v>
      </c>
      <c r="AL1057" s="1" t="s">
        <v>18920</v>
      </c>
      <c r="AM1057" s="1" t="s">
        <v>18921</v>
      </c>
      <c r="AN1057" s="1" t="s">
        <v>383</v>
      </c>
      <c r="AO1057" s="1" t="s">
        <v>101</v>
      </c>
      <c r="AP1057" s="1">
        <v>65.23</v>
      </c>
      <c r="AQ1057" s="1"/>
      <c r="AR1057" s="1"/>
      <c r="AS1057" s="1"/>
      <c r="AT1057" s="1"/>
      <c r="AU1057" s="1"/>
      <c r="AV1057" s="1"/>
      <c r="AW1057" s="1"/>
      <c r="AX1057" s="1" t="s">
        <v>18922</v>
      </c>
      <c r="AY1057" s="1" t="s">
        <v>18923</v>
      </c>
      <c r="AZ1057" s="1" t="s">
        <v>201</v>
      </c>
      <c r="BA1057" s="1" t="s">
        <v>1939</v>
      </c>
      <c r="BB1057" s="1">
        <v>67.2</v>
      </c>
      <c r="BC1057" s="1">
        <v>7.03</v>
      </c>
      <c r="BD1057" s="1"/>
      <c r="BE1057" s="1"/>
      <c r="BF1057" s="1"/>
      <c r="BG1057" s="1"/>
      <c r="BH1057" s="1"/>
      <c r="BI1057" s="1"/>
      <c r="BJ1057" s="1" t="s">
        <v>18924</v>
      </c>
      <c r="BK1057" s="1"/>
      <c r="BL1057" s="1"/>
      <c r="BM1057" s="1" t="s">
        <v>18925</v>
      </c>
      <c r="BN1057" s="1">
        <v>30</v>
      </c>
      <c r="BO1057" s="1" t="s">
        <v>18926</v>
      </c>
      <c r="BP1057" s="1" t="str">
        <f>HYPERLINK("https://nconnect.nicmar.ac.in/storage/profile/ProfilePhoto_P25706011_687321.jpg","Download")</f>
        <v>0</v>
      </c>
      <c r="BQ1057" s="3"/>
      <c r="BR1057" s="3"/>
    </row>
    <row r="1058" spans="1:70">
      <c r="A1058" s="1" t="s">
        <v>1113</v>
      </c>
      <c r="B1058" s="1" t="s">
        <v>1269</v>
      </c>
      <c r="C1058" s="1" t="s">
        <v>18927</v>
      </c>
      <c r="D1058" s="1" t="s">
        <v>816</v>
      </c>
      <c r="E1058" s="1"/>
      <c r="F1058" s="1" t="s">
        <v>18928</v>
      </c>
      <c r="G1058" s="1" t="s">
        <v>18929</v>
      </c>
      <c r="H1058" s="1" t="s">
        <v>18930</v>
      </c>
      <c r="I1058" s="1" t="s">
        <v>18931</v>
      </c>
      <c r="J1058" s="1">
        <v>8928716199</v>
      </c>
      <c r="K1058" s="1" t="s">
        <v>79</v>
      </c>
      <c r="L1058" s="1" t="s">
        <v>18932</v>
      </c>
      <c r="M1058" s="1" t="s">
        <v>81</v>
      </c>
      <c r="N1058" s="1" t="s">
        <v>82</v>
      </c>
      <c r="O1058" s="1" t="s">
        <v>18933</v>
      </c>
      <c r="P1058" s="1" t="s">
        <v>1278</v>
      </c>
      <c r="Q1058" s="1" t="s">
        <v>18934</v>
      </c>
      <c r="R1058" s="1" t="s">
        <v>18935</v>
      </c>
      <c r="S1058" s="1">
        <v>8591610630</v>
      </c>
      <c r="T1058" s="1" t="s">
        <v>122</v>
      </c>
      <c r="U1058" s="1" t="s">
        <v>18936</v>
      </c>
      <c r="V1058" s="1">
        <v>7506955528</v>
      </c>
      <c r="W1058" s="1" t="s">
        <v>122</v>
      </c>
      <c r="X1058" s="1" t="s">
        <v>18937</v>
      </c>
      <c r="Y1058" s="1" t="s">
        <v>766</v>
      </c>
      <c r="Z1058" s="1" t="s">
        <v>92</v>
      </c>
      <c r="AA1058" s="1" t="s">
        <v>18937</v>
      </c>
      <c r="AB1058" s="1" t="s">
        <v>766</v>
      </c>
      <c r="AC1058" s="1" t="s">
        <v>92</v>
      </c>
      <c r="AD1058" s="1">
        <v>9.76</v>
      </c>
      <c r="AE1058" s="1" t="s">
        <v>93</v>
      </c>
      <c r="AF1058" s="1" t="s">
        <v>18938</v>
      </c>
      <c r="AG1058" s="1" t="s">
        <v>476</v>
      </c>
      <c r="AH1058" s="1" t="s">
        <v>101</v>
      </c>
      <c r="AI1058" s="1" t="s">
        <v>409</v>
      </c>
      <c r="AJ1058" s="1">
        <v>82.6</v>
      </c>
      <c r="AK1058" s="1"/>
      <c r="AL1058" s="1" t="s">
        <v>18939</v>
      </c>
      <c r="AM1058" s="1" t="s">
        <v>476</v>
      </c>
      <c r="AN1058" s="1" t="s">
        <v>699</v>
      </c>
      <c r="AO1058" s="1" t="s">
        <v>436</v>
      </c>
      <c r="AP1058" s="1">
        <v>90.33</v>
      </c>
      <c r="AQ1058" s="1"/>
      <c r="AR1058" s="1"/>
      <c r="AS1058" s="1"/>
      <c r="AT1058" s="1"/>
      <c r="AU1058" s="1"/>
      <c r="AV1058" s="1"/>
      <c r="AW1058" s="1"/>
      <c r="AX1058" s="1" t="s">
        <v>361</v>
      </c>
      <c r="AY1058" s="1" t="s">
        <v>18940</v>
      </c>
      <c r="AZ1058" s="1" t="s">
        <v>1051</v>
      </c>
      <c r="BA1058" s="1" t="s">
        <v>1361</v>
      </c>
      <c r="BB1058" s="1">
        <v>63.32</v>
      </c>
      <c r="BC1058" s="1">
        <v>6.9</v>
      </c>
      <c r="BD1058" s="1"/>
      <c r="BE1058" s="1"/>
      <c r="BF1058" s="1"/>
      <c r="BG1058" s="1"/>
      <c r="BH1058" s="1"/>
      <c r="BI1058" s="1"/>
      <c r="BJ1058" s="1" t="s">
        <v>1135</v>
      </c>
      <c r="BK1058" s="1"/>
      <c r="BL1058" s="1"/>
      <c r="BM1058" s="1" t="s">
        <v>18941</v>
      </c>
      <c r="BN1058" s="1">
        <v>9</v>
      </c>
      <c r="BO1058" s="1"/>
      <c r="BP1058" s="1" t="str">
        <f>HYPERLINK("https://nconnect.nicmar.ac.in/storage/profile/ProfilePhoto_P25706012_485726.jpg","Download")</f>
        <v>0</v>
      </c>
      <c r="BQ1058" s="3"/>
      <c r="BR1058" s="3"/>
    </row>
    <row r="1059" spans="1:70">
      <c r="A1059" s="1" t="s">
        <v>1113</v>
      </c>
      <c r="B1059" s="1" t="s">
        <v>1269</v>
      </c>
      <c r="C1059" s="1" t="s">
        <v>18942</v>
      </c>
      <c r="D1059" s="1" t="s">
        <v>4360</v>
      </c>
      <c r="E1059" s="1" t="s">
        <v>13659</v>
      </c>
      <c r="F1059" s="1" t="s">
        <v>3911</v>
      </c>
      <c r="G1059" s="1" t="s">
        <v>18943</v>
      </c>
      <c r="H1059" s="1" t="s">
        <v>18944</v>
      </c>
      <c r="I1059" s="1" t="s">
        <v>18945</v>
      </c>
      <c r="J1059" s="1">
        <v>9322877802</v>
      </c>
      <c r="K1059" s="1" t="s">
        <v>79</v>
      </c>
      <c r="L1059" s="1" t="s">
        <v>8303</v>
      </c>
      <c r="M1059" s="1" t="s">
        <v>81</v>
      </c>
      <c r="N1059" s="1" t="s">
        <v>3856</v>
      </c>
      <c r="O1059" s="1"/>
      <c r="P1059" s="1" t="s">
        <v>1323</v>
      </c>
      <c r="Q1059" s="1" t="s">
        <v>18946</v>
      </c>
      <c r="R1059" s="1" t="s">
        <v>18947</v>
      </c>
      <c r="S1059" s="1">
        <v>7588434615</v>
      </c>
      <c r="T1059" s="1" t="s">
        <v>154</v>
      </c>
      <c r="U1059" s="1" t="s">
        <v>18948</v>
      </c>
      <c r="V1059" s="1">
        <v>9403813448</v>
      </c>
      <c r="W1059" s="1" t="s">
        <v>156</v>
      </c>
      <c r="X1059" s="1" t="s">
        <v>18949</v>
      </c>
      <c r="Y1059" s="1" t="s">
        <v>5788</v>
      </c>
      <c r="Z1059" s="1" t="s">
        <v>92</v>
      </c>
      <c r="AA1059" s="1" t="s">
        <v>18949</v>
      </c>
      <c r="AB1059" s="1" t="s">
        <v>5788</v>
      </c>
      <c r="AC1059" s="1" t="s">
        <v>92</v>
      </c>
      <c r="AD1059" s="1">
        <v>8.99</v>
      </c>
      <c r="AE1059" s="1" t="s">
        <v>93</v>
      </c>
      <c r="AF1059" s="1" t="s">
        <v>18950</v>
      </c>
      <c r="AG1059" s="1" t="s">
        <v>307</v>
      </c>
      <c r="AH1059" s="1" t="s">
        <v>8032</v>
      </c>
      <c r="AI1059" s="1" t="s">
        <v>101</v>
      </c>
      <c r="AJ1059" s="1">
        <v>56</v>
      </c>
      <c r="AK1059" s="1"/>
      <c r="AL1059" s="1" t="s">
        <v>18951</v>
      </c>
      <c r="AM1059" s="1" t="s">
        <v>18952</v>
      </c>
      <c r="AN1059" s="1" t="s">
        <v>433</v>
      </c>
      <c r="AO1059" s="1" t="s">
        <v>412</v>
      </c>
      <c r="AP1059" s="1">
        <v>77.38</v>
      </c>
      <c r="AQ1059" s="1"/>
      <c r="AR1059" s="1"/>
      <c r="AS1059" s="1"/>
      <c r="AT1059" s="1"/>
      <c r="AU1059" s="1"/>
      <c r="AV1059" s="1"/>
      <c r="AW1059" s="1"/>
      <c r="AX1059" s="1" t="s">
        <v>18953</v>
      </c>
      <c r="AY1059" s="1" t="s">
        <v>7734</v>
      </c>
      <c r="AZ1059" s="1" t="s">
        <v>363</v>
      </c>
      <c r="BA1059" s="1" t="s">
        <v>6092</v>
      </c>
      <c r="BB1059" s="1">
        <v>61.6</v>
      </c>
      <c r="BC1059" s="1">
        <v>6.66</v>
      </c>
      <c r="BD1059" s="1"/>
      <c r="BE1059" s="1"/>
      <c r="BF1059" s="1"/>
      <c r="BG1059" s="1"/>
      <c r="BH1059" s="1"/>
      <c r="BI1059" s="1"/>
      <c r="BJ1059" s="1" t="s">
        <v>255</v>
      </c>
      <c r="BK1059" s="1"/>
      <c r="BL1059" s="1"/>
      <c r="BM1059" s="1" t="s">
        <v>18954</v>
      </c>
      <c r="BN1059" s="1">
        <v>12</v>
      </c>
      <c r="BO1059" s="1" t="s">
        <v>18955</v>
      </c>
      <c r="BP1059" s="1" t="str">
        <f>HYPERLINK("https://nconnect.nicmar.ac.in/storage/profile/ProfilePhoto_P25706013_549263.jpg","Download")</f>
        <v>0</v>
      </c>
      <c r="BQ1059" s="3"/>
      <c r="BR1059" s="3"/>
    </row>
    <row r="1060" spans="1:70">
      <c r="A1060" s="1" t="s">
        <v>1113</v>
      </c>
      <c r="B1060" s="1" t="s">
        <v>1269</v>
      </c>
      <c r="C1060" s="1" t="s">
        <v>18956</v>
      </c>
      <c r="D1060" s="1" t="s">
        <v>18957</v>
      </c>
      <c r="E1060" s="1" t="s">
        <v>18958</v>
      </c>
      <c r="F1060" s="1" t="s">
        <v>3455</v>
      </c>
      <c r="G1060" s="1" t="s">
        <v>18959</v>
      </c>
      <c r="H1060" s="1" t="s">
        <v>18960</v>
      </c>
      <c r="I1060" s="1" t="s">
        <v>18961</v>
      </c>
      <c r="J1060" s="1">
        <v>9347078940</v>
      </c>
      <c r="K1060" s="1" t="s">
        <v>148</v>
      </c>
      <c r="L1060" s="1" t="s">
        <v>18962</v>
      </c>
      <c r="M1060" s="1" t="s">
        <v>81</v>
      </c>
      <c r="N1060" s="1" t="s">
        <v>18963</v>
      </c>
      <c r="O1060" s="1"/>
      <c r="P1060" s="1" t="s">
        <v>1766</v>
      </c>
      <c r="Q1060" s="1" t="s">
        <v>18964</v>
      </c>
      <c r="R1060" s="1" t="s">
        <v>18965</v>
      </c>
      <c r="S1060" s="1">
        <v>9848099087</v>
      </c>
      <c r="T1060" s="1" t="s">
        <v>18966</v>
      </c>
      <c r="U1060" s="1" t="s">
        <v>18967</v>
      </c>
      <c r="V1060" s="1">
        <v>9441270786</v>
      </c>
      <c r="W1060" s="1" t="s">
        <v>651</v>
      </c>
      <c r="X1060" s="1" t="s">
        <v>18968</v>
      </c>
      <c r="Y1060" s="1" t="s">
        <v>1083</v>
      </c>
      <c r="Z1060" s="1" t="s">
        <v>1084</v>
      </c>
      <c r="AA1060" s="1" t="s">
        <v>18969</v>
      </c>
      <c r="AB1060" s="1" t="s">
        <v>1513</v>
      </c>
      <c r="AC1060" s="1" t="s">
        <v>276</v>
      </c>
      <c r="AD1060" s="1">
        <v>8.47</v>
      </c>
      <c r="AE1060" s="1" t="s">
        <v>93</v>
      </c>
      <c r="AF1060" s="1" t="s">
        <v>18970</v>
      </c>
      <c r="AG1060" s="1" t="s">
        <v>18971</v>
      </c>
      <c r="AH1060" s="1" t="s">
        <v>279</v>
      </c>
      <c r="AI1060" s="1" t="s">
        <v>479</v>
      </c>
      <c r="AJ1060" s="1">
        <v>95</v>
      </c>
      <c r="AK1060" s="1">
        <v>10</v>
      </c>
      <c r="AL1060" s="1" t="s">
        <v>18972</v>
      </c>
      <c r="AM1060" s="1" t="s">
        <v>18973</v>
      </c>
      <c r="AN1060" s="1" t="s">
        <v>165</v>
      </c>
      <c r="AO1060" s="1" t="s">
        <v>1065</v>
      </c>
      <c r="AP1060" s="1">
        <v>85.9</v>
      </c>
      <c r="AQ1060" s="1">
        <v>8.5</v>
      </c>
      <c r="AR1060" s="1"/>
      <c r="AS1060" s="1"/>
      <c r="AT1060" s="1"/>
      <c r="AU1060" s="1"/>
      <c r="AV1060" s="1"/>
      <c r="AW1060" s="1"/>
      <c r="AX1060" s="1" t="s">
        <v>1088</v>
      </c>
      <c r="AY1060" s="1" t="s">
        <v>18974</v>
      </c>
      <c r="AZ1060" s="1" t="s">
        <v>681</v>
      </c>
      <c r="BA1060" s="1" t="s">
        <v>1584</v>
      </c>
      <c r="BB1060" s="1">
        <v>64.2</v>
      </c>
      <c r="BC1060" s="1">
        <v>7.17</v>
      </c>
      <c r="BD1060" s="1"/>
      <c r="BE1060" s="1"/>
      <c r="BF1060" s="1"/>
      <c r="BG1060" s="1"/>
      <c r="BH1060" s="1"/>
      <c r="BI1060" s="1"/>
      <c r="BJ1060" s="1" t="s">
        <v>18975</v>
      </c>
      <c r="BK1060" s="1"/>
      <c r="BL1060" s="1"/>
      <c r="BM1060" s="1" t="s">
        <v>18976</v>
      </c>
      <c r="BN1060" s="1">
        <v>8</v>
      </c>
      <c r="BO1060" s="1" t="s">
        <v>18977</v>
      </c>
      <c r="BP1060" s="1" t="str">
        <f>HYPERLINK("https://nconnect.nicmar.ac.in/storage/profile/ProfilePhoto_P25706014_412957.jpg","Download")</f>
        <v>0</v>
      </c>
      <c r="BQ1060" s="3"/>
      <c r="BR1060" s="3"/>
    </row>
    <row r="1061" spans="1:70">
      <c r="A1061" s="1" t="s">
        <v>1113</v>
      </c>
      <c r="B1061" s="1" t="s">
        <v>1269</v>
      </c>
      <c r="C1061" s="1" t="s">
        <v>18978</v>
      </c>
      <c r="D1061" s="1" t="s">
        <v>4026</v>
      </c>
      <c r="E1061" s="1" t="s">
        <v>18979</v>
      </c>
      <c r="F1061" s="1" t="s">
        <v>392</v>
      </c>
      <c r="G1061" s="1" t="s">
        <v>18980</v>
      </c>
      <c r="H1061" s="1" t="s">
        <v>18981</v>
      </c>
      <c r="I1061" s="1" t="s">
        <v>18982</v>
      </c>
      <c r="J1061" s="1">
        <v>8766764405</v>
      </c>
      <c r="K1061" s="1" t="s">
        <v>148</v>
      </c>
      <c r="L1061" s="1" t="s">
        <v>18983</v>
      </c>
      <c r="M1061" s="1" t="s">
        <v>81</v>
      </c>
      <c r="N1061" s="1" t="s">
        <v>2008</v>
      </c>
      <c r="O1061" s="1"/>
      <c r="P1061" s="1" t="s">
        <v>1323</v>
      </c>
      <c r="Q1061" s="1" t="s">
        <v>18984</v>
      </c>
      <c r="R1061" s="1" t="s">
        <v>18985</v>
      </c>
      <c r="S1061" s="1">
        <v>7498507226</v>
      </c>
      <c r="T1061" s="1" t="s">
        <v>1398</v>
      </c>
      <c r="U1061" s="1" t="s">
        <v>18986</v>
      </c>
      <c r="V1061" s="1">
        <v>7498507226</v>
      </c>
      <c r="W1061" s="1" t="s">
        <v>1398</v>
      </c>
      <c r="X1061" s="1" t="s">
        <v>18987</v>
      </c>
      <c r="Y1061" s="1" t="s">
        <v>379</v>
      </c>
      <c r="Z1061" s="1" t="s">
        <v>92</v>
      </c>
      <c r="AA1061" s="1" t="s">
        <v>18987</v>
      </c>
      <c r="AB1061" s="1" t="s">
        <v>379</v>
      </c>
      <c r="AC1061" s="1" t="s">
        <v>92</v>
      </c>
      <c r="AD1061" s="1">
        <v>9.22</v>
      </c>
      <c r="AE1061" s="1" t="s">
        <v>93</v>
      </c>
      <c r="AF1061" s="1" t="s">
        <v>18988</v>
      </c>
      <c r="AG1061" s="1" t="s">
        <v>160</v>
      </c>
      <c r="AH1061" s="1" t="s">
        <v>2403</v>
      </c>
      <c r="AI1061" s="1" t="s">
        <v>999</v>
      </c>
      <c r="AJ1061" s="1">
        <v>75</v>
      </c>
      <c r="AK1061" s="1"/>
      <c r="AL1061" s="1" t="s">
        <v>18989</v>
      </c>
      <c r="AM1061" s="1" t="s">
        <v>160</v>
      </c>
      <c r="AN1061" s="1" t="s">
        <v>337</v>
      </c>
      <c r="AO1061" s="1" t="s">
        <v>1001</v>
      </c>
      <c r="AP1061" s="1">
        <v>59.38</v>
      </c>
      <c r="AQ1061" s="1"/>
      <c r="AR1061" s="1"/>
      <c r="AS1061" s="1"/>
      <c r="AT1061" s="1"/>
      <c r="AU1061" s="1"/>
      <c r="AV1061" s="1"/>
      <c r="AW1061" s="1"/>
      <c r="AX1061" s="1" t="s">
        <v>18990</v>
      </c>
      <c r="AY1061" s="1" t="s">
        <v>18991</v>
      </c>
      <c r="AZ1061" s="1" t="s">
        <v>733</v>
      </c>
      <c r="BA1061" s="1" t="s">
        <v>170</v>
      </c>
      <c r="BB1061" s="1">
        <v>76.8</v>
      </c>
      <c r="BC1061" s="1">
        <v>8.43</v>
      </c>
      <c r="BD1061" s="1" t="s">
        <v>18990</v>
      </c>
      <c r="BE1061" s="1" t="s">
        <v>2405</v>
      </c>
      <c r="BF1061" s="1" t="s">
        <v>173</v>
      </c>
      <c r="BG1061" s="1" t="s">
        <v>105</v>
      </c>
      <c r="BH1061" s="1">
        <v>79.6</v>
      </c>
      <c r="BI1061" s="1">
        <v>8.71</v>
      </c>
      <c r="BJ1061" s="1" t="s">
        <v>18992</v>
      </c>
      <c r="BK1061" s="1"/>
      <c r="BL1061" s="1"/>
      <c r="BM1061" s="1" t="s">
        <v>18993</v>
      </c>
      <c r="BN1061" s="1">
        <v>100</v>
      </c>
      <c r="BO1061" s="1" t="s">
        <v>18994</v>
      </c>
      <c r="BP1061" s="1" t="str">
        <f>HYPERLINK("https://nconnect.nicmar.ac.in/storage/profile/ProfilePhoto_P25706015_614758.jpg","Download")</f>
        <v>0</v>
      </c>
      <c r="BQ1061" s="3"/>
      <c r="BR1061" s="3"/>
    </row>
    <row r="1062" spans="1:70">
      <c r="A1062" s="1" t="s">
        <v>1113</v>
      </c>
      <c r="B1062" s="1" t="s">
        <v>1269</v>
      </c>
      <c r="C1062" s="1" t="s">
        <v>18995</v>
      </c>
      <c r="D1062" s="1" t="s">
        <v>18996</v>
      </c>
      <c r="E1062" s="1"/>
      <c r="F1062" s="1" t="s">
        <v>18997</v>
      </c>
      <c r="G1062" s="1" t="s">
        <v>18998</v>
      </c>
      <c r="H1062" s="1" t="s">
        <v>18999</v>
      </c>
      <c r="I1062" s="1" t="s">
        <v>19000</v>
      </c>
      <c r="J1062" s="1">
        <v>8762320684</v>
      </c>
      <c r="K1062" s="1" t="s">
        <v>148</v>
      </c>
      <c r="L1062" s="1" t="s">
        <v>11349</v>
      </c>
      <c r="M1062" s="1" t="s">
        <v>81</v>
      </c>
      <c r="N1062" s="1" t="s">
        <v>4766</v>
      </c>
      <c r="O1062" s="1"/>
      <c r="P1062" s="1" t="s">
        <v>1278</v>
      </c>
      <c r="Q1062" s="1" t="s">
        <v>19001</v>
      </c>
      <c r="R1062" s="1" t="s">
        <v>19002</v>
      </c>
      <c r="S1062" s="1">
        <v>9741957096</v>
      </c>
      <c r="T1062" s="1" t="s">
        <v>496</v>
      </c>
      <c r="U1062" s="1" t="s">
        <v>19003</v>
      </c>
      <c r="V1062" s="1">
        <v>9902634494</v>
      </c>
      <c r="W1062" s="1" t="s">
        <v>156</v>
      </c>
      <c r="X1062" s="1" t="s">
        <v>19004</v>
      </c>
      <c r="Y1062" s="1" t="s">
        <v>2052</v>
      </c>
      <c r="Z1062" s="1" t="s">
        <v>1084</v>
      </c>
      <c r="AA1062" s="1" t="s">
        <v>19004</v>
      </c>
      <c r="AB1062" s="1" t="s">
        <v>2052</v>
      </c>
      <c r="AC1062" s="1" t="s">
        <v>1084</v>
      </c>
      <c r="AD1062" s="1">
        <v>9.5</v>
      </c>
      <c r="AE1062" s="1" t="s">
        <v>93</v>
      </c>
      <c r="AF1062" s="1" t="s">
        <v>19005</v>
      </c>
      <c r="AG1062" s="1" t="s">
        <v>19006</v>
      </c>
      <c r="AH1062" s="1" t="s">
        <v>101</v>
      </c>
      <c r="AI1062" s="1" t="s">
        <v>198</v>
      </c>
      <c r="AJ1062" s="1">
        <v>81.33</v>
      </c>
      <c r="AK1062" s="1"/>
      <c r="AL1062" s="1" t="s">
        <v>19007</v>
      </c>
      <c r="AM1062" s="1" t="s">
        <v>19008</v>
      </c>
      <c r="AN1062" s="1" t="s">
        <v>412</v>
      </c>
      <c r="AO1062" s="1" t="s">
        <v>1131</v>
      </c>
      <c r="AP1062" s="1">
        <v>94.5</v>
      </c>
      <c r="AQ1062" s="1"/>
      <c r="AR1062" s="1"/>
      <c r="AS1062" s="1"/>
      <c r="AT1062" s="1"/>
      <c r="AU1062" s="1"/>
      <c r="AV1062" s="1"/>
      <c r="AW1062" s="1"/>
      <c r="AX1062" s="1" t="s">
        <v>4798</v>
      </c>
      <c r="AY1062" s="1" t="s">
        <v>19009</v>
      </c>
      <c r="AZ1062" s="1" t="s">
        <v>897</v>
      </c>
      <c r="BA1062" s="1" t="s">
        <v>1714</v>
      </c>
      <c r="BB1062" s="1">
        <v>84.4</v>
      </c>
      <c r="BC1062" s="1">
        <v>9.19</v>
      </c>
      <c r="BD1062" s="1"/>
      <c r="BE1062" s="1"/>
      <c r="BF1062" s="1"/>
      <c r="BG1062" s="1"/>
      <c r="BH1062" s="1"/>
      <c r="BI1062" s="1"/>
      <c r="BJ1062" s="1" t="s">
        <v>19010</v>
      </c>
      <c r="BK1062" s="1"/>
      <c r="BL1062" s="1"/>
      <c r="BM1062" s="1" t="s">
        <v>19011</v>
      </c>
      <c r="BN1062" s="1">
        <v>30</v>
      </c>
      <c r="BO1062" s="1"/>
      <c r="BP1062" s="1" t="str">
        <f>HYPERLINK("https://nconnect.nicmar.ac.in/storage/profile/ProfilePhoto_P25706016_356284.jpg","Download")</f>
        <v>0</v>
      </c>
      <c r="BQ1062" s="3"/>
      <c r="BR1062" s="3"/>
    </row>
    <row r="1063" spans="1:70">
      <c r="A1063" s="1" t="s">
        <v>1113</v>
      </c>
      <c r="B1063" s="1" t="s">
        <v>1269</v>
      </c>
      <c r="C1063" s="1" t="s">
        <v>19012</v>
      </c>
      <c r="D1063" s="1" t="s">
        <v>19013</v>
      </c>
      <c r="E1063" s="1"/>
      <c r="F1063" s="1" t="s">
        <v>19014</v>
      </c>
      <c r="G1063" s="1" t="s">
        <v>19015</v>
      </c>
      <c r="H1063" s="1" t="s">
        <v>19016</v>
      </c>
      <c r="I1063" s="1" t="s">
        <v>19017</v>
      </c>
      <c r="J1063" s="1">
        <v>8137051093</v>
      </c>
      <c r="K1063" s="1" t="s">
        <v>79</v>
      </c>
      <c r="L1063" s="1" t="s">
        <v>8615</v>
      </c>
      <c r="M1063" s="1" t="s">
        <v>81</v>
      </c>
      <c r="N1063" s="1" t="s">
        <v>19018</v>
      </c>
      <c r="O1063" s="1"/>
      <c r="P1063" s="1" t="s">
        <v>1298</v>
      </c>
      <c r="Q1063" s="1" t="s">
        <v>19019</v>
      </c>
      <c r="R1063" s="1" t="s">
        <v>19020</v>
      </c>
      <c r="S1063" s="1">
        <v>9967631093</v>
      </c>
      <c r="T1063" s="1" t="s">
        <v>3012</v>
      </c>
      <c r="U1063" s="1" t="s">
        <v>19021</v>
      </c>
      <c r="V1063" s="1">
        <v>7012228236</v>
      </c>
      <c r="W1063" s="1" t="s">
        <v>122</v>
      </c>
      <c r="X1063" s="1" t="s">
        <v>19022</v>
      </c>
      <c r="Y1063" s="1" t="s">
        <v>3998</v>
      </c>
      <c r="Z1063" s="1" t="s">
        <v>125</v>
      </c>
      <c r="AA1063" s="1" t="s">
        <v>19022</v>
      </c>
      <c r="AB1063" s="1" t="s">
        <v>3998</v>
      </c>
      <c r="AC1063" s="1" t="s">
        <v>125</v>
      </c>
      <c r="AD1063" s="1">
        <v>9.42</v>
      </c>
      <c r="AE1063" s="1" t="s">
        <v>93</v>
      </c>
      <c r="AF1063" s="1" t="s">
        <v>19023</v>
      </c>
      <c r="AG1063" s="1" t="s">
        <v>19024</v>
      </c>
      <c r="AH1063" s="1" t="s">
        <v>101</v>
      </c>
      <c r="AI1063" s="1" t="s">
        <v>310</v>
      </c>
      <c r="AJ1063" s="1">
        <v>94.4</v>
      </c>
      <c r="AK1063" s="1"/>
      <c r="AL1063" s="1" t="s">
        <v>19025</v>
      </c>
      <c r="AM1063" s="1" t="s">
        <v>19026</v>
      </c>
      <c r="AN1063" s="1" t="s">
        <v>173</v>
      </c>
      <c r="AO1063" s="1" t="s">
        <v>506</v>
      </c>
      <c r="AP1063" s="1">
        <v>99.33</v>
      </c>
      <c r="AQ1063" s="1"/>
      <c r="AR1063" s="1"/>
      <c r="AS1063" s="1"/>
      <c r="AT1063" s="1"/>
      <c r="AU1063" s="1"/>
      <c r="AV1063" s="1"/>
      <c r="AW1063" s="1"/>
      <c r="AX1063" s="1" t="s">
        <v>132</v>
      </c>
      <c r="AY1063" s="1" t="s">
        <v>19027</v>
      </c>
      <c r="AZ1063" s="1" t="s">
        <v>1051</v>
      </c>
      <c r="BA1063" s="1" t="s">
        <v>1714</v>
      </c>
      <c r="BB1063" s="1">
        <v>83.3</v>
      </c>
      <c r="BC1063" s="1">
        <v>8.33</v>
      </c>
      <c r="BD1063" s="1"/>
      <c r="BE1063" s="1"/>
      <c r="BF1063" s="1"/>
      <c r="BG1063" s="1"/>
      <c r="BH1063" s="1"/>
      <c r="BI1063" s="1"/>
      <c r="BJ1063" s="1" t="s">
        <v>19028</v>
      </c>
      <c r="BK1063" s="1"/>
      <c r="BL1063" s="1"/>
      <c r="BM1063" s="1" t="s">
        <v>19029</v>
      </c>
      <c r="BN1063" s="1">
        <v>10</v>
      </c>
      <c r="BO1063" s="1"/>
      <c r="BP1063" s="1" t="str">
        <f>HYPERLINK("https://nconnect.nicmar.ac.in/storage/profile/ProfilePhoto_P25706017_423976.jpg","Download")</f>
        <v>0</v>
      </c>
      <c r="BQ1063" s="3"/>
      <c r="BR1063" s="3"/>
    </row>
    <row r="1064" spans="1:70">
      <c r="A1064" s="1" t="s">
        <v>1113</v>
      </c>
      <c r="B1064" s="1" t="s">
        <v>1269</v>
      </c>
      <c r="C1064" s="1" t="s">
        <v>19030</v>
      </c>
      <c r="D1064" s="1" t="s">
        <v>1526</v>
      </c>
      <c r="E1064" s="1" t="s">
        <v>5088</v>
      </c>
      <c r="F1064" s="1" t="s">
        <v>4938</v>
      </c>
      <c r="G1064" s="1" t="s">
        <v>19031</v>
      </c>
      <c r="H1064" s="1" t="s">
        <v>19032</v>
      </c>
      <c r="I1064" s="1" t="s">
        <v>19033</v>
      </c>
      <c r="J1064" s="1">
        <v>9284847427</v>
      </c>
      <c r="K1064" s="1" t="s">
        <v>148</v>
      </c>
      <c r="L1064" s="1" t="s">
        <v>18355</v>
      </c>
      <c r="M1064" s="1" t="s">
        <v>81</v>
      </c>
      <c r="N1064" s="1" t="s">
        <v>2008</v>
      </c>
      <c r="O1064" s="1" t="s">
        <v>19034</v>
      </c>
      <c r="P1064" s="1" t="s">
        <v>1278</v>
      </c>
      <c r="Q1064" s="1" t="s">
        <v>19035</v>
      </c>
      <c r="R1064" s="1" t="s">
        <v>19036</v>
      </c>
      <c r="S1064" s="1">
        <v>8208760243</v>
      </c>
      <c r="T1064" s="1" t="s">
        <v>19037</v>
      </c>
      <c r="U1064" s="1" t="s">
        <v>19038</v>
      </c>
      <c r="V1064" s="1">
        <v>8080584637</v>
      </c>
      <c r="W1064" s="1" t="s">
        <v>156</v>
      </c>
      <c r="X1064" s="1" t="s">
        <v>19039</v>
      </c>
      <c r="Y1064" s="1" t="s">
        <v>304</v>
      </c>
      <c r="Z1064" s="1" t="s">
        <v>92</v>
      </c>
      <c r="AA1064" s="1" t="s">
        <v>19039</v>
      </c>
      <c r="AB1064" s="1" t="s">
        <v>304</v>
      </c>
      <c r="AC1064" s="1" t="s">
        <v>92</v>
      </c>
      <c r="AD1064" s="1">
        <v>8.6</v>
      </c>
      <c r="AE1064" s="1" t="s">
        <v>93</v>
      </c>
      <c r="AF1064" s="1" t="s">
        <v>19040</v>
      </c>
      <c r="AG1064" s="1" t="s">
        <v>19041</v>
      </c>
      <c r="AH1064" s="1" t="s">
        <v>165</v>
      </c>
      <c r="AI1064" s="1" t="s">
        <v>281</v>
      </c>
      <c r="AJ1064" s="1">
        <v>74.2</v>
      </c>
      <c r="AK1064" s="1">
        <v>7.81</v>
      </c>
      <c r="AL1064" s="1" t="s">
        <v>19040</v>
      </c>
      <c r="AM1064" s="1" t="s">
        <v>19041</v>
      </c>
      <c r="AN1064" s="1" t="s">
        <v>310</v>
      </c>
      <c r="AO1064" s="1" t="s">
        <v>360</v>
      </c>
      <c r="AP1064" s="1">
        <v>54</v>
      </c>
      <c r="AQ1064" s="1">
        <v>5.6</v>
      </c>
      <c r="AR1064" s="1"/>
      <c r="AS1064" s="1"/>
      <c r="AT1064" s="1"/>
      <c r="AU1064" s="1"/>
      <c r="AV1064" s="1"/>
      <c r="AW1064" s="1"/>
      <c r="AX1064" s="1" t="s">
        <v>361</v>
      </c>
      <c r="AY1064" s="1" t="s">
        <v>19042</v>
      </c>
      <c r="AZ1064" s="1" t="s">
        <v>2016</v>
      </c>
      <c r="BA1064" s="1" t="s">
        <v>1714</v>
      </c>
      <c r="BB1064" s="1">
        <v>61.41</v>
      </c>
      <c r="BC1064" s="1">
        <v>6.94</v>
      </c>
      <c r="BD1064" s="1"/>
      <c r="BE1064" s="1"/>
      <c r="BF1064" s="1"/>
      <c r="BG1064" s="1"/>
      <c r="BH1064" s="1"/>
      <c r="BI1064" s="1"/>
      <c r="BJ1064" s="1" t="s">
        <v>19043</v>
      </c>
      <c r="BK1064" s="1"/>
      <c r="BL1064" s="1"/>
      <c r="BM1064" s="1" t="s">
        <v>19044</v>
      </c>
      <c r="BN1064" s="1">
        <v>21</v>
      </c>
      <c r="BO1064" s="1" t="s">
        <v>19045</v>
      </c>
      <c r="BP1064" s="1" t="str">
        <f>HYPERLINK("https://nconnect.nicmar.ac.in/storage/profile/ProfilePhoto_P25706018_657438.jpg","Download")</f>
        <v>0</v>
      </c>
      <c r="BQ1064" s="3"/>
      <c r="BR1064" s="3"/>
    </row>
    <row r="1065" spans="1:70">
      <c r="A1065" s="1" t="s">
        <v>1113</v>
      </c>
      <c r="B1065" s="1" t="s">
        <v>1269</v>
      </c>
      <c r="C1065" s="1" t="s">
        <v>19046</v>
      </c>
      <c r="D1065" s="1" t="s">
        <v>8740</v>
      </c>
      <c r="E1065" s="1"/>
      <c r="F1065" s="1" t="s">
        <v>111</v>
      </c>
      <c r="G1065" s="1" t="s">
        <v>19047</v>
      </c>
      <c r="H1065" s="1" t="s">
        <v>19048</v>
      </c>
      <c r="I1065" s="1" t="s">
        <v>19049</v>
      </c>
      <c r="J1065" s="1">
        <v>7561060571</v>
      </c>
      <c r="K1065" s="1" t="s">
        <v>79</v>
      </c>
      <c r="L1065" s="1" t="s">
        <v>517</v>
      </c>
      <c r="M1065" s="1" t="s">
        <v>81</v>
      </c>
      <c r="N1065" s="1" t="s">
        <v>19050</v>
      </c>
      <c r="O1065" s="1"/>
      <c r="P1065" s="1" t="s">
        <v>1298</v>
      </c>
      <c r="Q1065" s="1" t="s">
        <v>19051</v>
      </c>
      <c r="R1065" s="1" t="s">
        <v>19052</v>
      </c>
      <c r="S1065" s="1">
        <v>9880100998</v>
      </c>
      <c r="T1065" s="1" t="s">
        <v>19053</v>
      </c>
      <c r="U1065" s="1" t="s">
        <v>19054</v>
      </c>
      <c r="V1065" s="1">
        <v>9656736475</v>
      </c>
      <c r="W1065" s="1" t="s">
        <v>19053</v>
      </c>
      <c r="X1065" s="1" t="s">
        <v>19055</v>
      </c>
      <c r="Y1065" s="1" t="s">
        <v>1260</v>
      </c>
      <c r="Z1065" s="1" t="s">
        <v>125</v>
      </c>
      <c r="AA1065" s="1" t="s">
        <v>19055</v>
      </c>
      <c r="AB1065" s="1" t="s">
        <v>1260</v>
      </c>
      <c r="AC1065" s="1" t="s">
        <v>125</v>
      </c>
      <c r="AD1065" s="1">
        <v>7.88</v>
      </c>
      <c r="AE1065" s="1" t="s">
        <v>93</v>
      </c>
      <c r="AF1065" s="1" t="s">
        <v>19056</v>
      </c>
      <c r="AG1065" s="1" t="s">
        <v>3279</v>
      </c>
      <c r="AH1065" s="1" t="s">
        <v>96</v>
      </c>
      <c r="AI1065" s="1" t="s">
        <v>131</v>
      </c>
      <c r="AJ1065" s="1">
        <v>91.2</v>
      </c>
      <c r="AK1065" s="1">
        <v>9.6</v>
      </c>
      <c r="AL1065" s="1" t="s">
        <v>19057</v>
      </c>
      <c r="AM1065" s="1" t="s">
        <v>19058</v>
      </c>
      <c r="AN1065" s="1" t="s">
        <v>161</v>
      </c>
      <c r="AO1065" s="1" t="s">
        <v>479</v>
      </c>
      <c r="AP1065" s="1">
        <v>75.66</v>
      </c>
      <c r="AQ1065" s="1"/>
      <c r="AR1065" s="1"/>
      <c r="AS1065" s="1"/>
      <c r="AT1065" s="1"/>
      <c r="AU1065" s="1"/>
      <c r="AV1065" s="1"/>
      <c r="AW1065" s="1"/>
      <c r="AX1065" s="1" t="s">
        <v>19059</v>
      </c>
      <c r="AY1065" s="1" t="s">
        <v>19060</v>
      </c>
      <c r="AZ1065" s="1" t="s">
        <v>383</v>
      </c>
      <c r="BA1065" s="1" t="s">
        <v>549</v>
      </c>
      <c r="BB1065" s="1">
        <v>61.45</v>
      </c>
      <c r="BC1065" s="1">
        <v>6.52</v>
      </c>
      <c r="BD1065" s="1"/>
      <c r="BE1065" s="1"/>
      <c r="BF1065" s="1"/>
      <c r="BG1065" s="1"/>
      <c r="BH1065" s="1"/>
      <c r="BI1065" s="1"/>
      <c r="BJ1065" s="1" t="s">
        <v>19061</v>
      </c>
      <c r="BK1065" s="1"/>
      <c r="BL1065" s="1"/>
      <c r="BM1065" s="1" t="s">
        <v>19062</v>
      </c>
      <c r="BN1065" s="1">
        <v>115</v>
      </c>
      <c r="BO1065" s="1"/>
      <c r="BP1065" s="1" t="str">
        <f>HYPERLINK("https://nconnect.nicmar.ac.in/storage/profile/ProfilePhoto_P25706019_479825.jpg","Download")</f>
        <v>0</v>
      </c>
      <c r="BQ1065" s="3"/>
      <c r="BR1065" s="3"/>
    </row>
    <row r="1066" spans="1:70">
      <c r="A1066" s="1" t="s">
        <v>1113</v>
      </c>
      <c r="B1066" s="1" t="s">
        <v>1269</v>
      </c>
      <c r="C1066" s="1" t="s">
        <v>19063</v>
      </c>
      <c r="D1066" s="1" t="s">
        <v>19064</v>
      </c>
      <c r="E1066" s="1" t="s">
        <v>19065</v>
      </c>
      <c r="F1066" s="1" t="s">
        <v>10309</v>
      </c>
      <c r="G1066" s="1" t="s">
        <v>19066</v>
      </c>
      <c r="H1066" s="1" t="s">
        <v>19067</v>
      </c>
      <c r="I1066" s="1" t="s">
        <v>19068</v>
      </c>
      <c r="J1066" s="1">
        <v>9004206301</v>
      </c>
      <c r="K1066" s="1" t="s">
        <v>79</v>
      </c>
      <c r="L1066" s="1" t="s">
        <v>11031</v>
      </c>
      <c r="M1066" s="1" t="s">
        <v>81</v>
      </c>
      <c r="N1066" s="1" t="s">
        <v>1418</v>
      </c>
      <c r="O1066" s="1"/>
      <c r="P1066" s="1" t="s">
        <v>1278</v>
      </c>
      <c r="Q1066" s="1" t="s">
        <v>19069</v>
      </c>
      <c r="R1066" s="1" t="s">
        <v>19070</v>
      </c>
      <c r="S1066" s="1">
        <v>9004206301</v>
      </c>
      <c r="T1066" s="1" t="s">
        <v>19071</v>
      </c>
      <c r="U1066" s="1" t="s">
        <v>19072</v>
      </c>
      <c r="V1066" s="1">
        <v>9004526650</v>
      </c>
      <c r="W1066" s="1" t="s">
        <v>156</v>
      </c>
      <c r="X1066" s="1" t="s">
        <v>19073</v>
      </c>
      <c r="Y1066" s="1" t="s">
        <v>995</v>
      </c>
      <c r="Z1066" s="1" t="s">
        <v>92</v>
      </c>
      <c r="AA1066" s="1" t="s">
        <v>19073</v>
      </c>
      <c r="AB1066" s="1" t="s">
        <v>995</v>
      </c>
      <c r="AC1066" s="1" t="s">
        <v>92</v>
      </c>
      <c r="AD1066" s="1">
        <v>8.64</v>
      </c>
      <c r="AE1066" s="1" t="s">
        <v>93</v>
      </c>
      <c r="AF1066" s="1" t="s">
        <v>17409</v>
      </c>
      <c r="AG1066" s="1" t="s">
        <v>5102</v>
      </c>
      <c r="AH1066" s="1" t="s">
        <v>165</v>
      </c>
      <c r="AI1066" s="1" t="s">
        <v>281</v>
      </c>
      <c r="AJ1066" s="1">
        <v>79.6</v>
      </c>
      <c r="AK1066" s="1"/>
      <c r="AL1066" s="1"/>
      <c r="AM1066" s="1"/>
      <c r="AN1066" s="1"/>
      <c r="AO1066" s="1"/>
      <c r="AP1066" s="1"/>
      <c r="AQ1066" s="1"/>
      <c r="AR1066" s="1" t="s">
        <v>15976</v>
      </c>
      <c r="AS1066" s="1" t="s">
        <v>19074</v>
      </c>
      <c r="AT1066" s="1" t="s">
        <v>636</v>
      </c>
      <c r="AU1066" s="1" t="s">
        <v>436</v>
      </c>
      <c r="AV1066" s="1">
        <v>94.94</v>
      </c>
      <c r="AW1066" s="1"/>
      <c r="AX1066" s="1" t="s">
        <v>1024</v>
      </c>
      <c r="AY1066" s="1" t="s">
        <v>19075</v>
      </c>
      <c r="AZ1066" s="1" t="s">
        <v>436</v>
      </c>
      <c r="BA1066" s="1" t="s">
        <v>413</v>
      </c>
      <c r="BB1066" s="1">
        <v>71.25</v>
      </c>
      <c r="BC1066" s="1">
        <v>8.16</v>
      </c>
      <c r="BD1066" s="1"/>
      <c r="BE1066" s="1"/>
      <c r="BF1066" s="1"/>
      <c r="BG1066" s="1"/>
      <c r="BH1066" s="1"/>
      <c r="BI1066" s="1"/>
      <c r="BJ1066" s="1" t="s">
        <v>19076</v>
      </c>
      <c r="BK1066" s="1" t="s">
        <v>19077</v>
      </c>
      <c r="BL1066" s="1" t="s">
        <v>287</v>
      </c>
      <c r="BM1066" s="1" t="s">
        <v>19078</v>
      </c>
      <c r="BN1066" s="1">
        <v>22</v>
      </c>
      <c r="BO1066" s="1"/>
      <c r="BP1066" s="1" t="str">
        <f>HYPERLINK("https://nconnect.nicmar.ac.in/storage/profile/ProfilePhoto_P25706020_473619.jpg","Download")</f>
        <v>0</v>
      </c>
      <c r="BQ1066" s="3"/>
      <c r="BR1066" s="3"/>
    </row>
    <row r="1067" spans="1:70">
      <c r="A1067" s="1" t="s">
        <v>1113</v>
      </c>
      <c r="B1067" s="1" t="s">
        <v>1269</v>
      </c>
      <c r="C1067" s="1" t="s">
        <v>19079</v>
      </c>
      <c r="D1067" s="1" t="s">
        <v>19080</v>
      </c>
      <c r="E1067" s="1" t="s">
        <v>19081</v>
      </c>
      <c r="F1067" s="1" t="s">
        <v>19082</v>
      </c>
      <c r="G1067" s="1" t="s">
        <v>19083</v>
      </c>
      <c r="H1067" s="1" t="s">
        <v>19084</v>
      </c>
      <c r="I1067" s="1" t="s">
        <v>19085</v>
      </c>
      <c r="J1067" s="1">
        <v>9689699701</v>
      </c>
      <c r="K1067" s="1" t="s">
        <v>79</v>
      </c>
      <c r="L1067" s="1" t="s">
        <v>13630</v>
      </c>
      <c r="M1067" s="1" t="s">
        <v>81</v>
      </c>
      <c r="N1067" s="1" t="s">
        <v>2008</v>
      </c>
      <c r="O1067" s="1"/>
      <c r="P1067" s="1" t="s">
        <v>1323</v>
      </c>
      <c r="Q1067" s="1" t="s">
        <v>19086</v>
      </c>
      <c r="R1067" s="1" t="s">
        <v>19087</v>
      </c>
      <c r="S1067" s="1">
        <v>7219251419</v>
      </c>
      <c r="T1067" s="1" t="s">
        <v>2767</v>
      </c>
      <c r="U1067" s="1" t="s">
        <v>19088</v>
      </c>
      <c r="V1067" s="1">
        <v>7038653171</v>
      </c>
      <c r="W1067" s="1" t="s">
        <v>2767</v>
      </c>
      <c r="X1067" s="1" t="s">
        <v>19089</v>
      </c>
      <c r="Y1067" s="1" t="s">
        <v>191</v>
      </c>
      <c r="Z1067" s="1" t="s">
        <v>92</v>
      </c>
      <c r="AA1067" s="1" t="s">
        <v>19089</v>
      </c>
      <c r="AB1067" s="1" t="s">
        <v>191</v>
      </c>
      <c r="AC1067" s="1" t="s">
        <v>92</v>
      </c>
      <c r="AD1067" s="1">
        <v>8.24</v>
      </c>
      <c r="AE1067" s="1" t="s">
        <v>93</v>
      </c>
      <c r="AF1067" s="1" t="s">
        <v>19090</v>
      </c>
      <c r="AG1067" s="1" t="s">
        <v>14960</v>
      </c>
      <c r="AH1067" s="1" t="s">
        <v>195</v>
      </c>
      <c r="AI1067" s="1" t="s">
        <v>281</v>
      </c>
      <c r="AJ1067" s="1">
        <v>75.8</v>
      </c>
      <c r="AK1067" s="1">
        <v>0</v>
      </c>
      <c r="AL1067" s="1" t="s">
        <v>19090</v>
      </c>
      <c r="AM1067" s="1" t="s">
        <v>14960</v>
      </c>
      <c r="AN1067" s="1" t="s">
        <v>198</v>
      </c>
      <c r="AO1067" s="1" t="s">
        <v>360</v>
      </c>
      <c r="AP1067" s="1">
        <v>53.23</v>
      </c>
      <c r="AQ1067" s="1">
        <v>0</v>
      </c>
      <c r="AR1067" s="1"/>
      <c r="AS1067" s="1"/>
      <c r="AT1067" s="1"/>
      <c r="AU1067" s="1"/>
      <c r="AV1067" s="1"/>
      <c r="AW1067" s="1"/>
      <c r="AX1067" s="1" t="s">
        <v>19091</v>
      </c>
      <c r="AY1067" s="1" t="s">
        <v>19092</v>
      </c>
      <c r="AZ1067" s="1" t="s">
        <v>699</v>
      </c>
      <c r="BA1067" s="1" t="s">
        <v>1714</v>
      </c>
      <c r="BB1067" s="1">
        <v>59.4</v>
      </c>
      <c r="BC1067" s="1">
        <v>6.69</v>
      </c>
      <c r="BD1067" s="1"/>
      <c r="BE1067" s="1" t="s">
        <v>6757</v>
      </c>
      <c r="BF1067" s="1" t="s">
        <v>1584</v>
      </c>
      <c r="BG1067" s="1" t="s">
        <v>7465</v>
      </c>
      <c r="BH1067" s="1">
        <v>0</v>
      </c>
      <c r="BI1067" s="1">
        <v>0</v>
      </c>
      <c r="BJ1067" s="1" t="s">
        <v>19093</v>
      </c>
      <c r="BK1067" s="1" t="s">
        <v>19094</v>
      </c>
      <c r="BL1067" s="1" t="s">
        <v>1896</v>
      </c>
      <c r="BM1067" s="1" t="s">
        <v>19095</v>
      </c>
      <c r="BN1067" s="1">
        <v>28</v>
      </c>
      <c r="BO1067" s="1" t="s">
        <v>19096</v>
      </c>
      <c r="BP1067" s="1" t="str">
        <f>HYPERLINK("https://nconnect.nicmar.ac.in/storage/profile/ProfilePhoto_P25706021_165279.jpg","Download")</f>
        <v>0</v>
      </c>
      <c r="BQ1067" s="3"/>
      <c r="BR1067" s="3"/>
    </row>
    <row r="1068" spans="1:70">
      <c r="A1068" s="1" t="s">
        <v>1113</v>
      </c>
      <c r="B1068" s="1" t="s">
        <v>1269</v>
      </c>
      <c r="C1068" s="1" t="s">
        <v>19097</v>
      </c>
      <c r="D1068" s="1" t="s">
        <v>19098</v>
      </c>
      <c r="E1068" s="1" t="s">
        <v>1455</v>
      </c>
      <c r="F1068" s="1" t="s">
        <v>2897</v>
      </c>
      <c r="G1068" s="1" t="s">
        <v>19099</v>
      </c>
      <c r="H1068" s="1" t="s">
        <v>19100</v>
      </c>
      <c r="I1068" s="1" t="s">
        <v>19101</v>
      </c>
      <c r="J1068" s="1">
        <v>8686005674</v>
      </c>
      <c r="K1068" s="1" t="s">
        <v>148</v>
      </c>
      <c r="L1068" s="1" t="s">
        <v>8551</v>
      </c>
      <c r="M1068" s="1" t="s">
        <v>81</v>
      </c>
      <c r="N1068" s="1" t="s">
        <v>7854</v>
      </c>
      <c r="O1068" s="1"/>
      <c r="P1068" s="1"/>
      <c r="Q1068" s="1" t="s">
        <v>19102</v>
      </c>
      <c r="R1068" s="1" t="s">
        <v>19103</v>
      </c>
      <c r="S1068" s="1">
        <v>7387600794</v>
      </c>
      <c r="T1068" s="1" t="s">
        <v>8534</v>
      </c>
      <c r="U1068" s="1" t="s">
        <v>19104</v>
      </c>
      <c r="V1068" s="1">
        <v>9657197972</v>
      </c>
      <c r="W1068" s="1" t="s">
        <v>1554</v>
      </c>
      <c r="X1068" s="1" t="s">
        <v>19105</v>
      </c>
      <c r="Y1068" s="1" t="s">
        <v>2790</v>
      </c>
      <c r="Z1068" s="1" t="s">
        <v>92</v>
      </c>
      <c r="AA1068" s="1" t="s">
        <v>19105</v>
      </c>
      <c r="AB1068" s="1" t="s">
        <v>2790</v>
      </c>
      <c r="AC1068" s="1" t="s">
        <v>92</v>
      </c>
      <c r="AD1068" s="1">
        <v>8.74</v>
      </c>
      <c r="AE1068" s="1" t="s">
        <v>93</v>
      </c>
      <c r="AF1068" s="1" t="s">
        <v>18695</v>
      </c>
      <c r="AG1068" s="1" t="s">
        <v>19106</v>
      </c>
      <c r="AH1068" s="1" t="s">
        <v>101</v>
      </c>
      <c r="AI1068" s="1" t="s">
        <v>433</v>
      </c>
      <c r="AJ1068" s="1">
        <v>64.2</v>
      </c>
      <c r="AK1068" s="1"/>
      <c r="AL1068" s="1" t="s">
        <v>19107</v>
      </c>
      <c r="AM1068" s="1" t="s">
        <v>19108</v>
      </c>
      <c r="AN1068" s="1" t="s">
        <v>433</v>
      </c>
      <c r="AO1068" s="1" t="s">
        <v>1131</v>
      </c>
      <c r="AP1068" s="1">
        <v>89.17</v>
      </c>
      <c r="AQ1068" s="1"/>
      <c r="AR1068" s="1"/>
      <c r="AS1068" s="1"/>
      <c r="AT1068" s="1"/>
      <c r="AU1068" s="1"/>
      <c r="AV1068" s="1"/>
      <c r="AW1068" s="1"/>
      <c r="AX1068" s="1" t="s">
        <v>19109</v>
      </c>
      <c r="AY1068" s="1" t="s">
        <v>19109</v>
      </c>
      <c r="AZ1068" s="1" t="s">
        <v>284</v>
      </c>
      <c r="BA1068" s="1" t="s">
        <v>1714</v>
      </c>
      <c r="BB1068" s="1">
        <v>71.6</v>
      </c>
      <c r="BC1068" s="1">
        <v>7.66</v>
      </c>
      <c r="BD1068" s="1"/>
      <c r="BE1068" s="1"/>
      <c r="BF1068" s="1"/>
      <c r="BG1068" s="1"/>
      <c r="BH1068" s="1"/>
      <c r="BI1068" s="1"/>
      <c r="BJ1068" s="1" t="s">
        <v>1383</v>
      </c>
      <c r="BK1068" s="1"/>
      <c r="BL1068" s="1"/>
      <c r="BM1068" s="1" t="s">
        <v>19110</v>
      </c>
      <c r="BN1068" s="1">
        <v>21</v>
      </c>
      <c r="BO1068" s="1" t="s">
        <v>19111</v>
      </c>
      <c r="BP1068" s="1" t="str">
        <f>HYPERLINK("https://nconnect.nicmar.ac.in/storage/profile/ProfilePhoto_P25706022_813754.jpg","Download")</f>
        <v>0</v>
      </c>
      <c r="BQ1068" s="3"/>
      <c r="BR1068" s="3"/>
    </row>
    <row r="1069" spans="1:70">
      <c r="A1069" s="1" t="s">
        <v>1113</v>
      </c>
      <c r="B1069" s="1" t="s">
        <v>1269</v>
      </c>
      <c r="C1069" s="1" t="s">
        <v>19112</v>
      </c>
      <c r="D1069" s="1" t="s">
        <v>19113</v>
      </c>
      <c r="E1069" s="1"/>
      <c r="F1069" s="1" t="s">
        <v>19114</v>
      </c>
      <c r="G1069" s="1" t="s">
        <v>19115</v>
      </c>
      <c r="H1069" s="1" t="s">
        <v>19116</v>
      </c>
      <c r="I1069" s="1" t="s">
        <v>19117</v>
      </c>
      <c r="J1069" s="1">
        <v>9096037198</v>
      </c>
      <c r="K1069" s="1" t="s">
        <v>79</v>
      </c>
      <c r="L1069" s="1" t="s">
        <v>12986</v>
      </c>
      <c r="M1069" s="1" t="s">
        <v>81</v>
      </c>
      <c r="N1069" s="1" t="s">
        <v>1847</v>
      </c>
      <c r="O1069" s="1"/>
      <c r="P1069" s="1" t="s">
        <v>1278</v>
      </c>
      <c r="Q1069" s="1" t="s">
        <v>19118</v>
      </c>
      <c r="R1069" s="1" t="s">
        <v>19119</v>
      </c>
      <c r="S1069" s="1">
        <v>9422825932</v>
      </c>
      <c r="T1069" s="1" t="s">
        <v>472</v>
      </c>
      <c r="U1069" s="1" t="s">
        <v>19120</v>
      </c>
      <c r="V1069" s="1">
        <v>9420041559</v>
      </c>
      <c r="W1069" s="1" t="s">
        <v>19121</v>
      </c>
      <c r="X1069" s="1" t="s">
        <v>19122</v>
      </c>
      <c r="Y1069" s="1" t="s">
        <v>91</v>
      </c>
      <c r="Z1069" s="1" t="s">
        <v>92</v>
      </c>
      <c r="AA1069" s="1" t="s">
        <v>19122</v>
      </c>
      <c r="AB1069" s="1" t="s">
        <v>91</v>
      </c>
      <c r="AC1069" s="1" t="s">
        <v>92</v>
      </c>
      <c r="AD1069" s="1">
        <v>7.62</v>
      </c>
      <c r="AE1069" s="1" t="s">
        <v>93</v>
      </c>
      <c r="AF1069" s="1" t="s">
        <v>19123</v>
      </c>
      <c r="AG1069" s="1" t="s">
        <v>19124</v>
      </c>
      <c r="AH1069" s="1" t="s">
        <v>733</v>
      </c>
      <c r="AI1069" s="1" t="s">
        <v>165</v>
      </c>
      <c r="AJ1069" s="1">
        <v>74.8</v>
      </c>
      <c r="AK1069" s="1">
        <v>8.2</v>
      </c>
      <c r="AL1069" s="1" t="s">
        <v>19125</v>
      </c>
      <c r="AM1069" s="1" t="s">
        <v>19124</v>
      </c>
      <c r="AN1069" s="1" t="s">
        <v>169</v>
      </c>
      <c r="AO1069" s="1" t="s">
        <v>198</v>
      </c>
      <c r="AP1069" s="1">
        <v>59.08</v>
      </c>
      <c r="AQ1069" s="1"/>
      <c r="AR1069" s="1"/>
      <c r="AS1069" s="1"/>
      <c r="AT1069" s="1"/>
      <c r="AU1069" s="1"/>
      <c r="AV1069" s="1"/>
      <c r="AW1069" s="1"/>
      <c r="AX1069" s="1" t="s">
        <v>19126</v>
      </c>
      <c r="AY1069" s="1" t="s">
        <v>19127</v>
      </c>
      <c r="AZ1069" s="1" t="s">
        <v>201</v>
      </c>
      <c r="BA1069" s="1" t="s">
        <v>174</v>
      </c>
      <c r="BB1069" s="1">
        <v>75.2</v>
      </c>
      <c r="BC1069" s="1">
        <v>8.02</v>
      </c>
      <c r="BD1069" s="1"/>
      <c r="BE1069" s="1"/>
      <c r="BF1069" s="1"/>
      <c r="BG1069" s="1"/>
      <c r="BH1069" s="1"/>
      <c r="BI1069" s="1"/>
      <c r="BJ1069" s="1" t="s">
        <v>7161</v>
      </c>
      <c r="BK1069" s="1"/>
      <c r="BL1069" s="1"/>
      <c r="BM1069" s="1" t="s">
        <v>19128</v>
      </c>
      <c r="BN1069" s="1">
        <v>23</v>
      </c>
      <c r="BO1069" s="1"/>
      <c r="BP1069" s="1" t="str">
        <f>HYPERLINK("https://nconnect.nicmar.ac.in/storage/profile/ProfilePhoto_P25706023_352879.jpg","Download")</f>
        <v>0</v>
      </c>
      <c r="BQ1069" s="3"/>
      <c r="BR1069" s="3"/>
    </row>
    <row r="1070" spans="1:70">
      <c r="A1070" s="1" t="s">
        <v>1113</v>
      </c>
      <c r="B1070" s="1" t="s">
        <v>1269</v>
      </c>
      <c r="C1070" s="1" t="s">
        <v>19129</v>
      </c>
      <c r="D1070" s="1" t="s">
        <v>707</v>
      </c>
      <c r="E1070" s="1" t="s">
        <v>6490</v>
      </c>
      <c r="F1070" s="1" t="s">
        <v>19130</v>
      </c>
      <c r="G1070" s="1" t="s">
        <v>19131</v>
      </c>
      <c r="H1070" s="1" t="s">
        <v>19132</v>
      </c>
      <c r="I1070" s="1" t="s">
        <v>19133</v>
      </c>
      <c r="J1070" s="1">
        <v>9082212775</v>
      </c>
      <c r="K1070" s="1" t="s">
        <v>79</v>
      </c>
      <c r="L1070" s="1" t="s">
        <v>19134</v>
      </c>
      <c r="M1070" s="1" t="s">
        <v>81</v>
      </c>
      <c r="N1070" s="1" t="s">
        <v>8166</v>
      </c>
      <c r="O1070" s="1" t="s">
        <v>19135</v>
      </c>
      <c r="P1070" s="1" t="s">
        <v>1298</v>
      </c>
      <c r="Q1070" s="1" t="s">
        <v>19136</v>
      </c>
      <c r="R1070" s="1" t="s">
        <v>6490</v>
      </c>
      <c r="S1070" s="1">
        <v>9422179511</v>
      </c>
      <c r="T1070" s="1" t="s">
        <v>120</v>
      </c>
      <c r="U1070" s="1" t="s">
        <v>18055</v>
      </c>
      <c r="V1070" s="1">
        <v>8626057997</v>
      </c>
      <c r="W1070" s="1" t="s">
        <v>120</v>
      </c>
      <c r="X1070" s="1" t="s">
        <v>19137</v>
      </c>
      <c r="Y1070" s="1" t="s">
        <v>405</v>
      </c>
      <c r="Z1070" s="1" t="s">
        <v>92</v>
      </c>
      <c r="AA1070" s="1" t="s">
        <v>19137</v>
      </c>
      <c r="AB1070" s="1" t="s">
        <v>405</v>
      </c>
      <c r="AC1070" s="1" t="s">
        <v>92</v>
      </c>
      <c r="AD1070" s="1">
        <v>7.76</v>
      </c>
      <c r="AE1070" s="1" t="s">
        <v>93</v>
      </c>
      <c r="AF1070" s="1" t="s">
        <v>19138</v>
      </c>
      <c r="AG1070" s="1" t="s">
        <v>19139</v>
      </c>
      <c r="AH1070" s="1" t="s">
        <v>3410</v>
      </c>
      <c r="AI1070" s="1" t="s">
        <v>131</v>
      </c>
      <c r="AJ1070" s="1">
        <v>89.3</v>
      </c>
      <c r="AK1070" s="1">
        <v>9.4</v>
      </c>
      <c r="AL1070" s="1" t="s">
        <v>19140</v>
      </c>
      <c r="AM1070" s="1" t="s">
        <v>19139</v>
      </c>
      <c r="AN1070" s="1" t="s">
        <v>161</v>
      </c>
      <c r="AO1070" s="1" t="s">
        <v>479</v>
      </c>
      <c r="AP1070" s="1">
        <v>66.6</v>
      </c>
      <c r="AQ1070" s="1">
        <v>7.01</v>
      </c>
      <c r="AR1070" s="1"/>
      <c r="AS1070" s="1"/>
      <c r="AT1070" s="1"/>
      <c r="AU1070" s="1"/>
      <c r="AV1070" s="1"/>
      <c r="AW1070" s="1"/>
      <c r="AX1070" s="1" t="s">
        <v>253</v>
      </c>
      <c r="AY1070" s="1" t="s">
        <v>19141</v>
      </c>
      <c r="AZ1070" s="1" t="s">
        <v>225</v>
      </c>
      <c r="BA1070" s="1" t="s">
        <v>549</v>
      </c>
      <c r="BB1070" s="1">
        <v>56.73</v>
      </c>
      <c r="BC1070" s="1">
        <v>6.3</v>
      </c>
      <c r="BD1070" s="1"/>
      <c r="BE1070" s="1"/>
      <c r="BF1070" s="1"/>
      <c r="BG1070" s="1"/>
      <c r="BH1070" s="1"/>
      <c r="BI1070" s="1"/>
      <c r="BJ1070" s="1" t="s">
        <v>19142</v>
      </c>
      <c r="BK1070" s="1"/>
      <c r="BL1070" s="1"/>
      <c r="BM1070" s="1" t="s">
        <v>19143</v>
      </c>
      <c r="BN1070" s="1">
        <v>25</v>
      </c>
      <c r="BO1070" s="1" t="s">
        <v>19144</v>
      </c>
      <c r="BP1070" s="1" t="str">
        <f>HYPERLINK("https://nconnect.nicmar.ac.in/storage/profile/ProfilePhoto_P25706024_261895.jpg","Download")</f>
        <v>0</v>
      </c>
      <c r="BQ1070" s="3"/>
      <c r="BR1070" s="3"/>
    </row>
    <row r="1071" spans="1:70">
      <c r="A1071" s="1" t="s">
        <v>1113</v>
      </c>
      <c r="B1071" s="1" t="s">
        <v>1269</v>
      </c>
      <c r="C1071" s="1" t="s">
        <v>19145</v>
      </c>
      <c r="D1071" s="1" t="s">
        <v>19146</v>
      </c>
      <c r="E1071" s="1" t="s">
        <v>1760</v>
      </c>
      <c r="F1071" s="1" t="s">
        <v>19147</v>
      </c>
      <c r="G1071" s="1" t="s">
        <v>19148</v>
      </c>
      <c r="H1071" s="1" t="s">
        <v>19149</v>
      </c>
      <c r="I1071" s="1" t="s">
        <v>19150</v>
      </c>
      <c r="J1071" s="1">
        <v>9404268121</v>
      </c>
      <c r="K1071" s="1" t="s">
        <v>148</v>
      </c>
      <c r="L1071" s="1" t="s">
        <v>5552</v>
      </c>
      <c r="M1071" s="1" t="s">
        <v>81</v>
      </c>
      <c r="N1071" s="1" t="s">
        <v>19151</v>
      </c>
      <c r="O1071" s="1" t="s">
        <v>19152</v>
      </c>
      <c r="P1071" s="1" t="s">
        <v>1298</v>
      </c>
      <c r="Q1071" s="1" t="s">
        <v>19153</v>
      </c>
      <c r="R1071" s="1" t="s">
        <v>1760</v>
      </c>
      <c r="S1071" s="1">
        <v>9422458595</v>
      </c>
      <c r="T1071" s="1" t="s">
        <v>154</v>
      </c>
      <c r="U1071" s="1" t="s">
        <v>5837</v>
      </c>
      <c r="V1071" s="1">
        <v>9767954080</v>
      </c>
      <c r="W1071" s="1" t="s">
        <v>156</v>
      </c>
      <c r="X1071" s="1" t="s">
        <v>19154</v>
      </c>
      <c r="Y1071" s="1" t="s">
        <v>191</v>
      </c>
      <c r="Z1071" s="1" t="s">
        <v>92</v>
      </c>
      <c r="AA1071" s="1" t="s">
        <v>19155</v>
      </c>
      <c r="AB1071" s="1" t="s">
        <v>191</v>
      </c>
      <c r="AC1071" s="1" t="s">
        <v>92</v>
      </c>
      <c r="AD1071" s="1">
        <v>8.44</v>
      </c>
      <c r="AE1071" s="1" t="s">
        <v>93</v>
      </c>
      <c r="AF1071" s="1" t="s">
        <v>19156</v>
      </c>
      <c r="AG1071" s="1" t="s">
        <v>19157</v>
      </c>
      <c r="AH1071" s="1" t="s">
        <v>162</v>
      </c>
      <c r="AI1071" s="1" t="s">
        <v>165</v>
      </c>
      <c r="AJ1071" s="1">
        <v>88</v>
      </c>
      <c r="AK1071" s="1">
        <v>9.6</v>
      </c>
      <c r="AL1071" s="1" t="s">
        <v>19158</v>
      </c>
      <c r="AM1071" s="1" t="s">
        <v>19159</v>
      </c>
      <c r="AN1071" s="1" t="s">
        <v>165</v>
      </c>
      <c r="AO1071" s="1" t="s">
        <v>198</v>
      </c>
      <c r="AP1071" s="1">
        <v>68.62</v>
      </c>
      <c r="AQ1071" s="1"/>
      <c r="AR1071" s="1"/>
      <c r="AS1071" s="1"/>
      <c r="AT1071" s="1"/>
      <c r="AU1071" s="1"/>
      <c r="AV1071" s="1"/>
      <c r="AW1071" s="1"/>
      <c r="AX1071" s="1" t="s">
        <v>361</v>
      </c>
      <c r="AY1071" s="1" t="s">
        <v>19160</v>
      </c>
      <c r="AZ1071" s="1" t="s">
        <v>433</v>
      </c>
      <c r="BA1071" s="1" t="s">
        <v>413</v>
      </c>
      <c r="BB1071" s="1">
        <v>64.79</v>
      </c>
      <c r="BC1071" s="1">
        <v>7.28</v>
      </c>
      <c r="BD1071" s="1"/>
      <c r="BE1071" s="1"/>
      <c r="BF1071" s="1"/>
      <c r="BG1071" s="1"/>
      <c r="BH1071" s="1"/>
      <c r="BI1071" s="1"/>
      <c r="BJ1071" s="1" t="s">
        <v>19161</v>
      </c>
      <c r="BK1071" s="1" t="s">
        <v>19162</v>
      </c>
      <c r="BL1071" s="1" t="s">
        <v>2914</v>
      </c>
      <c r="BM1071" s="1" t="s">
        <v>19163</v>
      </c>
      <c r="BN1071" s="1">
        <v>35</v>
      </c>
      <c r="BO1071" s="1" t="s">
        <v>19164</v>
      </c>
      <c r="BP1071" s="1" t="str">
        <f>HYPERLINK("https://nconnect.nicmar.ac.in/storage/profile/ProfilePhoto_P25706025_139682.jpg","Download")</f>
        <v>0</v>
      </c>
      <c r="BQ1071" s="3"/>
      <c r="BR1071" s="3"/>
    </row>
    <row r="1072" spans="1:70">
      <c r="A1072" s="1" t="s">
        <v>1113</v>
      </c>
      <c r="B1072" s="1" t="s">
        <v>1269</v>
      </c>
      <c r="C1072" s="1" t="s">
        <v>19165</v>
      </c>
      <c r="D1072" s="1" t="s">
        <v>19166</v>
      </c>
      <c r="E1072" s="1"/>
      <c r="F1072" s="1" t="s">
        <v>2658</v>
      </c>
      <c r="G1072" s="1" t="s">
        <v>19167</v>
      </c>
      <c r="H1072" s="1" t="s">
        <v>19168</v>
      </c>
      <c r="I1072" s="1" t="s">
        <v>19169</v>
      </c>
      <c r="J1072" s="1">
        <v>7019455055</v>
      </c>
      <c r="K1072" s="1" t="s">
        <v>79</v>
      </c>
      <c r="L1072" s="1" t="s">
        <v>19170</v>
      </c>
      <c r="M1072" s="1" t="s">
        <v>81</v>
      </c>
      <c r="N1072" s="1" t="s">
        <v>19171</v>
      </c>
      <c r="O1072" s="1"/>
      <c r="P1072" s="1" t="s">
        <v>1278</v>
      </c>
      <c r="Q1072" s="1" t="s">
        <v>19172</v>
      </c>
      <c r="R1072" s="1" t="s">
        <v>19173</v>
      </c>
      <c r="S1072" s="1">
        <v>9845499155</v>
      </c>
      <c r="T1072" s="1" t="s">
        <v>496</v>
      </c>
      <c r="U1072" s="1" t="s">
        <v>19174</v>
      </c>
      <c r="V1072" s="1">
        <v>9980857755</v>
      </c>
      <c r="W1072" s="1" t="s">
        <v>156</v>
      </c>
      <c r="X1072" s="1" t="s">
        <v>19175</v>
      </c>
      <c r="Y1072" s="1" t="s">
        <v>1083</v>
      </c>
      <c r="Z1072" s="1" t="s">
        <v>1084</v>
      </c>
      <c r="AA1072" s="1" t="s">
        <v>19175</v>
      </c>
      <c r="AB1072" s="1" t="s">
        <v>1083</v>
      </c>
      <c r="AC1072" s="1" t="s">
        <v>1084</v>
      </c>
      <c r="AD1072" s="1">
        <v>9.38</v>
      </c>
      <c r="AE1072" s="1" t="s">
        <v>93</v>
      </c>
      <c r="AF1072" s="1" t="s">
        <v>3467</v>
      </c>
      <c r="AG1072" s="1" t="s">
        <v>9727</v>
      </c>
      <c r="AH1072" s="1" t="s">
        <v>166</v>
      </c>
      <c r="AI1072" s="1" t="s">
        <v>308</v>
      </c>
      <c r="AJ1072" s="1">
        <v>83.8</v>
      </c>
      <c r="AK1072" s="1">
        <v>8.38</v>
      </c>
      <c r="AL1072" s="1" t="s">
        <v>19176</v>
      </c>
      <c r="AM1072" s="1" t="s">
        <v>9727</v>
      </c>
      <c r="AN1072" s="1" t="s">
        <v>433</v>
      </c>
      <c r="AO1072" s="1" t="s">
        <v>1131</v>
      </c>
      <c r="AP1072" s="1">
        <v>84.8</v>
      </c>
      <c r="AQ1072" s="1">
        <v>8.48</v>
      </c>
      <c r="AR1072" s="1"/>
      <c r="AS1072" s="1"/>
      <c r="AT1072" s="1"/>
      <c r="AU1072" s="1"/>
      <c r="AV1072" s="1"/>
      <c r="AW1072" s="1"/>
      <c r="AX1072" s="1" t="s">
        <v>7383</v>
      </c>
      <c r="AY1072" s="1" t="s">
        <v>19177</v>
      </c>
      <c r="AZ1072" s="1" t="s">
        <v>897</v>
      </c>
      <c r="BA1072" s="1" t="s">
        <v>1584</v>
      </c>
      <c r="BB1072" s="1">
        <v>58.3</v>
      </c>
      <c r="BC1072" s="1">
        <v>5.83</v>
      </c>
      <c r="BD1072" s="1"/>
      <c r="BE1072" s="1"/>
      <c r="BF1072" s="1"/>
      <c r="BG1072" s="1"/>
      <c r="BH1072" s="1"/>
      <c r="BI1072" s="1"/>
      <c r="BJ1072" s="1" t="s">
        <v>19028</v>
      </c>
      <c r="BK1072" s="1"/>
      <c r="BL1072" s="1"/>
      <c r="BM1072" s="1" t="s">
        <v>19178</v>
      </c>
      <c r="BN1072" s="1">
        <v>14</v>
      </c>
      <c r="BO1072" s="1"/>
      <c r="BP1072" s="1" t="str">
        <f>HYPERLINK("https://nconnect.nicmar.ac.in/storage/profile/ProfilePhoto_P25706026_736918.jpg","Download")</f>
        <v>0</v>
      </c>
      <c r="BQ1072" s="3"/>
      <c r="BR1072" s="3"/>
    </row>
    <row r="1073" spans="1:70">
      <c r="A1073" s="1" t="s">
        <v>1563</v>
      </c>
      <c r="B1073" s="1" t="s">
        <v>1269</v>
      </c>
      <c r="C1073" s="1" t="s">
        <v>19179</v>
      </c>
      <c r="D1073" s="1" t="s">
        <v>19180</v>
      </c>
      <c r="E1073" s="1"/>
      <c r="F1073" s="1" t="s">
        <v>19181</v>
      </c>
      <c r="G1073" s="1" t="s">
        <v>19182</v>
      </c>
      <c r="H1073" s="1" t="s">
        <v>19183</v>
      </c>
      <c r="I1073" s="1" t="s">
        <v>19184</v>
      </c>
      <c r="J1073" s="1">
        <v>9444018662</v>
      </c>
      <c r="K1073" s="1" t="s">
        <v>148</v>
      </c>
      <c r="L1073" s="1" t="s">
        <v>19185</v>
      </c>
      <c r="M1073" s="1" t="s">
        <v>81</v>
      </c>
      <c r="N1073" s="1" t="s">
        <v>19186</v>
      </c>
      <c r="O1073" s="1"/>
      <c r="P1073" s="1" t="s">
        <v>1278</v>
      </c>
      <c r="Q1073" s="1" t="s">
        <v>19187</v>
      </c>
      <c r="R1073" s="1" t="s">
        <v>19188</v>
      </c>
      <c r="S1073" s="1">
        <v>9444018661</v>
      </c>
      <c r="T1073" s="1" t="s">
        <v>15560</v>
      </c>
      <c r="U1073" s="1" t="s">
        <v>19189</v>
      </c>
      <c r="V1073" s="1">
        <v>9444018663</v>
      </c>
      <c r="W1073" s="1" t="s">
        <v>520</v>
      </c>
      <c r="X1073" s="1" t="s">
        <v>19190</v>
      </c>
      <c r="Y1073" s="1" t="s">
        <v>2320</v>
      </c>
      <c r="Z1073" s="1" t="s">
        <v>1377</v>
      </c>
      <c r="AA1073" s="1" t="s">
        <v>19190</v>
      </c>
      <c r="AB1073" s="1" t="s">
        <v>2320</v>
      </c>
      <c r="AC1073" s="1" t="s">
        <v>1377</v>
      </c>
      <c r="AD1073" s="1">
        <v>9.45</v>
      </c>
      <c r="AE1073" s="1" t="s">
        <v>93</v>
      </c>
      <c r="AF1073" s="1" t="s">
        <v>19191</v>
      </c>
      <c r="AG1073" s="1" t="s">
        <v>19192</v>
      </c>
      <c r="AH1073" s="1" t="s">
        <v>101</v>
      </c>
      <c r="AI1073" s="1" t="s">
        <v>308</v>
      </c>
      <c r="AJ1073" s="1">
        <v>90.6</v>
      </c>
      <c r="AK1073" s="1"/>
      <c r="AL1073" s="1" t="s">
        <v>19193</v>
      </c>
      <c r="AM1073" s="1" t="s">
        <v>19192</v>
      </c>
      <c r="AN1073" s="1" t="s">
        <v>1834</v>
      </c>
      <c r="AO1073" s="1" t="s">
        <v>506</v>
      </c>
      <c r="AP1073" s="1">
        <v>96.4</v>
      </c>
      <c r="AQ1073" s="1"/>
      <c r="AR1073" s="1"/>
      <c r="AS1073" s="1"/>
      <c r="AT1073" s="1"/>
      <c r="AU1073" s="1"/>
      <c r="AV1073" s="1"/>
      <c r="AW1073" s="1"/>
      <c r="AX1073" s="1" t="s">
        <v>19194</v>
      </c>
      <c r="AY1073" s="1" t="s">
        <v>19195</v>
      </c>
      <c r="AZ1073" s="1" t="s">
        <v>135</v>
      </c>
      <c r="BA1073" s="1" t="s">
        <v>1714</v>
      </c>
      <c r="BB1073" s="1">
        <v>78.5</v>
      </c>
      <c r="BC1073" s="1">
        <v>7.85</v>
      </c>
      <c r="BD1073" s="1"/>
      <c r="BE1073" s="1"/>
      <c r="BF1073" s="1"/>
      <c r="BG1073" s="1"/>
      <c r="BH1073" s="1"/>
      <c r="BI1073" s="1"/>
      <c r="BJ1073" s="1" t="s">
        <v>19196</v>
      </c>
      <c r="BK1073" s="1"/>
      <c r="BL1073" s="1"/>
      <c r="BM1073" s="1" t="s">
        <v>19197</v>
      </c>
      <c r="BN1073" s="1">
        <v>16</v>
      </c>
      <c r="BO1073" s="1" t="s">
        <v>19198</v>
      </c>
      <c r="BP1073" s="1" t="str">
        <f>HYPERLINK("https://nconnect.nicmar.ac.in/storage/profile/ProfilePhoto_P25701001_763985.jpg","Download")</f>
        <v>0</v>
      </c>
      <c r="BQ1073" s="3"/>
      <c r="BR1073" s="3"/>
    </row>
    <row r="1074" spans="1:70">
      <c r="A1074" s="1" t="s">
        <v>1563</v>
      </c>
      <c r="B1074" s="1" t="s">
        <v>1269</v>
      </c>
      <c r="C1074" s="1" t="s">
        <v>19199</v>
      </c>
      <c r="D1074" s="1" t="s">
        <v>9816</v>
      </c>
      <c r="E1074" s="1" t="s">
        <v>6490</v>
      </c>
      <c r="F1074" s="1" t="s">
        <v>19200</v>
      </c>
      <c r="G1074" s="1" t="s">
        <v>19201</v>
      </c>
      <c r="H1074" s="1" t="s">
        <v>19202</v>
      </c>
      <c r="I1074" s="1" t="s">
        <v>19203</v>
      </c>
      <c r="J1074" s="1">
        <v>8291698788</v>
      </c>
      <c r="K1074" s="1" t="s">
        <v>79</v>
      </c>
      <c r="L1074" s="1" t="s">
        <v>19204</v>
      </c>
      <c r="M1074" s="1" t="s">
        <v>81</v>
      </c>
      <c r="N1074" s="1" t="s">
        <v>1418</v>
      </c>
      <c r="O1074" s="1"/>
      <c r="P1074" s="1" t="s">
        <v>1298</v>
      </c>
      <c r="Q1074" s="1" t="s">
        <v>19205</v>
      </c>
      <c r="R1074" s="1" t="s">
        <v>6490</v>
      </c>
      <c r="S1074" s="1">
        <v>9820543834</v>
      </c>
      <c r="T1074" s="1" t="s">
        <v>19206</v>
      </c>
      <c r="U1074" s="1" t="s">
        <v>19207</v>
      </c>
      <c r="V1074" s="1">
        <v>9920943328</v>
      </c>
      <c r="W1074" s="1" t="s">
        <v>156</v>
      </c>
      <c r="X1074" s="1" t="s">
        <v>19208</v>
      </c>
      <c r="Y1074" s="1" t="s">
        <v>766</v>
      </c>
      <c r="Z1074" s="1" t="s">
        <v>92</v>
      </c>
      <c r="AA1074" s="1" t="s">
        <v>19208</v>
      </c>
      <c r="AB1074" s="1" t="s">
        <v>766</v>
      </c>
      <c r="AC1074" s="1" t="s">
        <v>92</v>
      </c>
      <c r="AD1074" s="1">
        <v>8.96</v>
      </c>
      <c r="AE1074" s="1" t="s">
        <v>93</v>
      </c>
      <c r="AF1074" s="1" t="s">
        <v>19209</v>
      </c>
      <c r="AG1074" s="1" t="s">
        <v>19210</v>
      </c>
      <c r="AH1074" s="1" t="s">
        <v>97</v>
      </c>
      <c r="AI1074" s="1" t="s">
        <v>456</v>
      </c>
      <c r="AJ1074" s="1">
        <v>94.4</v>
      </c>
      <c r="AK1074" s="1"/>
      <c r="AL1074" s="1" t="s">
        <v>19211</v>
      </c>
      <c r="AM1074" s="1" t="s">
        <v>160</v>
      </c>
      <c r="AN1074" s="1" t="s">
        <v>1332</v>
      </c>
      <c r="AO1074" s="1" t="s">
        <v>457</v>
      </c>
      <c r="AP1074" s="1">
        <v>62.46</v>
      </c>
      <c r="AQ1074" s="1"/>
      <c r="AR1074" s="1"/>
      <c r="AS1074" s="1"/>
      <c r="AT1074" s="1"/>
      <c r="AU1074" s="1"/>
      <c r="AV1074" s="1"/>
      <c r="AW1074" s="1"/>
      <c r="AX1074" s="1" t="s">
        <v>253</v>
      </c>
      <c r="AY1074" s="1" t="s">
        <v>19212</v>
      </c>
      <c r="AZ1074" s="1" t="s">
        <v>636</v>
      </c>
      <c r="BA1074" s="1" t="s">
        <v>105</v>
      </c>
      <c r="BB1074" s="1">
        <v>65.79</v>
      </c>
      <c r="BC1074" s="1"/>
      <c r="BD1074" s="1"/>
      <c r="BE1074" s="1"/>
      <c r="BF1074" s="1"/>
      <c r="BG1074" s="1"/>
      <c r="BH1074" s="1"/>
      <c r="BI1074" s="1"/>
      <c r="BJ1074" s="1" t="s">
        <v>19213</v>
      </c>
      <c r="BK1074" s="1" t="s">
        <v>19214</v>
      </c>
      <c r="BL1074" s="1" t="s">
        <v>2305</v>
      </c>
      <c r="BM1074" s="1" t="s">
        <v>19215</v>
      </c>
      <c r="BN1074" s="1">
        <v>47</v>
      </c>
      <c r="BO1074" s="1" t="s">
        <v>19216</v>
      </c>
      <c r="BP1074" s="1" t="str">
        <f>HYPERLINK("https://nconnect.nicmar.ac.in/storage/profile/ProfilePhoto_P25701002_568417.jpg","Download")</f>
        <v>0</v>
      </c>
      <c r="BQ1074" s="3"/>
      <c r="BR1074" s="3"/>
    </row>
    <row r="1075" spans="1:70">
      <c r="A1075" s="1" t="s">
        <v>1563</v>
      </c>
      <c r="B1075" s="1" t="s">
        <v>1269</v>
      </c>
      <c r="C1075" s="1" t="s">
        <v>19217</v>
      </c>
      <c r="D1075" s="1" t="s">
        <v>9078</v>
      </c>
      <c r="E1075" s="1" t="s">
        <v>19218</v>
      </c>
      <c r="F1075" s="1" t="s">
        <v>19219</v>
      </c>
      <c r="G1075" s="1" t="s">
        <v>19220</v>
      </c>
      <c r="H1075" s="1" t="s">
        <v>19221</v>
      </c>
      <c r="I1075" s="1" t="s">
        <v>19222</v>
      </c>
      <c r="J1075" s="1">
        <v>9022348931</v>
      </c>
      <c r="K1075" s="1" t="s">
        <v>79</v>
      </c>
      <c r="L1075" s="1" t="s">
        <v>19223</v>
      </c>
      <c r="M1075" s="1" t="s">
        <v>81</v>
      </c>
      <c r="N1075" s="1" t="s">
        <v>2008</v>
      </c>
      <c r="O1075" s="1" t="s">
        <v>19224</v>
      </c>
      <c r="P1075" s="1" t="s">
        <v>1278</v>
      </c>
      <c r="Q1075" s="1" t="s">
        <v>19225</v>
      </c>
      <c r="R1075" s="1" t="s">
        <v>19226</v>
      </c>
      <c r="S1075" s="1">
        <v>7977074221</v>
      </c>
      <c r="T1075" s="1" t="s">
        <v>496</v>
      </c>
      <c r="U1075" s="1" t="s">
        <v>19227</v>
      </c>
      <c r="V1075" s="1">
        <v>7666060307</v>
      </c>
      <c r="W1075" s="1" t="s">
        <v>273</v>
      </c>
      <c r="X1075" s="1" t="s">
        <v>19228</v>
      </c>
      <c r="Y1075" s="1" t="s">
        <v>191</v>
      </c>
      <c r="Z1075" s="1" t="s">
        <v>92</v>
      </c>
      <c r="AA1075" s="1" t="s">
        <v>19228</v>
      </c>
      <c r="AB1075" s="1" t="s">
        <v>191</v>
      </c>
      <c r="AC1075" s="1" t="s">
        <v>92</v>
      </c>
      <c r="AD1075" s="1">
        <v>8.97</v>
      </c>
      <c r="AE1075" s="1" t="s">
        <v>93</v>
      </c>
      <c r="AF1075" s="1" t="s">
        <v>19229</v>
      </c>
      <c r="AG1075" s="1" t="s">
        <v>19230</v>
      </c>
      <c r="AH1075" s="1" t="s">
        <v>166</v>
      </c>
      <c r="AI1075" s="1" t="s">
        <v>308</v>
      </c>
      <c r="AJ1075" s="1">
        <v>75</v>
      </c>
      <c r="AK1075" s="1">
        <v>0</v>
      </c>
      <c r="AL1075" s="1" t="s">
        <v>19231</v>
      </c>
      <c r="AM1075" s="1" t="s">
        <v>160</v>
      </c>
      <c r="AN1075" s="1" t="s">
        <v>412</v>
      </c>
      <c r="AO1075" s="1" t="s">
        <v>1712</v>
      </c>
      <c r="AP1075" s="1">
        <v>83.83</v>
      </c>
      <c r="AQ1075" s="1">
        <v>0</v>
      </c>
      <c r="AR1075" s="1"/>
      <c r="AS1075" s="1"/>
      <c r="AT1075" s="1"/>
      <c r="AU1075" s="1"/>
      <c r="AV1075" s="1"/>
      <c r="AW1075" s="1"/>
      <c r="AX1075" s="1" t="s">
        <v>361</v>
      </c>
      <c r="AY1075" s="1" t="s">
        <v>19232</v>
      </c>
      <c r="AZ1075" s="1" t="s">
        <v>897</v>
      </c>
      <c r="BA1075" s="1" t="s">
        <v>1584</v>
      </c>
      <c r="BB1075" s="1">
        <v>71</v>
      </c>
      <c r="BC1075" s="1">
        <v>7.85</v>
      </c>
      <c r="BD1075" s="1"/>
      <c r="BE1075" s="1"/>
      <c r="BF1075" s="1"/>
      <c r="BG1075" s="1"/>
      <c r="BH1075" s="1"/>
      <c r="BI1075" s="1"/>
      <c r="BJ1075" s="1" t="s">
        <v>19233</v>
      </c>
      <c r="BK1075" s="1"/>
      <c r="BL1075" s="1"/>
      <c r="BM1075" s="1" t="s">
        <v>19234</v>
      </c>
      <c r="BN1075" s="1">
        <v>7</v>
      </c>
      <c r="BO1075" s="1" t="s">
        <v>19235</v>
      </c>
      <c r="BP1075" s="1" t="str">
        <f>HYPERLINK("https://nconnect.nicmar.ac.in/storage/profile/ProfilePhoto_P25701003_852167.jpg","Download")</f>
        <v>0</v>
      </c>
      <c r="BQ1075" s="3"/>
      <c r="BR1075" s="3"/>
    </row>
    <row r="1076" spans="1:70">
      <c r="A1076" s="1" t="s">
        <v>1563</v>
      </c>
      <c r="B1076" s="1" t="s">
        <v>1269</v>
      </c>
      <c r="C1076" s="1" t="s">
        <v>19236</v>
      </c>
      <c r="D1076" s="1" t="s">
        <v>19237</v>
      </c>
      <c r="E1076" s="1"/>
      <c r="F1076" s="1" t="s">
        <v>19238</v>
      </c>
      <c r="G1076" s="1" t="s">
        <v>19239</v>
      </c>
      <c r="H1076" s="1" t="s">
        <v>19240</v>
      </c>
      <c r="I1076" s="1" t="s">
        <v>19241</v>
      </c>
      <c r="J1076" s="1">
        <v>9035847995</v>
      </c>
      <c r="K1076" s="1" t="s">
        <v>79</v>
      </c>
      <c r="L1076" s="1" t="s">
        <v>19242</v>
      </c>
      <c r="M1076" s="1" t="s">
        <v>81</v>
      </c>
      <c r="N1076" s="1" t="s">
        <v>11662</v>
      </c>
      <c r="O1076" s="1"/>
      <c r="P1076" s="1" t="s">
        <v>1278</v>
      </c>
      <c r="Q1076" s="1" t="s">
        <v>19243</v>
      </c>
      <c r="R1076" s="1" t="s">
        <v>19244</v>
      </c>
      <c r="S1076" s="1">
        <v>9986833143</v>
      </c>
      <c r="T1076" s="1" t="s">
        <v>19245</v>
      </c>
      <c r="U1076" s="1" t="s">
        <v>19246</v>
      </c>
      <c r="V1076" s="1">
        <v>9986093146</v>
      </c>
      <c r="W1076" s="1" t="s">
        <v>89</v>
      </c>
      <c r="X1076" s="1" t="s">
        <v>19247</v>
      </c>
      <c r="Y1076" s="1" t="s">
        <v>1083</v>
      </c>
      <c r="Z1076" s="1" t="s">
        <v>1084</v>
      </c>
      <c r="AA1076" s="1" t="s">
        <v>19247</v>
      </c>
      <c r="AB1076" s="1" t="s">
        <v>1083</v>
      </c>
      <c r="AC1076" s="1" t="s">
        <v>1084</v>
      </c>
      <c r="AD1076" s="1">
        <v>7.95</v>
      </c>
      <c r="AE1076" s="1" t="s">
        <v>93</v>
      </c>
      <c r="AF1076" s="1" t="s">
        <v>19248</v>
      </c>
      <c r="AG1076" s="1" t="s">
        <v>19249</v>
      </c>
      <c r="AH1076" s="1" t="s">
        <v>195</v>
      </c>
      <c r="AI1076" s="1" t="s">
        <v>166</v>
      </c>
      <c r="AJ1076" s="1">
        <v>70.5</v>
      </c>
      <c r="AK1076" s="1"/>
      <c r="AL1076" s="1" t="s">
        <v>5559</v>
      </c>
      <c r="AM1076" s="1" t="s">
        <v>14361</v>
      </c>
      <c r="AN1076" s="1" t="s">
        <v>409</v>
      </c>
      <c r="AO1076" s="1" t="s">
        <v>173</v>
      </c>
      <c r="AP1076" s="1">
        <v>63.33</v>
      </c>
      <c r="AQ1076" s="1"/>
      <c r="AR1076" s="1"/>
      <c r="AS1076" s="1"/>
      <c r="AT1076" s="1"/>
      <c r="AU1076" s="1"/>
      <c r="AV1076" s="1"/>
      <c r="AW1076" s="1"/>
      <c r="AX1076" s="1" t="s">
        <v>1088</v>
      </c>
      <c r="AY1076" s="1" t="s">
        <v>19250</v>
      </c>
      <c r="AZ1076" s="1" t="s">
        <v>170</v>
      </c>
      <c r="BA1076" s="1" t="s">
        <v>202</v>
      </c>
      <c r="BB1076" s="1">
        <v>65.2</v>
      </c>
      <c r="BC1076" s="1">
        <v>7.27</v>
      </c>
      <c r="BD1076" s="1"/>
      <c r="BE1076" s="1"/>
      <c r="BF1076" s="1"/>
      <c r="BG1076" s="1"/>
      <c r="BH1076" s="1"/>
      <c r="BI1076" s="1"/>
      <c r="BJ1076" s="1" t="s">
        <v>19251</v>
      </c>
      <c r="BK1076" s="1"/>
      <c r="BL1076" s="1"/>
      <c r="BM1076" s="1" t="s">
        <v>19252</v>
      </c>
      <c r="BN1076" s="1">
        <v>17</v>
      </c>
      <c r="BO1076" s="1"/>
      <c r="BP1076" s="1" t="str">
        <f>HYPERLINK("https://nconnect.nicmar.ac.in/storage/profile/ProfilePhoto_P25701004_384192.jpg","Download")</f>
        <v>0</v>
      </c>
      <c r="BQ1076" s="3"/>
      <c r="BR1076" s="3"/>
    </row>
    <row r="1077" spans="1:70">
      <c r="A1077" s="1" t="s">
        <v>1563</v>
      </c>
      <c r="B1077" s="1" t="s">
        <v>1269</v>
      </c>
      <c r="C1077" s="1" t="s">
        <v>19253</v>
      </c>
      <c r="D1077" s="1" t="s">
        <v>19254</v>
      </c>
      <c r="E1077" s="1"/>
      <c r="F1077" s="1" t="s">
        <v>19255</v>
      </c>
      <c r="G1077" s="1" t="s">
        <v>19256</v>
      </c>
      <c r="H1077" s="1" t="s">
        <v>19257</v>
      </c>
      <c r="I1077" s="1" t="s">
        <v>19258</v>
      </c>
      <c r="J1077" s="1">
        <v>9840917479</v>
      </c>
      <c r="K1077" s="1" t="s">
        <v>148</v>
      </c>
      <c r="L1077" s="1" t="s">
        <v>19259</v>
      </c>
      <c r="M1077" s="1" t="s">
        <v>81</v>
      </c>
      <c r="N1077" s="1" t="s">
        <v>19260</v>
      </c>
      <c r="O1077" s="1"/>
      <c r="P1077" s="1" t="s">
        <v>1298</v>
      </c>
      <c r="Q1077" s="1" t="s">
        <v>19261</v>
      </c>
      <c r="R1077" s="1" t="s">
        <v>19262</v>
      </c>
      <c r="S1077" s="1">
        <v>9894334005</v>
      </c>
      <c r="T1077" s="1" t="s">
        <v>19263</v>
      </c>
      <c r="U1077" s="1" t="s">
        <v>19264</v>
      </c>
      <c r="V1077" s="1">
        <v>9944434003</v>
      </c>
      <c r="W1077" s="1" t="s">
        <v>651</v>
      </c>
      <c r="X1077" s="1" t="s">
        <v>19265</v>
      </c>
      <c r="Y1077" s="1" t="s">
        <v>19266</v>
      </c>
      <c r="Z1077" s="1" t="s">
        <v>1377</v>
      </c>
      <c r="AA1077" s="1" t="s">
        <v>19265</v>
      </c>
      <c r="AB1077" s="1" t="s">
        <v>19266</v>
      </c>
      <c r="AC1077" s="1" t="s">
        <v>1377</v>
      </c>
      <c r="AD1077" s="1">
        <v>9.53</v>
      </c>
      <c r="AE1077" s="1" t="s">
        <v>93</v>
      </c>
      <c r="AF1077" s="1" t="s">
        <v>19267</v>
      </c>
      <c r="AG1077" s="1" t="s">
        <v>19268</v>
      </c>
      <c r="AH1077" s="1" t="s">
        <v>162</v>
      </c>
      <c r="AI1077" s="1" t="s">
        <v>479</v>
      </c>
      <c r="AJ1077" s="1">
        <v>81</v>
      </c>
      <c r="AK1077" s="1"/>
      <c r="AL1077" s="1" t="s">
        <v>19267</v>
      </c>
      <c r="AM1077" s="1" t="s">
        <v>19269</v>
      </c>
      <c r="AN1077" s="1" t="s">
        <v>101</v>
      </c>
      <c r="AO1077" s="1" t="s">
        <v>308</v>
      </c>
      <c r="AP1077" s="1">
        <v>82.4</v>
      </c>
      <c r="AQ1077" s="1"/>
      <c r="AR1077" s="1"/>
      <c r="AS1077" s="1"/>
      <c r="AT1077" s="1"/>
      <c r="AU1077" s="1"/>
      <c r="AV1077" s="1"/>
      <c r="AW1077" s="1"/>
      <c r="AX1077" s="1" t="s">
        <v>19270</v>
      </c>
      <c r="AY1077" s="1" t="s">
        <v>19271</v>
      </c>
      <c r="AZ1077" s="1" t="s">
        <v>201</v>
      </c>
      <c r="BA1077" s="1" t="s">
        <v>202</v>
      </c>
      <c r="BB1077" s="1">
        <v>89.2</v>
      </c>
      <c r="BC1077" s="1">
        <v>8.92</v>
      </c>
      <c r="BD1077" s="1"/>
      <c r="BE1077" s="1"/>
      <c r="BF1077" s="1"/>
      <c r="BG1077" s="1"/>
      <c r="BH1077" s="1"/>
      <c r="BI1077" s="1"/>
      <c r="BJ1077" s="1" t="s">
        <v>19272</v>
      </c>
      <c r="BK1077" s="1"/>
      <c r="BL1077" s="1"/>
      <c r="BM1077" s="1" t="s">
        <v>19273</v>
      </c>
      <c r="BN1077" s="1">
        <v>25</v>
      </c>
      <c r="BO1077" s="1" t="s">
        <v>19274</v>
      </c>
      <c r="BP1077" s="1" t="str">
        <f>HYPERLINK("https://nconnect.nicmar.ac.in/storage/profile/ProfilePhoto_P25701005_496138.jpg","Download")</f>
        <v>0</v>
      </c>
      <c r="BQ1077" s="3"/>
      <c r="BR1077" s="3"/>
    </row>
    <row r="1078" spans="1:70">
      <c r="A1078" s="1" t="s">
        <v>1563</v>
      </c>
      <c r="B1078" s="1" t="s">
        <v>1269</v>
      </c>
      <c r="C1078" s="1" t="s">
        <v>19275</v>
      </c>
      <c r="D1078" s="1" t="s">
        <v>533</v>
      </c>
      <c r="E1078" s="1" t="s">
        <v>513</v>
      </c>
      <c r="F1078" s="1" t="s">
        <v>18333</v>
      </c>
      <c r="G1078" s="1" t="s">
        <v>19276</v>
      </c>
      <c r="H1078" s="1" t="s">
        <v>19277</v>
      </c>
      <c r="I1078" s="1" t="s">
        <v>19278</v>
      </c>
      <c r="J1078" s="1">
        <v>9834614044</v>
      </c>
      <c r="K1078" s="1" t="s">
        <v>79</v>
      </c>
      <c r="L1078" s="1" t="s">
        <v>19279</v>
      </c>
      <c r="M1078" s="1" t="s">
        <v>81</v>
      </c>
      <c r="N1078" s="1" t="s">
        <v>1418</v>
      </c>
      <c r="O1078" s="1"/>
      <c r="P1078" s="1" t="s">
        <v>1298</v>
      </c>
      <c r="Q1078" s="1" t="s">
        <v>19280</v>
      </c>
      <c r="R1078" s="1" t="s">
        <v>513</v>
      </c>
      <c r="S1078" s="1">
        <v>8308522030</v>
      </c>
      <c r="T1078" s="1" t="s">
        <v>120</v>
      </c>
      <c r="U1078" s="1" t="s">
        <v>217</v>
      </c>
      <c r="V1078" s="1">
        <v>8308522030</v>
      </c>
      <c r="W1078" s="1" t="s">
        <v>156</v>
      </c>
      <c r="X1078" s="1" t="s">
        <v>19281</v>
      </c>
      <c r="Y1078" s="1"/>
      <c r="Z1078" s="1" t="s">
        <v>92</v>
      </c>
      <c r="AA1078" s="1" t="s">
        <v>19281</v>
      </c>
      <c r="AB1078" s="1"/>
      <c r="AC1078" s="1" t="s">
        <v>92</v>
      </c>
      <c r="AD1078" s="1">
        <v>8.11</v>
      </c>
      <c r="AE1078" s="1" t="s">
        <v>93</v>
      </c>
      <c r="AF1078" s="1" t="s">
        <v>19282</v>
      </c>
      <c r="AG1078" s="1" t="s">
        <v>19283</v>
      </c>
      <c r="AH1078" s="1" t="s">
        <v>162</v>
      </c>
      <c r="AI1078" s="1" t="s">
        <v>195</v>
      </c>
      <c r="AJ1078" s="1">
        <v>68.2</v>
      </c>
      <c r="AK1078" s="1"/>
      <c r="AL1078" s="1" t="s">
        <v>19284</v>
      </c>
      <c r="AM1078" s="1" t="s">
        <v>19285</v>
      </c>
      <c r="AN1078" s="1" t="s">
        <v>383</v>
      </c>
      <c r="AO1078" s="1" t="s">
        <v>308</v>
      </c>
      <c r="AP1078" s="1">
        <v>63.08</v>
      </c>
      <c r="AQ1078" s="1"/>
      <c r="AR1078" s="1" t="s">
        <v>434</v>
      </c>
      <c r="AS1078" s="1" t="s">
        <v>19286</v>
      </c>
      <c r="AT1078" s="1" t="s">
        <v>310</v>
      </c>
      <c r="AU1078" s="1" t="s">
        <v>1051</v>
      </c>
      <c r="AV1078" s="1">
        <v>88.95</v>
      </c>
      <c r="AW1078" s="1"/>
      <c r="AX1078" s="1" t="s">
        <v>19287</v>
      </c>
      <c r="AY1078" s="1" t="s">
        <v>19287</v>
      </c>
      <c r="AZ1078" s="1" t="s">
        <v>436</v>
      </c>
      <c r="BA1078" s="1" t="s">
        <v>202</v>
      </c>
      <c r="BB1078" s="1">
        <v>86.7</v>
      </c>
      <c r="BC1078" s="1">
        <v>9.42</v>
      </c>
      <c r="BD1078" s="1"/>
      <c r="BE1078" s="1"/>
      <c r="BF1078" s="1"/>
      <c r="BG1078" s="1"/>
      <c r="BH1078" s="1"/>
      <c r="BI1078" s="1"/>
      <c r="BJ1078" s="1" t="s">
        <v>19288</v>
      </c>
      <c r="BK1078" s="1" t="s">
        <v>19289</v>
      </c>
      <c r="BL1078" s="1" t="s">
        <v>2892</v>
      </c>
      <c r="BM1078" s="1" t="s">
        <v>19290</v>
      </c>
      <c r="BN1078" s="1">
        <v>23</v>
      </c>
      <c r="BO1078" s="1" t="s">
        <v>19291</v>
      </c>
      <c r="BP1078" s="1" t="str">
        <f>HYPERLINK("https://nconnect.nicmar.ac.in/storage/profile/ProfilePhoto_P25701007_349827.jpg","Download")</f>
        <v>0</v>
      </c>
      <c r="BQ1078" s="3"/>
      <c r="BR1078" s="3"/>
    </row>
    <row r="1079" spans="1:70">
      <c r="A1079" s="1" t="s">
        <v>1563</v>
      </c>
      <c r="B1079" s="1" t="s">
        <v>1269</v>
      </c>
      <c r="C1079" s="1" t="s">
        <v>19292</v>
      </c>
      <c r="D1079" s="1" t="s">
        <v>19293</v>
      </c>
      <c r="E1079" s="1" t="s">
        <v>12269</v>
      </c>
      <c r="F1079" s="1" t="s">
        <v>17083</v>
      </c>
      <c r="G1079" s="1" t="s">
        <v>19294</v>
      </c>
      <c r="H1079" s="1" t="s">
        <v>19295</v>
      </c>
      <c r="I1079" s="1" t="s">
        <v>19296</v>
      </c>
      <c r="J1079" s="1">
        <v>9920066672</v>
      </c>
      <c r="K1079" s="1" t="s">
        <v>79</v>
      </c>
      <c r="L1079" s="1" t="s">
        <v>10092</v>
      </c>
      <c r="M1079" s="1" t="s">
        <v>81</v>
      </c>
      <c r="N1079" s="1" t="s">
        <v>2008</v>
      </c>
      <c r="O1079" s="1"/>
      <c r="P1079" s="1" t="s">
        <v>1323</v>
      </c>
      <c r="Q1079" s="1" t="s">
        <v>19297</v>
      </c>
      <c r="R1079" s="1" t="s">
        <v>19298</v>
      </c>
      <c r="S1079" s="1">
        <v>9867336930</v>
      </c>
      <c r="T1079" s="1" t="s">
        <v>3197</v>
      </c>
      <c r="U1079" s="1" t="s">
        <v>19299</v>
      </c>
      <c r="V1079" s="1">
        <v>9967361509</v>
      </c>
      <c r="W1079" s="1" t="s">
        <v>19300</v>
      </c>
      <c r="X1079" s="1" t="s">
        <v>19301</v>
      </c>
      <c r="Y1079" s="1" t="s">
        <v>1623</v>
      </c>
      <c r="Z1079" s="1" t="s">
        <v>92</v>
      </c>
      <c r="AA1079" s="1" t="s">
        <v>19301</v>
      </c>
      <c r="AB1079" s="1" t="s">
        <v>1623</v>
      </c>
      <c r="AC1079" s="1" t="s">
        <v>92</v>
      </c>
      <c r="AD1079" s="1">
        <v>9.4</v>
      </c>
      <c r="AE1079" s="1" t="s">
        <v>93</v>
      </c>
      <c r="AF1079" s="1" t="s">
        <v>19302</v>
      </c>
      <c r="AG1079" s="1" t="s">
        <v>1152</v>
      </c>
      <c r="AH1079" s="1" t="s">
        <v>503</v>
      </c>
      <c r="AI1079" s="1" t="s">
        <v>527</v>
      </c>
      <c r="AJ1079" s="1">
        <v>93.5</v>
      </c>
      <c r="AK1079" s="1">
        <v>0</v>
      </c>
      <c r="AL1079" s="1" t="s">
        <v>19303</v>
      </c>
      <c r="AM1079" s="1" t="s">
        <v>160</v>
      </c>
      <c r="AN1079" s="1" t="s">
        <v>165</v>
      </c>
      <c r="AO1079" s="1" t="s">
        <v>457</v>
      </c>
      <c r="AP1079" s="1">
        <v>76.46</v>
      </c>
      <c r="AQ1079" s="1">
        <v>0</v>
      </c>
      <c r="AR1079" s="1"/>
      <c r="AS1079" s="1"/>
      <c r="AT1079" s="1"/>
      <c r="AU1079" s="1"/>
      <c r="AV1079" s="1"/>
      <c r="AW1079" s="1"/>
      <c r="AX1079" s="1" t="s">
        <v>253</v>
      </c>
      <c r="AY1079" s="1" t="s">
        <v>19304</v>
      </c>
      <c r="AZ1079" s="1" t="s">
        <v>636</v>
      </c>
      <c r="BA1079" s="1" t="s">
        <v>229</v>
      </c>
      <c r="BB1079" s="1">
        <v>76.23</v>
      </c>
      <c r="BC1079" s="1">
        <v>8.68</v>
      </c>
      <c r="BD1079" s="1"/>
      <c r="BE1079" s="1"/>
      <c r="BF1079" s="1"/>
      <c r="BG1079" s="1"/>
      <c r="BH1079" s="1"/>
      <c r="BI1079" s="1"/>
      <c r="BJ1079" s="1" t="s">
        <v>19305</v>
      </c>
      <c r="BK1079" s="1" t="s">
        <v>19306</v>
      </c>
      <c r="BL1079" s="1" t="s">
        <v>1385</v>
      </c>
      <c r="BM1079" s="1" t="s">
        <v>19307</v>
      </c>
      <c r="BN1079" s="1">
        <v>28</v>
      </c>
      <c r="BO1079" s="1" t="s">
        <v>19308</v>
      </c>
      <c r="BP1079" s="1" t="str">
        <f>HYPERLINK("https://nconnect.nicmar.ac.in/storage/profile/ProfilePhoto_P25701008_873691.jpg","Download")</f>
        <v>0</v>
      </c>
      <c r="BQ1079" s="3"/>
      <c r="BR1079" s="3"/>
    </row>
    <row r="1080" spans="1:70">
      <c r="A1080" s="1" t="s">
        <v>1563</v>
      </c>
      <c r="B1080" s="1" t="s">
        <v>1269</v>
      </c>
      <c r="C1080" s="1" t="s">
        <v>19309</v>
      </c>
      <c r="D1080" s="1" t="s">
        <v>11693</v>
      </c>
      <c r="E1080" s="1" t="s">
        <v>19310</v>
      </c>
      <c r="F1080" s="1" t="s">
        <v>19311</v>
      </c>
      <c r="G1080" s="1" t="s">
        <v>19312</v>
      </c>
      <c r="H1080" s="1" t="s">
        <v>19313</v>
      </c>
      <c r="I1080" s="1" t="s">
        <v>19314</v>
      </c>
      <c r="J1080" s="1">
        <v>9158000887</v>
      </c>
      <c r="K1080" s="1" t="s">
        <v>79</v>
      </c>
      <c r="L1080" s="1" t="s">
        <v>19315</v>
      </c>
      <c r="M1080" s="1" t="s">
        <v>81</v>
      </c>
      <c r="N1080" s="1" t="s">
        <v>1418</v>
      </c>
      <c r="O1080" s="1"/>
      <c r="P1080" s="1" t="s">
        <v>1323</v>
      </c>
      <c r="Q1080" s="1" t="s">
        <v>19316</v>
      </c>
      <c r="R1080" s="1" t="s">
        <v>19317</v>
      </c>
      <c r="S1080" s="1">
        <v>9823050152</v>
      </c>
      <c r="T1080" s="1" t="s">
        <v>842</v>
      </c>
      <c r="U1080" s="1" t="s">
        <v>19318</v>
      </c>
      <c r="V1080" s="1">
        <v>9673961431</v>
      </c>
      <c r="W1080" s="1" t="s">
        <v>19319</v>
      </c>
      <c r="X1080" s="1" t="s">
        <v>19320</v>
      </c>
      <c r="Y1080" s="1" t="s">
        <v>91</v>
      </c>
      <c r="Z1080" s="1" t="s">
        <v>92</v>
      </c>
      <c r="AA1080" s="1" t="s">
        <v>19320</v>
      </c>
      <c r="AB1080" s="1" t="s">
        <v>91</v>
      </c>
      <c r="AC1080" s="1" t="s">
        <v>92</v>
      </c>
      <c r="AD1080" s="1">
        <v>8.67</v>
      </c>
      <c r="AE1080" s="1" t="s">
        <v>93</v>
      </c>
      <c r="AF1080" s="1" t="s">
        <v>19321</v>
      </c>
      <c r="AG1080" s="1" t="s">
        <v>19322</v>
      </c>
      <c r="AH1080" s="1" t="s">
        <v>503</v>
      </c>
      <c r="AI1080" s="1" t="s">
        <v>456</v>
      </c>
      <c r="AJ1080" s="1">
        <v>95</v>
      </c>
      <c r="AK1080" s="1">
        <v>10</v>
      </c>
      <c r="AL1080" s="1" t="s">
        <v>19321</v>
      </c>
      <c r="AM1080" s="1" t="s">
        <v>19322</v>
      </c>
      <c r="AN1080" s="1" t="s">
        <v>162</v>
      </c>
      <c r="AO1080" s="1" t="s">
        <v>166</v>
      </c>
      <c r="AP1080" s="1">
        <v>81.2</v>
      </c>
      <c r="AQ1080" s="1"/>
      <c r="AR1080" s="1"/>
      <c r="AS1080" s="1"/>
      <c r="AT1080" s="1"/>
      <c r="AU1080" s="1"/>
      <c r="AV1080" s="1"/>
      <c r="AW1080" s="1"/>
      <c r="AX1080" s="1" t="s">
        <v>361</v>
      </c>
      <c r="AY1080" s="1" t="s">
        <v>19323</v>
      </c>
      <c r="AZ1080" s="1" t="s">
        <v>169</v>
      </c>
      <c r="BA1080" s="1" t="s">
        <v>174</v>
      </c>
      <c r="BB1080" s="1">
        <v>69.5</v>
      </c>
      <c r="BC1080" s="1">
        <v>8.94</v>
      </c>
      <c r="BD1080" s="1"/>
      <c r="BE1080" s="1"/>
      <c r="BF1080" s="1"/>
      <c r="BG1080" s="1"/>
      <c r="BH1080" s="1"/>
      <c r="BI1080" s="1"/>
      <c r="BJ1080" s="1" t="s">
        <v>19324</v>
      </c>
      <c r="BK1080" s="1" t="s">
        <v>19325</v>
      </c>
      <c r="BL1080" s="1" t="s">
        <v>2019</v>
      </c>
      <c r="BM1080" s="1" t="s">
        <v>19326</v>
      </c>
      <c r="BN1080" s="1">
        <v>32</v>
      </c>
      <c r="BO1080" s="1"/>
      <c r="BP1080" s="1" t="str">
        <f>HYPERLINK("https://nconnect.nicmar.ac.in/storage/profile/ProfilePhoto_P25701009_968471.jpg","Download")</f>
        <v>0</v>
      </c>
      <c r="BQ1080" s="3"/>
      <c r="BR1080" s="3"/>
    </row>
    <row r="1081" spans="1:70">
      <c r="A1081" s="1" t="s">
        <v>1563</v>
      </c>
      <c r="B1081" s="1" t="s">
        <v>1269</v>
      </c>
      <c r="C1081" s="1" t="s">
        <v>19327</v>
      </c>
      <c r="D1081" s="1" t="s">
        <v>13514</v>
      </c>
      <c r="E1081" s="1"/>
      <c r="F1081" s="1" t="s">
        <v>9715</v>
      </c>
      <c r="G1081" s="1" t="s">
        <v>19328</v>
      </c>
      <c r="H1081" s="1" t="s">
        <v>19329</v>
      </c>
      <c r="I1081" s="1" t="s">
        <v>19330</v>
      </c>
      <c r="J1081" s="1">
        <v>8619291499</v>
      </c>
      <c r="K1081" s="1" t="s">
        <v>79</v>
      </c>
      <c r="L1081" s="1" t="s">
        <v>9197</v>
      </c>
      <c r="M1081" s="1" t="s">
        <v>81</v>
      </c>
      <c r="N1081" s="1" t="s">
        <v>19331</v>
      </c>
      <c r="O1081" s="1"/>
      <c r="P1081" s="1" t="s">
        <v>1323</v>
      </c>
      <c r="Q1081" s="1" t="s">
        <v>19332</v>
      </c>
      <c r="R1081" s="1" t="s">
        <v>19333</v>
      </c>
      <c r="S1081" s="1">
        <v>9414165470</v>
      </c>
      <c r="T1081" s="1" t="s">
        <v>19334</v>
      </c>
      <c r="U1081" s="1" t="s">
        <v>19335</v>
      </c>
      <c r="V1081" s="1">
        <v>6378256693</v>
      </c>
      <c r="W1081" s="1" t="s">
        <v>156</v>
      </c>
      <c r="X1081" s="1" t="s">
        <v>19336</v>
      </c>
      <c r="Y1081" s="1" t="s">
        <v>19337</v>
      </c>
      <c r="Z1081" s="1" t="s">
        <v>867</v>
      </c>
      <c r="AA1081" s="1" t="s">
        <v>19336</v>
      </c>
      <c r="AB1081" s="1" t="s">
        <v>19337</v>
      </c>
      <c r="AC1081" s="1" t="s">
        <v>867</v>
      </c>
      <c r="AD1081" s="1">
        <v>8.57</v>
      </c>
      <c r="AE1081" s="1" t="s">
        <v>93</v>
      </c>
      <c r="AF1081" s="1" t="s">
        <v>19338</v>
      </c>
      <c r="AG1081" s="1" t="s">
        <v>19339</v>
      </c>
      <c r="AH1081" s="1" t="s">
        <v>1197</v>
      </c>
      <c r="AI1081" s="1" t="s">
        <v>131</v>
      </c>
      <c r="AJ1081" s="1">
        <v>76</v>
      </c>
      <c r="AK1081" s="1">
        <v>8</v>
      </c>
      <c r="AL1081" s="1" t="s">
        <v>19340</v>
      </c>
      <c r="AM1081" s="1" t="s">
        <v>19339</v>
      </c>
      <c r="AN1081" s="1" t="s">
        <v>527</v>
      </c>
      <c r="AO1081" s="1" t="s">
        <v>479</v>
      </c>
      <c r="AP1081" s="1">
        <v>69</v>
      </c>
      <c r="AQ1081" s="1">
        <v>0</v>
      </c>
      <c r="AR1081" s="1"/>
      <c r="AS1081" s="1"/>
      <c r="AT1081" s="1"/>
      <c r="AU1081" s="1"/>
      <c r="AV1081" s="1"/>
      <c r="AW1081" s="1"/>
      <c r="AX1081" s="1" t="s">
        <v>19341</v>
      </c>
      <c r="AY1081" s="1" t="s">
        <v>19342</v>
      </c>
      <c r="AZ1081" s="1" t="s">
        <v>636</v>
      </c>
      <c r="BA1081" s="1" t="s">
        <v>682</v>
      </c>
      <c r="BB1081" s="1">
        <v>75.2</v>
      </c>
      <c r="BC1081" s="1">
        <v>0</v>
      </c>
      <c r="BD1081" s="1"/>
      <c r="BE1081" s="1"/>
      <c r="BF1081" s="1"/>
      <c r="BG1081" s="1"/>
      <c r="BH1081" s="1"/>
      <c r="BI1081" s="1"/>
      <c r="BJ1081" s="1" t="s">
        <v>19343</v>
      </c>
      <c r="BK1081" s="1" t="s">
        <v>19344</v>
      </c>
      <c r="BL1081" s="1" t="s">
        <v>1385</v>
      </c>
      <c r="BM1081" s="1" t="s">
        <v>19345</v>
      </c>
      <c r="BN1081" s="1">
        <v>33</v>
      </c>
      <c r="BO1081" s="1" t="s">
        <v>19346</v>
      </c>
      <c r="BP1081" s="1" t="str">
        <f>HYPERLINK("https://nconnect.nicmar.ac.in/storage/profile/ProfilePhoto_P25701010_479156.jpg","Download")</f>
        <v>0</v>
      </c>
      <c r="BQ1081" s="3"/>
      <c r="BR1081" s="3"/>
    </row>
    <row r="1082" spans="1:70">
      <c r="A1082" s="1" t="s">
        <v>1563</v>
      </c>
      <c r="B1082" s="1" t="s">
        <v>1269</v>
      </c>
      <c r="C1082" s="1" t="s">
        <v>19347</v>
      </c>
      <c r="D1082" s="1" t="s">
        <v>19348</v>
      </c>
      <c r="E1082" s="1" t="s">
        <v>1566</v>
      </c>
      <c r="F1082" s="1" t="s">
        <v>7350</v>
      </c>
      <c r="G1082" s="1" t="s">
        <v>19349</v>
      </c>
      <c r="H1082" s="1" t="s">
        <v>19350</v>
      </c>
      <c r="I1082" s="1" t="s">
        <v>19351</v>
      </c>
      <c r="J1082" s="1">
        <v>9730539631</v>
      </c>
      <c r="K1082" s="1" t="s">
        <v>79</v>
      </c>
      <c r="L1082" s="1" t="s">
        <v>19352</v>
      </c>
      <c r="M1082" s="1" t="s">
        <v>81</v>
      </c>
      <c r="N1082" s="1" t="s">
        <v>19353</v>
      </c>
      <c r="O1082" s="1"/>
      <c r="P1082" s="1" t="s">
        <v>1323</v>
      </c>
      <c r="Q1082" s="1" t="s">
        <v>19354</v>
      </c>
      <c r="R1082" s="1" t="s">
        <v>19355</v>
      </c>
      <c r="S1082" s="1">
        <v>9423419085</v>
      </c>
      <c r="T1082" s="1" t="s">
        <v>496</v>
      </c>
      <c r="U1082" s="1" t="s">
        <v>19356</v>
      </c>
      <c r="V1082" s="1">
        <v>9420284897</v>
      </c>
      <c r="W1082" s="1" t="s">
        <v>273</v>
      </c>
      <c r="X1082" s="1" t="s">
        <v>19357</v>
      </c>
      <c r="Y1082" s="1" t="s">
        <v>1424</v>
      </c>
      <c r="Z1082" s="1" t="s">
        <v>92</v>
      </c>
      <c r="AA1082" s="1" t="s">
        <v>19357</v>
      </c>
      <c r="AB1082" s="1" t="s">
        <v>1424</v>
      </c>
      <c r="AC1082" s="1" t="s">
        <v>92</v>
      </c>
      <c r="AD1082" s="1">
        <v>8.67</v>
      </c>
      <c r="AE1082" s="1" t="s">
        <v>93</v>
      </c>
      <c r="AF1082" s="1" t="s">
        <v>19358</v>
      </c>
      <c r="AG1082" s="1" t="s">
        <v>11863</v>
      </c>
      <c r="AH1082" s="1" t="s">
        <v>161</v>
      </c>
      <c r="AI1082" s="1" t="s">
        <v>279</v>
      </c>
      <c r="AJ1082" s="1">
        <v>74.8</v>
      </c>
      <c r="AK1082" s="1"/>
      <c r="AL1082" s="1"/>
      <c r="AM1082" s="1"/>
      <c r="AN1082" s="1"/>
      <c r="AO1082" s="1"/>
      <c r="AP1082" s="1"/>
      <c r="AQ1082" s="1"/>
      <c r="AR1082" s="1" t="s">
        <v>5406</v>
      </c>
      <c r="AS1082" s="1" t="s">
        <v>19359</v>
      </c>
      <c r="AT1082" s="1" t="s">
        <v>134</v>
      </c>
      <c r="AU1082" s="1" t="s">
        <v>310</v>
      </c>
      <c r="AV1082" s="1">
        <v>78.4</v>
      </c>
      <c r="AW1082" s="1"/>
      <c r="AX1082" s="1" t="s">
        <v>361</v>
      </c>
      <c r="AY1082" s="1" t="s">
        <v>19360</v>
      </c>
      <c r="AZ1082" s="1" t="s">
        <v>201</v>
      </c>
      <c r="BA1082" s="1" t="s">
        <v>105</v>
      </c>
      <c r="BB1082" s="1">
        <v>83.69</v>
      </c>
      <c r="BC1082" s="1">
        <v>8.81</v>
      </c>
      <c r="BD1082" s="1"/>
      <c r="BE1082" s="1"/>
      <c r="BF1082" s="1"/>
      <c r="BG1082" s="1"/>
      <c r="BH1082" s="1"/>
      <c r="BI1082" s="1"/>
      <c r="BJ1082" s="1" t="s">
        <v>1383</v>
      </c>
      <c r="BK1082" s="1"/>
      <c r="BL1082" s="1"/>
      <c r="BM1082" s="1" t="s">
        <v>19361</v>
      </c>
      <c r="BN1082" s="1">
        <v>162</v>
      </c>
      <c r="BO1082" s="1" t="s">
        <v>19362</v>
      </c>
      <c r="BP1082" s="1" t="str">
        <f>HYPERLINK("https://nconnect.nicmar.ac.in/storage/profile/ProfilePhoto_P25701011_932476.jpg","Download")</f>
        <v>0</v>
      </c>
      <c r="BQ1082" s="3"/>
      <c r="BR1082" s="3"/>
    </row>
    <row r="1083" spans="1:70">
      <c r="A1083" s="1" t="s">
        <v>1563</v>
      </c>
      <c r="B1083" s="1" t="s">
        <v>1269</v>
      </c>
      <c r="C1083" s="1" t="s">
        <v>19363</v>
      </c>
      <c r="D1083" s="1" t="s">
        <v>19364</v>
      </c>
      <c r="E1083" s="1" t="s">
        <v>4025</v>
      </c>
      <c r="F1083" s="1" t="s">
        <v>2024</v>
      </c>
      <c r="G1083" s="1" t="s">
        <v>19365</v>
      </c>
      <c r="H1083" s="1" t="s">
        <v>19366</v>
      </c>
      <c r="I1083" s="1" t="s">
        <v>19367</v>
      </c>
      <c r="J1083" s="1">
        <v>8600656184</v>
      </c>
      <c r="K1083" s="1" t="s">
        <v>148</v>
      </c>
      <c r="L1083" s="1" t="s">
        <v>19368</v>
      </c>
      <c r="M1083" s="1" t="s">
        <v>81</v>
      </c>
      <c r="N1083" s="1" t="s">
        <v>19369</v>
      </c>
      <c r="O1083" s="1" t="s">
        <v>19370</v>
      </c>
      <c r="P1083" s="1" t="s">
        <v>1298</v>
      </c>
      <c r="Q1083" s="1" t="s">
        <v>19371</v>
      </c>
      <c r="R1083" s="1" t="s">
        <v>19372</v>
      </c>
      <c r="S1083" s="1">
        <v>8275272059</v>
      </c>
      <c r="T1083" s="1" t="s">
        <v>2767</v>
      </c>
      <c r="U1083" s="1" t="s">
        <v>19373</v>
      </c>
      <c r="V1083" s="1">
        <v>8275272057</v>
      </c>
      <c r="W1083" s="1" t="s">
        <v>89</v>
      </c>
      <c r="X1083" s="1" t="s">
        <v>19374</v>
      </c>
      <c r="Y1083" s="1" t="s">
        <v>191</v>
      </c>
      <c r="Z1083" s="1" t="s">
        <v>92</v>
      </c>
      <c r="AA1083" s="1" t="s">
        <v>19375</v>
      </c>
      <c r="AB1083" s="1" t="s">
        <v>2790</v>
      </c>
      <c r="AC1083" s="1" t="s">
        <v>92</v>
      </c>
      <c r="AD1083" s="1">
        <v>8.32</v>
      </c>
      <c r="AE1083" s="1" t="s">
        <v>93</v>
      </c>
      <c r="AF1083" s="1" t="s">
        <v>19376</v>
      </c>
      <c r="AG1083" s="1" t="s">
        <v>160</v>
      </c>
      <c r="AH1083" s="1" t="s">
        <v>655</v>
      </c>
      <c r="AI1083" s="1" t="s">
        <v>97</v>
      </c>
      <c r="AJ1083" s="1">
        <v>83</v>
      </c>
      <c r="AK1083" s="1"/>
      <c r="AL1083" s="1" t="s">
        <v>19377</v>
      </c>
      <c r="AM1083" s="1" t="s">
        <v>160</v>
      </c>
      <c r="AN1083" s="1" t="s">
        <v>337</v>
      </c>
      <c r="AO1083" s="1" t="s">
        <v>195</v>
      </c>
      <c r="AP1083" s="1">
        <v>67.54</v>
      </c>
      <c r="AQ1083" s="1"/>
      <c r="AR1083" s="1"/>
      <c r="AS1083" s="1"/>
      <c r="AT1083" s="1"/>
      <c r="AU1083" s="1"/>
      <c r="AV1083" s="1"/>
      <c r="AW1083" s="1"/>
      <c r="AX1083" s="1" t="s">
        <v>13547</v>
      </c>
      <c r="AY1083" s="1" t="s">
        <v>19378</v>
      </c>
      <c r="AZ1083" s="1" t="s">
        <v>383</v>
      </c>
      <c r="BA1083" s="1" t="s">
        <v>481</v>
      </c>
      <c r="BB1083" s="1">
        <v>75.69</v>
      </c>
      <c r="BC1083" s="1"/>
      <c r="BD1083" s="1"/>
      <c r="BE1083" s="1"/>
      <c r="BF1083" s="1"/>
      <c r="BG1083" s="1"/>
      <c r="BH1083" s="1"/>
      <c r="BI1083" s="1"/>
      <c r="BJ1083" s="1" t="s">
        <v>19379</v>
      </c>
      <c r="BK1083" s="1" t="s">
        <v>19380</v>
      </c>
      <c r="BL1083" s="1" t="s">
        <v>2654</v>
      </c>
      <c r="BM1083" s="1" t="s">
        <v>19381</v>
      </c>
      <c r="BN1083" s="1">
        <v>36</v>
      </c>
      <c r="BO1083" s="1" t="s">
        <v>19382</v>
      </c>
      <c r="BP1083" s="1" t="str">
        <f>HYPERLINK("https://nconnect.nicmar.ac.in/storage/profile/ProfilePhoto_P25701013_148267.jpg","Download")</f>
        <v>0</v>
      </c>
      <c r="BQ1083" s="3"/>
      <c r="BR1083" s="3"/>
    </row>
    <row r="1084" spans="1:70">
      <c r="A1084" s="1" t="s">
        <v>1563</v>
      </c>
      <c r="B1084" s="1" t="s">
        <v>1269</v>
      </c>
      <c r="C1084" s="1" t="s">
        <v>19383</v>
      </c>
      <c r="D1084" s="1" t="s">
        <v>19384</v>
      </c>
      <c r="E1084" s="1"/>
      <c r="F1084" s="1" t="s">
        <v>19385</v>
      </c>
      <c r="G1084" s="1" t="s">
        <v>19386</v>
      </c>
      <c r="H1084" s="1" t="s">
        <v>19387</v>
      </c>
      <c r="I1084" s="1" t="s">
        <v>19388</v>
      </c>
      <c r="J1084" s="1">
        <v>9970758307</v>
      </c>
      <c r="K1084" s="1" t="s">
        <v>79</v>
      </c>
      <c r="L1084" s="1" t="s">
        <v>19389</v>
      </c>
      <c r="M1084" s="1" t="s">
        <v>81</v>
      </c>
      <c r="N1084" s="1" t="s">
        <v>19390</v>
      </c>
      <c r="O1084" s="1"/>
      <c r="P1084" s="1" t="s">
        <v>1278</v>
      </c>
      <c r="Q1084" s="1" t="s">
        <v>19391</v>
      </c>
      <c r="R1084" s="1" t="s">
        <v>19392</v>
      </c>
      <c r="S1084" s="1">
        <v>9850849109</v>
      </c>
      <c r="T1084" s="1" t="s">
        <v>763</v>
      </c>
      <c r="U1084" s="1" t="s">
        <v>19393</v>
      </c>
      <c r="V1084" s="1">
        <v>9921145408</v>
      </c>
      <c r="W1084" s="1" t="s">
        <v>89</v>
      </c>
      <c r="X1084" s="1" t="s">
        <v>19394</v>
      </c>
      <c r="Y1084" s="1" t="s">
        <v>5788</v>
      </c>
      <c r="Z1084" s="1" t="s">
        <v>92</v>
      </c>
      <c r="AA1084" s="1" t="s">
        <v>19395</v>
      </c>
      <c r="AB1084" s="1" t="s">
        <v>11335</v>
      </c>
      <c r="AC1084" s="1" t="s">
        <v>609</v>
      </c>
      <c r="AD1084" s="1">
        <v>8.32</v>
      </c>
      <c r="AE1084" s="1" t="s">
        <v>93</v>
      </c>
      <c r="AF1084" s="1" t="s">
        <v>19396</v>
      </c>
      <c r="AG1084" s="1" t="s">
        <v>19397</v>
      </c>
      <c r="AH1084" s="1" t="s">
        <v>678</v>
      </c>
      <c r="AI1084" s="1" t="s">
        <v>166</v>
      </c>
      <c r="AJ1084" s="1">
        <v>60.4</v>
      </c>
      <c r="AK1084" s="1"/>
      <c r="AL1084" s="1" t="s">
        <v>19398</v>
      </c>
      <c r="AM1084" s="1" t="s">
        <v>19397</v>
      </c>
      <c r="AN1084" s="1" t="s">
        <v>198</v>
      </c>
      <c r="AO1084" s="1" t="s">
        <v>173</v>
      </c>
      <c r="AP1084" s="1">
        <v>69.6</v>
      </c>
      <c r="AQ1084" s="1"/>
      <c r="AR1084" s="1"/>
      <c r="AS1084" s="1"/>
      <c r="AT1084" s="1"/>
      <c r="AU1084" s="1"/>
      <c r="AV1084" s="1"/>
      <c r="AW1084" s="1"/>
      <c r="AX1084" s="1" t="s">
        <v>19399</v>
      </c>
      <c r="AY1084" s="1" t="s">
        <v>19400</v>
      </c>
      <c r="AZ1084" s="1" t="s">
        <v>681</v>
      </c>
      <c r="BA1084" s="1" t="s">
        <v>10191</v>
      </c>
      <c r="BB1084" s="1">
        <v>80.37</v>
      </c>
      <c r="BC1084" s="1">
        <v>8.46</v>
      </c>
      <c r="BD1084" s="1"/>
      <c r="BE1084" s="1"/>
      <c r="BF1084" s="1"/>
      <c r="BG1084" s="1"/>
      <c r="BH1084" s="1"/>
      <c r="BI1084" s="1"/>
      <c r="BJ1084" s="1" t="s">
        <v>19401</v>
      </c>
      <c r="BK1084" s="1" t="s">
        <v>19402</v>
      </c>
      <c r="BL1084" s="1" t="s">
        <v>2019</v>
      </c>
      <c r="BM1084" s="1" t="s">
        <v>19403</v>
      </c>
      <c r="BN1084" s="1">
        <v>21</v>
      </c>
      <c r="BO1084" s="1"/>
      <c r="BP1084" s="1" t="str">
        <f>HYPERLINK("https://nconnect.nicmar.ac.in/storage/profile/ProfilePhoto_P25701014_782496.jpg","Download")</f>
        <v>0</v>
      </c>
      <c r="BQ1084" s="3"/>
      <c r="BR1084" s="3"/>
    </row>
    <row r="1085" spans="1:70">
      <c r="A1085" s="1" t="s">
        <v>1563</v>
      </c>
      <c r="B1085" s="1" t="s">
        <v>1269</v>
      </c>
      <c r="C1085" s="1" t="s">
        <v>19404</v>
      </c>
      <c r="D1085" s="1" t="s">
        <v>19405</v>
      </c>
      <c r="E1085" s="1" t="s">
        <v>1566</v>
      </c>
      <c r="F1085" s="1" t="s">
        <v>2024</v>
      </c>
      <c r="G1085" s="1" t="s">
        <v>19406</v>
      </c>
      <c r="H1085" s="1" t="s">
        <v>19407</v>
      </c>
      <c r="I1085" s="1" t="s">
        <v>19408</v>
      </c>
      <c r="J1085" s="1">
        <v>9372196514</v>
      </c>
      <c r="K1085" s="1" t="s">
        <v>79</v>
      </c>
      <c r="L1085" s="1" t="s">
        <v>19409</v>
      </c>
      <c r="M1085" s="1" t="s">
        <v>81</v>
      </c>
      <c r="N1085" s="1" t="s">
        <v>1765</v>
      </c>
      <c r="O1085" s="1"/>
      <c r="P1085" s="1" t="s">
        <v>1323</v>
      </c>
      <c r="Q1085" s="1" t="s">
        <v>19410</v>
      </c>
      <c r="R1085" s="1" t="s">
        <v>19411</v>
      </c>
      <c r="S1085" s="1">
        <v>9403723082</v>
      </c>
      <c r="T1085" s="1" t="s">
        <v>122</v>
      </c>
      <c r="U1085" s="1" t="s">
        <v>19412</v>
      </c>
      <c r="V1085" s="1">
        <v>7276703959</v>
      </c>
      <c r="W1085" s="1" t="s">
        <v>156</v>
      </c>
      <c r="X1085" s="1" t="s">
        <v>19413</v>
      </c>
      <c r="Y1085" s="1" t="s">
        <v>766</v>
      </c>
      <c r="Z1085" s="1" t="s">
        <v>92</v>
      </c>
      <c r="AA1085" s="1" t="s">
        <v>19413</v>
      </c>
      <c r="AB1085" s="1" t="s">
        <v>766</v>
      </c>
      <c r="AC1085" s="1" t="s">
        <v>92</v>
      </c>
      <c r="AD1085" s="1">
        <v>8.54</v>
      </c>
      <c r="AE1085" s="1" t="s">
        <v>93</v>
      </c>
      <c r="AF1085" s="1" t="s">
        <v>19414</v>
      </c>
      <c r="AG1085" s="1" t="s">
        <v>3161</v>
      </c>
      <c r="AH1085" s="1" t="s">
        <v>195</v>
      </c>
      <c r="AI1085" s="1" t="s">
        <v>281</v>
      </c>
      <c r="AJ1085" s="1">
        <v>87.2</v>
      </c>
      <c r="AK1085" s="1"/>
      <c r="AL1085" s="1" t="s">
        <v>19415</v>
      </c>
      <c r="AM1085" s="1" t="s">
        <v>3161</v>
      </c>
      <c r="AN1085" s="1" t="s">
        <v>198</v>
      </c>
      <c r="AO1085" s="1" t="s">
        <v>360</v>
      </c>
      <c r="AP1085" s="1">
        <v>68.46</v>
      </c>
      <c r="AQ1085" s="1"/>
      <c r="AR1085" s="1"/>
      <c r="AS1085" s="1"/>
      <c r="AT1085" s="1"/>
      <c r="AU1085" s="1"/>
      <c r="AV1085" s="1"/>
      <c r="AW1085" s="1"/>
      <c r="AX1085" s="1" t="s">
        <v>253</v>
      </c>
      <c r="AY1085" s="1" t="s">
        <v>19416</v>
      </c>
      <c r="AZ1085" s="1" t="s">
        <v>363</v>
      </c>
      <c r="BA1085" s="1" t="s">
        <v>1408</v>
      </c>
      <c r="BB1085" s="1">
        <v>65.72</v>
      </c>
      <c r="BC1085" s="1">
        <v>7.26</v>
      </c>
      <c r="BD1085" s="1"/>
      <c r="BE1085" s="1"/>
      <c r="BF1085" s="1"/>
      <c r="BG1085" s="1"/>
      <c r="BH1085" s="1"/>
      <c r="BI1085" s="1"/>
      <c r="BJ1085" s="1" t="s">
        <v>19417</v>
      </c>
      <c r="BK1085" s="1"/>
      <c r="BL1085" s="1"/>
      <c r="BM1085" s="1" t="s">
        <v>19418</v>
      </c>
      <c r="BN1085" s="1">
        <v>26</v>
      </c>
      <c r="BO1085" s="1" t="s">
        <v>19419</v>
      </c>
      <c r="BP1085" s="1" t="str">
        <f>HYPERLINK("https://nconnect.nicmar.ac.in/storage/profile/ProfilePhoto_P25701015_578136.jpg","Download")</f>
        <v>0</v>
      </c>
      <c r="BQ1085" s="3"/>
      <c r="BR1085" s="3"/>
    </row>
    <row r="1086" spans="1:70">
      <c r="A1086" s="1" t="s">
        <v>1563</v>
      </c>
      <c r="B1086" s="1" t="s">
        <v>1269</v>
      </c>
      <c r="C1086" s="1" t="s">
        <v>19420</v>
      </c>
      <c r="D1086" s="1" t="s">
        <v>19421</v>
      </c>
      <c r="E1086" s="1"/>
      <c r="F1086" s="1" t="s">
        <v>835</v>
      </c>
      <c r="G1086" s="1" t="s">
        <v>19422</v>
      </c>
      <c r="H1086" s="1" t="s">
        <v>19423</v>
      </c>
      <c r="I1086" s="1" t="s">
        <v>19424</v>
      </c>
      <c r="J1086" s="1">
        <v>7990461595</v>
      </c>
      <c r="K1086" s="1" t="s">
        <v>148</v>
      </c>
      <c r="L1086" s="1" t="s">
        <v>1370</v>
      </c>
      <c r="M1086" s="1" t="s">
        <v>81</v>
      </c>
      <c r="N1086" s="1" t="s">
        <v>5056</v>
      </c>
      <c r="O1086" s="1"/>
      <c r="P1086" s="1" t="s">
        <v>1298</v>
      </c>
      <c r="Q1086" s="1" t="s">
        <v>19425</v>
      </c>
      <c r="R1086" s="1" t="s">
        <v>19426</v>
      </c>
      <c r="S1086" s="1">
        <v>9510058064</v>
      </c>
      <c r="T1086" s="1" t="s">
        <v>842</v>
      </c>
      <c r="U1086" s="1" t="s">
        <v>19427</v>
      </c>
      <c r="V1086" s="1">
        <v>9409145844</v>
      </c>
      <c r="W1086" s="1" t="s">
        <v>273</v>
      </c>
      <c r="X1086" s="1" t="s">
        <v>19428</v>
      </c>
      <c r="Y1086" s="1" t="s">
        <v>3689</v>
      </c>
      <c r="Z1086" s="1" t="s">
        <v>1468</v>
      </c>
      <c r="AA1086" s="1" t="s">
        <v>19428</v>
      </c>
      <c r="AB1086" s="1" t="s">
        <v>3689</v>
      </c>
      <c r="AC1086" s="1" t="s">
        <v>1468</v>
      </c>
      <c r="AD1086" s="1">
        <v>8.63</v>
      </c>
      <c r="AE1086" s="1" t="s">
        <v>93</v>
      </c>
      <c r="AF1086" s="1" t="s">
        <v>19429</v>
      </c>
      <c r="AG1086" s="1" t="s">
        <v>307</v>
      </c>
      <c r="AH1086" s="1" t="s">
        <v>165</v>
      </c>
      <c r="AI1086" s="1" t="s">
        <v>166</v>
      </c>
      <c r="AJ1086" s="1">
        <v>78.8</v>
      </c>
      <c r="AK1086" s="1"/>
      <c r="AL1086" s="1" t="s">
        <v>19430</v>
      </c>
      <c r="AM1086" s="1" t="s">
        <v>307</v>
      </c>
      <c r="AN1086" s="1" t="s">
        <v>310</v>
      </c>
      <c r="AO1086" s="1" t="s">
        <v>173</v>
      </c>
      <c r="AP1086" s="1">
        <v>86.2</v>
      </c>
      <c r="AQ1086" s="1"/>
      <c r="AR1086" s="1"/>
      <c r="AS1086" s="1"/>
      <c r="AT1086" s="1"/>
      <c r="AU1086" s="1"/>
      <c r="AV1086" s="1"/>
      <c r="AW1086" s="1"/>
      <c r="AX1086" s="1" t="s">
        <v>7700</v>
      </c>
      <c r="AY1086" s="1" t="s">
        <v>19431</v>
      </c>
      <c r="AZ1086" s="1" t="s">
        <v>173</v>
      </c>
      <c r="BA1086" s="1" t="s">
        <v>1361</v>
      </c>
      <c r="BB1086" s="1">
        <v>73.05</v>
      </c>
      <c r="BC1086" s="1">
        <v>7.69</v>
      </c>
      <c r="BD1086" s="1"/>
      <c r="BE1086" s="1"/>
      <c r="BF1086" s="1"/>
      <c r="BG1086" s="1"/>
      <c r="BH1086" s="1"/>
      <c r="BI1086" s="1"/>
      <c r="BJ1086" s="1" t="s">
        <v>19432</v>
      </c>
      <c r="BK1086" s="1"/>
      <c r="BL1086" s="1"/>
      <c r="BM1086" s="1" t="s">
        <v>19433</v>
      </c>
      <c r="BN1086" s="1">
        <v>34</v>
      </c>
      <c r="BO1086" s="1" t="s">
        <v>19362</v>
      </c>
      <c r="BP1086" s="1" t="str">
        <f>HYPERLINK("https://nconnect.nicmar.ac.in/storage/profile/ProfilePhoto_P25701016_248953.jpg","Download")</f>
        <v>0</v>
      </c>
      <c r="BQ1086" s="3"/>
      <c r="BR1086" s="3"/>
    </row>
    <row r="1087" spans="1:70">
      <c r="A1087" s="1" t="s">
        <v>1563</v>
      </c>
      <c r="B1087" s="1" t="s">
        <v>1269</v>
      </c>
      <c r="C1087" s="1" t="s">
        <v>19434</v>
      </c>
      <c r="D1087" s="1" t="s">
        <v>11906</v>
      </c>
      <c r="E1087" s="1"/>
      <c r="F1087" s="1" t="s">
        <v>1226</v>
      </c>
      <c r="G1087" s="1" t="s">
        <v>19435</v>
      </c>
      <c r="H1087" s="1" t="s">
        <v>19436</v>
      </c>
      <c r="I1087" s="1" t="s">
        <v>19437</v>
      </c>
      <c r="J1087" s="1">
        <v>9823350123</v>
      </c>
      <c r="K1087" s="1" t="s">
        <v>148</v>
      </c>
      <c r="L1087" s="1" t="s">
        <v>19438</v>
      </c>
      <c r="M1087" s="1" t="s">
        <v>81</v>
      </c>
      <c r="N1087" s="1" t="s">
        <v>1951</v>
      </c>
      <c r="O1087" s="1"/>
      <c r="P1087" s="1" t="s">
        <v>1298</v>
      </c>
      <c r="Q1087" s="1" t="s">
        <v>19439</v>
      </c>
      <c r="R1087" s="1" t="s">
        <v>19440</v>
      </c>
      <c r="S1087" s="1">
        <v>9823590123</v>
      </c>
      <c r="T1087" s="1" t="s">
        <v>842</v>
      </c>
      <c r="U1087" s="1" t="s">
        <v>19441</v>
      </c>
      <c r="V1087" s="1">
        <v>9823510123</v>
      </c>
      <c r="W1087" s="1" t="s">
        <v>156</v>
      </c>
      <c r="X1087" s="1" t="s">
        <v>19442</v>
      </c>
      <c r="Y1087" s="1" t="s">
        <v>191</v>
      </c>
      <c r="Z1087" s="1" t="s">
        <v>92</v>
      </c>
      <c r="AA1087" s="1" t="s">
        <v>19443</v>
      </c>
      <c r="AB1087" s="1" t="s">
        <v>191</v>
      </c>
      <c r="AC1087" s="1" t="s">
        <v>92</v>
      </c>
      <c r="AD1087" s="1">
        <v>8.33</v>
      </c>
      <c r="AE1087" s="1" t="s">
        <v>93</v>
      </c>
      <c r="AF1087" s="1" t="s">
        <v>19444</v>
      </c>
      <c r="AG1087" s="1" t="s">
        <v>13864</v>
      </c>
      <c r="AH1087" s="1" t="s">
        <v>337</v>
      </c>
      <c r="AI1087" s="1" t="s">
        <v>279</v>
      </c>
      <c r="AJ1087" s="1">
        <v>76.16</v>
      </c>
      <c r="AK1087" s="1">
        <v>0</v>
      </c>
      <c r="AL1087" s="1" t="s">
        <v>19445</v>
      </c>
      <c r="AM1087" s="1" t="s">
        <v>13864</v>
      </c>
      <c r="AN1087" s="1" t="s">
        <v>383</v>
      </c>
      <c r="AO1087" s="1" t="s">
        <v>1307</v>
      </c>
      <c r="AP1087" s="1">
        <v>62.8</v>
      </c>
      <c r="AQ1087" s="1">
        <v>0</v>
      </c>
      <c r="AR1087" s="1"/>
      <c r="AS1087" s="1"/>
      <c r="AT1087" s="1"/>
      <c r="AU1087" s="1"/>
      <c r="AV1087" s="1"/>
      <c r="AW1087" s="1"/>
      <c r="AX1087" s="1" t="s">
        <v>5013</v>
      </c>
      <c r="AY1087" s="1" t="s">
        <v>19446</v>
      </c>
      <c r="AZ1087" s="1" t="s">
        <v>169</v>
      </c>
      <c r="BA1087" s="1" t="s">
        <v>3088</v>
      </c>
      <c r="BB1087" s="1">
        <v>80.6</v>
      </c>
      <c r="BC1087" s="1">
        <v>8.81</v>
      </c>
      <c r="BD1087" s="1"/>
      <c r="BE1087" s="1"/>
      <c r="BF1087" s="1"/>
      <c r="BG1087" s="1"/>
      <c r="BH1087" s="1"/>
      <c r="BI1087" s="1"/>
      <c r="BJ1087" s="1" t="s">
        <v>19447</v>
      </c>
      <c r="BK1087" s="1" t="s">
        <v>19448</v>
      </c>
      <c r="BL1087" s="1" t="s">
        <v>3266</v>
      </c>
      <c r="BM1087" s="1"/>
      <c r="BN1087" s="1"/>
      <c r="BO1087" s="1"/>
      <c r="BP1087" s="1" t="str">
        <f>HYPERLINK("https://nconnect.nicmar.ac.in/storage/profile/ProfilePhoto_P25701017_283697.jpg","Download")</f>
        <v>0</v>
      </c>
      <c r="BQ1087" s="3"/>
      <c r="BR1087" s="3"/>
    </row>
    <row r="1088" spans="1:70">
      <c r="A1088" s="1" t="s">
        <v>1563</v>
      </c>
      <c r="B1088" s="1" t="s">
        <v>1269</v>
      </c>
      <c r="C1088" s="1" t="s">
        <v>19449</v>
      </c>
      <c r="D1088" s="1" t="s">
        <v>4153</v>
      </c>
      <c r="E1088" s="1" t="s">
        <v>444</v>
      </c>
      <c r="F1088" s="1" t="s">
        <v>11892</v>
      </c>
      <c r="G1088" s="1" t="s">
        <v>19450</v>
      </c>
      <c r="H1088" s="1" t="s">
        <v>19451</v>
      </c>
      <c r="I1088" s="1" t="s">
        <v>19452</v>
      </c>
      <c r="J1088" s="1">
        <v>9405626394</v>
      </c>
      <c r="K1088" s="1" t="s">
        <v>79</v>
      </c>
      <c r="L1088" s="1" t="s">
        <v>5854</v>
      </c>
      <c r="M1088" s="1" t="s">
        <v>81</v>
      </c>
      <c r="N1088" s="1" t="s">
        <v>2008</v>
      </c>
      <c r="O1088" s="1"/>
      <c r="P1088" s="1" t="s">
        <v>1323</v>
      </c>
      <c r="Q1088" s="1" t="s">
        <v>19453</v>
      </c>
      <c r="R1088" s="1" t="s">
        <v>444</v>
      </c>
      <c r="S1088" s="1">
        <v>9420348065</v>
      </c>
      <c r="T1088" s="1" t="s">
        <v>932</v>
      </c>
      <c r="U1088" s="1" t="s">
        <v>3816</v>
      </c>
      <c r="V1088" s="1">
        <v>7020828633</v>
      </c>
      <c r="W1088" s="1" t="s">
        <v>156</v>
      </c>
      <c r="X1088" s="1" t="s">
        <v>19454</v>
      </c>
      <c r="Y1088" s="1" t="s">
        <v>191</v>
      </c>
      <c r="Z1088" s="1" t="s">
        <v>92</v>
      </c>
      <c r="AA1088" s="1" t="s">
        <v>19455</v>
      </c>
      <c r="AB1088" s="1" t="s">
        <v>304</v>
      </c>
      <c r="AC1088" s="1" t="s">
        <v>92</v>
      </c>
      <c r="AD1088" s="1" t="s">
        <v>93</v>
      </c>
      <c r="AE1088" s="1" t="s">
        <v>93</v>
      </c>
      <c r="AF1088" s="1" t="s">
        <v>19456</v>
      </c>
      <c r="AG1088" s="1" t="s">
        <v>19457</v>
      </c>
      <c r="AH1088" s="1" t="s">
        <v>195</v>
      </c>
      <c r="AI1088" s="1" t="s">
        <v>281</v>
      </c>
      <c r="AJ1088" s="1">
        <v>74.6</v>
      </c>
      <c r="AK1088" s="1"/>
      <c r="AL1088" s="1" t="s">
        <v>19458</v>
      </c>
      <c r="AM1088" s="1" t="s">
        <v>19459</v>
      </c>
      <c r="AN1088" s="1" t="s">
        <v>198</v>
      </c>
      <c r="AO1088" s="1" t="s">
        <v>360</v>
      </c>
      <c r="AP1088" s="1">
        <v>60.62</v>
      </c>
      <c r="AQ1088" s="1"/>
      <c r="AR1088" s="1"/>
      <c r="AS1088" s="1"/>
      <c r="AT1088" s="1"/>
      <c r="AU1088" s="1"/>
      <c r="AV1088" s="1"/>
      <c r="AW1088" s="1"/>
      <c r="AX1088" s="1" t="s">
        <v>361</v>
      </c>
      <c r="AY1088" s="1" t="s">
        <v>19460</v>
      </c>
      <c r="AZ1088" s="1" t="s">
        <v>363</v>
      </c>
      <c r="BA1088" s="1" t="s">
        <v>413</v>
      </c>
      <c r="BB1088" s="1">
        <v>60.96</v>
      </c>
      <c r="BC1088" s="1">
        <v>6.85</v>
      </c>
      <c r="BD1088" s="1"/>
      <c r="BE1088" s="1"/>
      <c r="BF1088" s="1"/>
      <c r="BG1088" s="1"/>
      <c r="BH1088" s="1"/>
      <c r="BI1088" s="1"/>
      <c r="BJ1088" s="1" t="s">
        <v>19461</v>
      </c>
      <c r="BK1088" s="1"/>
      <c r="BL1088" s="1"/>
      <c r="BM1088" s="1" t="s">
        <v>19462</v>
      </c>
      <c r="BN1088" s="1">
        <v>43</v>
      </c>
      <c r="BO1088" s="1" t="s">
        <v>19362</v>
      </c>
      <c r="BP1088" s="1" t="str">
        <f>HYPERLINK("https://nconnect.nicmar.ac.in/storage/profile/ProfilePhoto_P25701018_163478.jpg","Download")</f>
        <v>0</v>
      </c>
      <c r="BQ1088" s="3"/>
      <c r="BR1088" s="3"/>
    </row>
    <row r="1089" spans="1:70">
      <c r="A1089" s="1" t="s">
        <v>1563</v>
      </c>
      <c r="B1089" s="1" t="s">
        <v>1269</v>
      </c>
      <c r="C1089" s="1" t="s">
        <v>19463</v>
      </c>
      <c r="D1089" s="1" t="s">
        <v>19464</v>
      </c>
      <c r="E1089" s="1" t="s">
        <v>7243</v>
      </c>
      <c r="F1089" s="1" t="s">
        <v>19465</v>
      </c>
      <c r="G1089" s="1" t="s">
        <v>19466</v>
      </c>
      <c r="H1089" s="1" t="s">
        <v>19467</v>
      </c>
      <c r="I1089" s="1" t="s">
        <v>19468</v>
      </c>
      <c r="J1089" s="1">
        <v>8655128267</v>
      </c>
      <c r="K1089" s="1" t="s">
        <v>148</v>
      </c>
      <c r="L1089" s="1" t="s">
        <v>8530</v>
      </c>
      <c r="M1089" s="1" t="s">
        <v>81</v>
      </c>
      <c r="N1089" s="1" t="s">
        <v>3236</v>
      </c>
      <c r="O1089" s="1" t="s">
        <v>19469</v>
      </c>
      <c r="P1089" s="1" t="s">
        <v>1298</v>
      </c>
      <c r="Q1089" s="1" t="s">
        <v>19470</v>
      </c>
      <c r="R1089" s="1" t="s">
        <v>19471</v>
      </c>
      <c r="S1089" s="1">
        <v>9322891755</v>
      </c>
      <c r="T1089" s="1" t="s">
        <v>842</v>
      </c>
      <c r="U1089" s="1" t="s">
        <v>19472</v>
      </c>
      <c r="V1089" s="1">
        <v>9224413737</v>
      </c>
      <c r="W1089" s="1" t="s">
        <v>19473</v>
      </c>
      <c r="X1089" s="1" t="s">
        <v>19474</v>
      </c>
      <c r="Y1089" s="1" t="s">
        <v>766</v>
      </c>
      <c r="Z1089" s="1" t="s">
        <v>92</v>
      </c>
      <c r="AA1089" s="1" t="s">
        <v>19474</v>
      </c>
      <c r="AB1089" s="1" t="s">
        <v>766</v>
      </c>
      <c r="AC1089" s="1" t="s">
        <v>92</v>
      </c>
      <c r="AD1089" s="1">
        <v>8.38</v>
      </c>
      <c r="AE1089" s="1" t="s">
        <v>93</v>
      </c>
      <c r="AF1089" s="1" t="s">
        <v>19475</v>
      </c>
      <c r="AG1089" s="1" t="s">
        <v>19476</v>
      </c>
      <c r="AH1089" s="1" t="s">
        <v>456</v>
      </c>
      <c r="AI1089" s="1" t="s">
        <v>195</v>
      </c>
      <c r="AJ1089" s="1">
        <v>82.8</v>
      </c>
      <c r="AK1089" s="1">
        <v>0</v>
      </c>
      <c r="AL1089" s="1" t="s">
        <v>19477</v>
      </c>
      <c r="AM1089" s="1" t="s">
        <v>19476</v>
      </c>
      <c r="AN1089" s="1" t="s">
        <v>457</v>
      </c>
      <c r="AO1089" s="1" t="s">
        <v>198</v>
      </c>
      <c r="AP1089" s="1">
        <v>63.54</v>
      </c>
      <c r="AQ1089" s="1">
        <v>0</v>
      </c>
      <c r="AR1089" s="1"/>
      <c r="AS1089" s="1"/>
      <c r="AT1089" s="1"/>
      <c r="AU1089" s="1"/>
      <c r="AV1089" s="1"/>
      <c r="AW1089" s="1"/>
      <c r="AX1089" s="1" t="s">
        <v>19478</v>
      </c>
      <c r="AY1089" s="1" t="s">
        <v>19479</v>
      </c>
      <c r="AZ1089" s="1" t="s">
        <v>201</v>
      </c>
      <c r="BA1089" s="1" t="s">
        <v>702</v>
      </c>
      <c r="BB1089" s="1">
        <v>69.64</v>
      </c>
      <c r="BC1089" s="1">
        <v>7.79</v>
      </c>
      <c r="BD1089" s="1"/>
      <c r="BE1089" s="1"/>
      <c r="BF1089" s="1"/>
      <c r="BG1089" s="1"/>
      <c r="BH1089" s="1"/>
      <c r="BI1089" s="1"/>
      <c r="BJ1089" s="1" t="s">
        <v>19480</v>
      </c>
      <c r="BK1089" s="1" t="s">
        <v>19481</v>
      </c>
      <c r="BL1089" s="1" t="s">
        <v>1920</v>
      </c>
      <c r="BM1089" s="1" t="s">
        <v>19482</v>
      </c>
      <c r="BN1089" s="1">
        <v>30</v>
      </c>
      <c r="BO1089" s="1" t="s">
        <v>19483</v>
      </c>
      <c r="BP1089" s="1" t="str">
        <f>HYPERLINK("https://nconnect.nicmar.ac.in/storage/profile/ProfilePhoto_P25701020_926453.jpg","Download")</f>
        <v>0</v>
      </c>
      <c r="BQ1089" s="3"/>
      <c r="BR1089" s="3"/>
    </row>
    <row r="1090" spans="1:70">
      <c r="A1090" s="1" t="s">
        <v>1563</v>
      </c>
      <c r="B1090" s="1" t="s">
        <v>1269</v>
      </c>
      <c r="C1090" s="1" t="s">
        <v>19484</v>
      </c>
      <c r="D1090" s="1" t="s">
        <v>3158</v>
      </c>
      <c r="E1090" s="1" t="s">
        <v>1566</v>
      </c>
      <c r="F1090" s="1" t="s">
        <v>19485</v>
      </c>
      <c r="G1090" s="1" t="s">
        <v>19486</v>
      </c>
      <c r="H1090" s="1" t="s">
        <v>19487</v>
      </c>
      <c r="I1090" s="1" t="s">
        <v>19488</v>
      </c>
      <c r="J1090" s="1">
        <v>8600497716</v>
      </c>
      <c r="K1090" s="1" t="s">
        <v>148</v>
      </c>
      <c r="L1090" s="1" t="s">
        <v>19489</v>
      </c>
      <c r="M1090" s="1" t="s">
        <v>81</v>
      </c>
      <c r="N1090" s="1" t="s">
        <v>5731</v>
      </c>
      <c r="O1090" s="1"/>
      <c r="P1090" s="1" t="s">
        <v>1298</v>
      </c>
      <c r="Q1090" s="1" t="s">
        <v>19490</v>
      </c>
      <c r="R1090" s="1" t="s">
        <v>1566</v>
      </c>
      <c r="S1090" s="1">
        <v>9422556914</v>
      </c>
      <c r="T1090" s="1" t="s">
        <v>87</v>
      </c>
      <c r="U1090" s="1" t="s">
        <v>19491</v>
      </c>
      <c r="V1090" s="1">
        <v>9730244161</v>
      </c>
      <c r="W1090" s="1" t="s">
        <v>122</v>
      </c>
      <c r="X1090" s="1" t="s">
        <v>19492</v>
      </c>
      <c r="Y1090" s="1" t="s">
        <v>405</v>
      </c>
      <c r="Z1090" s="1" t="s">
        <v>92</v>
      </c>
      <c r="AA1090" s="1" t="s">
        <v>19492</v>
      </c>
      <c r="AB1090" s="1" t="s">
        <v>405</v>
      </c>
      <c r="AC1090" s="1" t="s">
        <v>92</v>
      </c>
      <c r="AD1090" s="1">
        <v>7.69</v>
      </c>
      <c r="AE1090" s="1" t="s">
        <v>93</v>
      </c>
      <c r="AF1090" s="1" t="s">
        <v>19493</v>
      </c>
      <c r="AG1090" s="1" t="s">
        <v>307</v>
      </c>
      <c r="AH1090" s="1" t="s">
        <v>165</v>
      </c>
      <c r="AI1090" s="1" t="s">
        <v>166</v>
      </c>
      <c r="AJ1090" s="1">
        <v>70</v>
      </c>
      <c r="AK1090" s="1">
        <v>0</v>
      </c>
      <c r="AL1090" s="1" t="s">
        <v>19494</v>
      </c>
      <c r="AM1090" s="1" t="s">
        <v>160</v>
      </c>
      <c r="AN1090" s="1" t="s">
        <v>433</v>
      </c>
      <c r="AO1090" s="1" t="s">
        <v>412</v>
      </c>
      <c r="AP1090" s="1">
        <v>65.38</v>
      </c>
      <c r="AQ1090" s="1">
        <v>0</v>
      </c>
      <c r="AR1090" s="1"/>
      <c r="AS1090" s="1"/>
      <c r="AT1090" s="1"/>
      <c r="AU1090" s="1"/>
      <c r="AV1090" s="1"/>
      <c r="AW1090" s="1"/>
      <c r="AX1090" s="1" t="s">
        <v>1853</v>
      </c>
      <c r="AY1090" s="1" t="s">
        <v>19495</v>
      </c>
      <c r="AZ1090" s="1" t="s">
        <v>173</v>
      </c>
      <c r="BA1090" s="1" t="s">
        <v>1714</v>
      </c>
      <c r="BB1090" s="1">
        <v>60.7</v>
      </c>
      <c r="BC1090" s="1">
        <v>6.82</v>
      </c>
      <c r="BD1090" s="1"/>
      <c r="BE1090" s="1"/>
      <c r="BF1090" s="1"/>
      <c r="BG1090" s="1"/>
      <c r="BH1090" s="1"/>
      <c r="BI1090" s="1"/>
      <c r="BJ1090" s="1" t="s">
        <v>19496</v>
      </c>
      <c r="BK1090" s="1"/>
      <c r="BL1090" s="1"/>
      <c r="BM1090" s="1" t="s">
        <v>19497</v>
      </c>
      <c r="BN1090" s="1">
        <v>27</v>
      </c>
      <c r="BO1090" s="1" t="s">
        <v>19498</v>
      </c>
      <c r="BP1090" s="1" t="str">
        <f>HYPERLINK("https://nconnect.nicmar.ac.in/storage/profile/ProfilePhoto_P25701021_792318.jpg","Download")</f>
        <v>0</v>
      </c>
      <c r="BQ1090" s="3"/>
      <c r="BR1090" s="3"/>
    </row>
    <row r="1091" spans="1:70">
      <c r="A1091" s="1" t="s">
        <v>1563</v>
      </c>
      <c r="B1091" s="1" t="s">
        <v>1269</v>
      </c>
      <c r="C1091" s="1" t="s">
        <v>19499</v>
      </c>
      <c r="D1091" s="1" t="s">
        <v>19500</v>
      </c>
      <c r="E1091" s="1" t="s">
        <v>5413</v>
      </c>
      <c r="F1091" s="1" t="s">
        <v>19501</v>
      </c>
      <c r="G1091" s="1" t="s">
        <v>19502</v>
      </c>
      <c r="H1091" s="1" t="s">
        <v>19503</v>
      </c>
      <c r="I1091" s="1" t="s">
        <v>19504</v>
      </c>
      <c r="J1091" s="1">
        <v>9156825990</v>
      </c>
      <c r="K1091" s="1" t="s">
        <v>148</v>
      </c>
      <c r="L1091" s="1" t="s">
        <v>9904</v>
      </c>
      <c r="M1091" s="1" t="s">
        <v>81</v>
      </c>
      <c r="N1091" s="1" t="s">
        <v>1418</v>
      </c>
      <c r="O1091" s="1" t="s">
        <v>19505</v>
      </c>
      <c r="P1091" s="1" t="s">
        <v>1278</v>
      </c>
      <c r="Q1091" s="1" t="s">
        <v>19506</v>
      </c>
      <c r="R1091" s="1" t="s">
        <v>5413</v>
      </c>
      <c r="S1091" s="1">
        <v>7720060261</v>
      </c>
      <c r="T1091" s="1" t="s">
        <v>377</v>
      </c>
      <c r="U1091" s="1" t="s">
        <v>14205</v>
      </c>
      <c r="V1091" s="1">
        <v>7720060264</v>
      </c>
      <c r="W1091" s="1" t="s">
        <v>156</v>
      </c>
      <c r="X1091" s="1" t="s">
        <v>19507</v>
      </c>
      <c r="Y1091" s="1" t="s">
        <v>191</v>
      </c>
      <c r="Z1091" s="1" t="s">
        <v>92</v>
      </c>
      <c r="AA1091" s="1" t="s">
        <v>19508</v>
      </c>
      <c r="AB1091" s="1" t="s">
        <v>405</v>
      </c>
      <c r="AC1091" s="1" t="s">
        <v>92</v>
      </c>
      <c r="AD1091" s="1">
        <v>9.06</v>
      </c>
      <c r="AE1091" s="1" t="s">
        <v>93</v>
      </c>
      <c r="AF1091" s="1" t="s">
        <v>19509</v>
      </c>
      <c r="AG1091" s="1" t="s">
        <v>307</v>
      </c>
      <c r="AH1091" s="1" t="s">
        <v>162</v>
      </c>
      <c r="AI1091" s="1" t="s">
        <v>165</v>
      </c>
      <c r="AJ1091" s="1">
        <v>91.2</v>
      </c>
      <c r="AK1091" s="1">
        <v>9.6</v>
      </c>
      <c r="AL1091" s="1" t="s">
        <v>19510</v>
      </c>
      <c r="AM1091" s="1" t="s">
        <v>19511</v>
      </c>
      <c r="AN1091" s="1" t="s">
        <v>101</v>
      </c>
      <c r="AO1091" s="1" t="s">
        <v>433</v>
      </c>
      <c r="AP1091" s="1">
        <v>76.62</v>
      </c>
      <c r="AQ1091" s="1"/>
      <c r="AR1091" s="1"/>
      <c r="AS1091" s="1"/>
      <c r="AT1091" s="1"/>
      <c r="AU1091" s="1"/>
      <c r="AV1091" s="1"/>
      <c r="AW1091" s="1"/>
      <c r="AX1091" s="1" t="s">
        <v>361</v>
      </c>
      <c r="AY1091" s="1" t="s">
        <v>19512</v>
      </c>
      <c r="AZ1091" s="1" t="s">
        <v>201</v>
      </c>
      <c r="BA1091" s="1" t="s">
        <v>413</v>
      </c>
      <c r="BB1091" s="1">
        <v>65.5</v>
      </c>
      <c r="BC1091" s="1">
        <v>7.3</v>
      </c>
      <c r="BD1091" s="1"/>
      <c r="BE1091" s="1"/>
      <c r="BF1091" s="1"/>
      <c r="BG1091" s="1"/>
      <c r="BH1091" s="1"/>
      <c r="BI1091" s="1"/>
      <c r="BJ1091" s="1" t="s">
        <v>19513</v>
      </c>
      <c r="BK1091" s="1"/>
      <c r="BL1091" s="1"/>
      <c r="BM1091" s="1" t="s">
        <v>19514</v>
      </c>
      <c r="BN1091" s="1">
        <v>33</v>
      </c>
      <c r="BO1091" s="1" t="s">
        <v>19515</v>
      </c>
      <c r="BP1091" s="1" t="str">
        <f>HYPERLINK("https://nconnect.nicmar.ac.in/storage/profile/ProfilePhoto_P25701022_635789.jpg","Download")</f>
        <v>0</v>
      </c>
      <c r="BQ1091" s="3"/>
      <c r="BR1091" s="3"/>
    </row>
    <row r="1092" spans="1:70">
      <c r="A1092" s="1" t="s">
        <v>1563</v>
      </c>
      <c r="B1092" s="1" t="s">
        <v>1269</v>
      </c>
      <c r="C1092" s="1" t="s">
        <v>19516</v>
      </c>
      <c r="D1092" s="1" t="s">
        <v>7899</v>
      </c>
      <c r="E1092" s="1" t="s">
        <v>19517</v>
      </c>
      <c r="F1092" s="1" t="s">
        <v>19518</v>
      </c>
      <c r="G1092" s="1" t="s">
        <v>19519</v>
      </c>
      <c r="H1092" s="1" t="s">
        <v>19520</v>
      </c>
      <c r="I1092" s="1" t="s">
        <v>19521</v>
      </c>
      <c r="J1092" s="1">
        <v>7760817685</v>
      </c>
      <c r="K1092" s="1" t="s">
        <v>148</v>
      </c>
      <c r="L1092" s="1" t="s">
        <v>19522</v>
      </c>
      <c r="M1092" s="1" t="s">
        <v>81</v>
      </c>
      <c r="N1092" s="1" t="s">
        <v>13681</v>
      </c>
      <c r="O1092" s="1"/>
      <c r="P1092" s="1" t="s">
        <v>1323</v>
      </c>
      <c r="Q1092" s="1" t="s">
        <v>19523</v>
      </c>
      <c r="R1092" s="1" t="s">
        <v>19524</v>
      </c>
      <c r="S1092" s="1">
        <v>9900114476</v>
      </c>
      <c r="T1092" s="1" t="s">
        <v>496</v>
      </c>
      <c r="U1092" s="1" t="s">
        <v>19525</v>
      </c>
      <c r="V1092" s="1">
        <v>9986244476</v>
      </c>
      <c r="W1092" s="1" t="s">
        <v>716</v>
      </c>
      <c r="X1092" s="1" t="s">
        <v>19526</v>
      </c>
      <c r="Y1092" s="1" t="s">
        <v>1083</v>
      </c>
      <c r="Z1092" s="1" t="s">
        <v>1084</v>
      </c>
      <c r="AA1092" s="1" t="s">
        <v>19526</v>
      </c>
      <c r="AB1092" s="1" t="s">
        <v>1083</v>
      </c>
      <c r="AC1092" s="1" t="s">
        <v>1084</v>
      </c>
      <c r="AD1092" s="1">
        <v>9.63</v>
      </c>
      <c r="AE1092" s="1" t="s">
        <v>93</v>
      </c>
      <c r="AF1092" s="1" t="s">
        <v>19527</v>
      </c>
      <c r="AG1092" s="1" t="s">
        <v>939</v>
      </c>
      <c r="AH1092" s="1" t="s">
        <v>161</v>
      </c>
      <c r="AI1092" s="1" t="s">
        <v>527</v>
      </c>
      <c r="AJ1092" s="1">
        <v>95</v>
      </c>
      <c r="AK1092" s="1">
        <v>10</v>
      </c>
      <c r="AL1092" s="1" t="s">
        <v>19527</v>
      </c>
      <c r="AM1092" s="1" t="s">
        <v>939</v>
      </c>
      <c r="AN1092" s="1" t="s">
        <v>165</v>
      </c>
      <c r="AO1092" s="1" t="s">
        <v>166</v>
      </c>
      <c r="AP1092" s="1">
        <v>95.4</v>
      </c>
      <c r="AQ1092" s="1">
        <v>0</v>
      </c>
      <c r="AR1092" s="1"/>
      <c r="AS1092" s="1"/>
      <c r="AT1092" s="1"/>
      <c r="AU1092" s="1"/>
      <c r="AV1092" s="1"/>
      <c r="AW1092" s="1"/>
      <c r="AX1092" s="1" t="s">
        <v>1519</v>
      </c>
      <c r="AY1092" s="1" t="s">
        <v>19528</v>
      </c>
      <c r="AZ1092" s="1" t="s">
        <v>169</v>
      </c>
      <c r="BA1092" s="1" t="s">
        <v>229</v>
      </c>
      <c r="BB1092" s="1">
        <v>82.8</v>
      </c>
      <c r="BC1092" s="1">
        <v>9.03</v>
      </c>
      <c r="BD1092" s="1"/>
      <c r="BE1092" s="1"/>
      <c r="BF1092" s="1"/>
      <c r="BG1092" s="1"/>
      <c r="BH1092" s="1"/>
      <c r="BI1092" s="1"/>
      <c r="BJ1092" s="1" t="s">
        <v>19529</v>
      </c>
      <c r="BK1092" s="1" t="s">
        <v>19530</v>
      </c>
      <c r="BL1092" s="1" t="s">
        <v>1543</v>
      </c>
      <c r="BM1092" s="1" t="s">
        <v>19531</v>
      </c>
      <c r="BN1092" s="1">
        <v>25</v>
      </c>
      <c r="BO1092" s="1"/>
      <c r="BP1092" s="1" t="str">
        <f>HYPERLINK("https://nconnect.nicmar.ac.in/storage/profile/ProfilePhoto_P25701024_187362.jpg","Download")</f>
        <v>0</v>
      </c>
      <c r="BQ1092" s="3"/>
      <c r="BR1092" s="3"/>
    </row>
    <row r="1093" spans="1:70">
      <c r="A1093" s="1" t="s">
        <v>1563</v>
      </c>
      <c r="B1093" s="1" t="s">
        <v>1269</v>
      </c>
      <c r="C1093" s="1" t="s">
        <v>19532</v>
      </c>
      <c r="D1093" s="1" t="s">
        <v>3911</v>
      </c>
      <c r="E1093" s="1" t="s">
        <v>19533</v>
      </c>
      <c r="F1093" s="1" t="s">
        <v>14399</v>
      </c>
      <c r="G1093" s="1" t="s">
        <v>19534</v>
      </c>
      <c r="H1093" s="1" t="s">
        <v>19535</v>
      </c>
      <c r="I1093" s="1" t="s">
        <v>19536</v>
      </c>
      <c r="J1093" s="1">
        <v>8208157977</v>
      </c>
      <c r="K1093" s="1" t="s">
        <v>79</v>
      </c>
      <c r="L1093" s="1" t="s">
        <v>7837</v>
      </c>
      <c r="M1093" s="1" t="s">
        <v>81</v>
      </c>
      <c r="N1093" s="1" t="s">
        <v>2008</v>
      </c>
      <c r="O1093" s="1"/>
      <c r="P1093" s="1" t="s">
        <v>1278</v>
      </c>
      <c r="Q1093" s="1" t="s">
        <v>19537</v>
      </c>
      <c r="R1093" s="1" t="s">
        <v>19538</v>
      </c>
      <c r="S1093" s="1">
        <v>9921560422</v>
      </c>
      <c r="T1093" s="1" t="s">
        <v>154</v>
      </c>
      <c r="U1093" s="1" t="s">
        <v>19539</v>
      </c>
      <c r="V1093" s="1">
        <v>9403884122</v>
      </c>
      <c r="W1093" s="1" t="s">
        <v>273</v>
      </c>
      <c r="X1093" s="1" t="s">
        <v>19540</v>
      </c>
      <c r="Y1093" s="1" t="s">
        <v>191</v>
      </c>
      <c r="Z1093" s="1" t="s">
        <v>92</v>
      </c>
      <c r="AA1093" s="1" t="s">
        <v>19541</v>
      </c>
      <c r="AB1093" s="1" t="s">
        <v>219</v>
      </c>
      <c r="AC1093" s="1" t="s">
        <v>92</v>
      </c>
      <c r="AD1093" s="1" t="s">
        <v>93</v>
      </c>
      <c r="AE1093" s="1" t="s">
        <v>93</v>
      </c>
      <c r="AF1093" s="1" t="s">
        <v>19542</v>
      </c>
      <c r="AG1093" s="1" t="s">
        <v>3161</v>
      </c>
      <c r="AH1093" s="1" t="s">
        <v>1670</v>
      </c>
      <c r="AI1093" s="1" t="s">
        <v>165</v>
      </c>
      <c r="AJ1093" s="1">
        <v>78.8</v>
      </c>
      <c r="AK1093" s="1"/>
      <c r="AL1093" s="1" t="s">
        <v>13368</v>
      </c>
      <c r="AM1093" s="1" t="s">
        <v>3161</v>
      </c>
      <c r="AN1093" s="1" t="s">
        <v>169</v>
      </c>
      <c r="AO1093" s="1" t="s">
        <v>198</v>
      </c>
      <c r="AP1093" s="1">
        <v>63.23</v>
      </c>
      <c r="AQ1093" s="1"/>
      <c r="AR1093" s="1"/>
      <c r="AS1093" s="1"/>
      <c r="AT1093" s="1"/>
      <c r="AU1093" s="1"/>
      <c r="AV1093" s="1"/>
      <c r="AW1093" s="1"/>
      <c r="AX1093" s="1" t="s">
        <v>335</v>
      </c>
      <c r="AY1093" s="1" t="s">
        <v>19543</v>
      </c>
      <c r="AZ1093" s="1" t="s">
        <v>201</v>
      </c>
      <c r="BA1093" s="1" t="s">
        <v>229</v>
      </c>
      <c r="BB1093" s="1">
        <v>58.51</v>
      </c>
      <c r="BC1093" s="1">
        <v>6.31</v>
      </c>
      <c r="BD1093" s="1"/>
      <c r="BE1093" s="1"/>
      <c r="BF1093" s="1"/>
      <c r="BG1093" s="1"/>
      <c r="BH1093" s="1"/>
      <c r="BI1093" s="1"/>
      <c r="BJ1093" s="1" t="s">
        <v>4112</v>
      </c>
      <c r="BK1093" s="1"/>
      <c r="BL1093" s="1"/>
      <c r="BM1093" s="1" t="s">
        <v>19544</v>
      </c>
      <c r="BN1093" s="1">
        <v>7</v>
      </c>
      <c r="BO1093" s="1"/>
      <c r="BP1093" s="1" t="str">
        <f>HYPERLINK("https://nconnect.nicmar.ac.in/storage/profile/ProfilePhoto_P25701025_745183.jpg","Download")</f>
        <v>0</v>
      </c>
      <c r="BQ1093" s="3"/>
      <c r="BR1093" s="3"/>
    </row>
    <row r="1094" spans="1:70">
      <c r="A1094" s="1" t="s">
        <v>1563</v>
      </c>
      <c r="B1094" s="1" t="s">
        <v>1269</v>
      </c>
      <c r="C1094" s="1" t="s">
        <v>19545</v>
      </c>
      <c r="D1094" s="1" t="s">
        <v>19546</v>
      </c>
      <c r="E1094" s="1"/>
      <c r="F1094" s="1" t="s">
        <v>19547</v>
      </c>
      <c r="G1094" s="1" t="s">
        <v>19548</v>
      </c>
      <c r="H1094" s="1" t="s">
        <v>19549</v>
      </c>
      <c r="I1094" s="1" t="s">
        <v>19550</v>
      </c>
      <c r="J1094" s="1">
        <v>9108981990</v>
      </c>
      <c r="K1094" s="1" t="s">
        <v>79</v>
      </c>
      <c r="L1094" s="1" t="s">
        <v>19551</v>
      </c>
      <c r="M1094" s="1" t="s">
        <v>81</v>
      </c>
      <c r="N1094" s="1" t="s">
        <v>14354</v>
      </c>
      <c r="O1094" s="1"/>
      <c r="P1094" s="1" t="s">
        <v>1323</v>
      </c>
      <c r="Q1094" s="1" t="s">
        <v>19552</v>
      </c>
      <c r="R1094" s="1" t="s">
        <v>19553</v>
      </c>
      <c r="S1094" s="1">
        <v>9844499891</v>
      </c>
      <c r="T1094" s="1" t="s">
        <v>19554</v>
      </c>
      <c r="U1094" s="1" t="s">
        <v>19555</v>
      </c>
      <c r="V1094" s="1">
        <v>9880088849</v>
      </c>
      <c r="W1094" s="1" t="s">
        <v>2094</v>
      </c>
      <c r="X1094" s="1" t="s">
        <v>19556</v>
      </c>
      <c r="Y1094" s="1" t="s">
        <v>14019</v>
      </c>
      <c r="Z1094" s="1" t="s">
        <v>1084</v>
      </c>
      <c r="AA1094" s="1" t="s">
        <v>19556</v>
      </c>
      <c r="AB1094" s="1" t="s">
        <v>14019</v>
      </c>
      <c r="AC1094" s="1" t="s">
        <v>1084</v>
      </c>
      <c r="AD1094" s="1">
        <v>7.87</v>
      </c>
      <c r="AE1094" s="1" t="s">
        <v>93</v>
      </c>
      <c r="AF1094" s="1" t="s">
        <v>19557</v>
      </c>
      <c r="AG1094" s="1" t="s">
        <v>307</v>
      </c>
      <c r="AH1094" s="1" t="s">
        <v>162</v>
      </c>
      <c r="AI1094" s="1" t="s">
        <v>165</v>
      </c>
      <c r="AJ1094" s="1">
        <v>89.3</v>
      </c>
      <c r="AK1094" s="1">
        <v>9.4</v>
      </c>
      <c r="AL1094" s="1" t="s">
        <v>19558</v>
      </c>
      <c r="AM1094" s="1" t="s">
        <v>14361</v>
      </c>
      <c r="AN1094" s="1" t="s">
        <v>281</v>
      </c>
      <c r="AO1094" s="1" t="s">
        <v>409</v>
      </c>
      <c r="AP1094" s="1">
        <v>81.33</v>
      </c>
      <c r="AQ1094" s="1">
        <v>8.6</v>
      </c>
      <c r="AR1094" s="1"/>
      <c r="AS1094" s="1"/>
      <c r="AT1094" s="1"/>
      <c r="AU1094" s="1"/>
      <c r="AV1094" s="1"/>
      <c r="AW1094" s="1"/>
      <c r="AX1094" s="1" t="s">
        <v>8293</v>
      </c>
      <c r="AY1094" s="1" t="s">
        <v>19559</v>
      </c>
      <c r="AZ1094" s="1" t="s">
        <v>201</v>
      </c>
      <c r="BA1094" s="1" t="s">
        <v>174</v>
      </c>
      <c r="BB1094" s="1">
        <v>81.3</v>
      </c>
      <c r="BC1094" s="1">
        <v>8.13</v>
      </c>
      <c r="BD1094" s="1"/>
      <c r="BE1094" s="1"/>
      <c r="BF1094" s="1"/>
      <c r="BG1094" s="1"/>
      <c r="BH1094" s="1"/>
      <c r="BI1094" s="1"/>
      <c r="BJ1094" s="1" t="s">
        <v>1383</v>
      </c>
      <c r="BK1094" s="1" t="s">
        <v>19560</v>
      </c>
      <c r="BL1094" s="1" t="s">
        <v>1028</v>
      </c>
      <c r="BM1094" s="1" t="s">
        <v>19561</v>
      </c>
      <c r="BN1094" s="1">
        <v>12</v>
      </c>
      <c r="BO1094" s="1"/>
      <c r="BP1094" s="1" t="str">
        <f>HYPERLINK("https://nconnect.nicmar.ac.in/storage/profile/ProfilePhoto_P25701026_834126.jpg","Download")</f>
        <v>0</v>
      </c>
      <c r="BQ1094" s="3"/>
      <c r="BR1094" s="3"/>
    </row>
    <row r="1095" spans="1:70">
      <c r="A1095" s="1" t="s">
        <v>1563</v>
      </c>
      <c r="B1095" s="1" t="s">
        <v>1269</v>
      </c>
      <c r="C1095" s="1" t="s">
        <v>19562</v>
      </c>
      <c r="D1095" s="1" t="s">
        <v>17356</v>
      </c>
      <c r="E1095" s="1"/>
      <c r="F1095" s="1" t="s">
        <v>3036</v>
      </c>
      <c r="G1095" s="1" t="s">
        <v>19563</v>
      </c>
      <c r="H1095" s="1" t="s">
        <v>19564</v>
      </c>
      <c r="I1095" s="1" t="s">
        <v>19565</v>
      </c>
      <c r="J1095" s="1">
        <v>9883267800</v>
      </c>
      <c r="K1095" s="1" t="s">
        <v>148</v>
      </c>
      <c r="L1095" s="1" t="s">
        <v>13558</v>
      </c>
      <c r="M1095" s="1" t="s">
        <v>81</v>
      </c>
      <c r="N1095" s="1" t="s">
        <v>19566</v>
      </c>
      <c r="O1095" s="1" t="s">
        <v>19567</v>
      </c>
      <c r="P1095" s="1" t="s">
        <v>1278</v>
      </c>
      <c r="Q1095" s="1" t="s">
        <v>19568</v>
      </c>
      <c r="R1095" s="1" t="s">
        <v>19569</v>
      </c>
      <c r="S1095" s="1">
        <v>9339454513</v>
      </c>
      <c r="T1095" s="1" t="s">
        <v>496</v>
      </c>
      <c r="U1095" s="1" t="s">
        <v>19570</v>
      </c>
      <c r="V1095" s="1">
        <v>7003814005</v>
      </c>
      <c r="W1095" s="1" t="s">
        <v>89</v>
      </c>
      <c r="X1095" s="1" t="s">
        <v>19571</v>
      </c>
      <c r="Y1095" s="1" t="s">
        <v>4088</v>
      </c>
      <c r="Z1095" s="1" t="s">
        <v>783</v>
      </c>
      <c r="AA1095" s="1" t="s">
        <v>19571</v>
      </c>
      <c r="AB1095" s="1" t="s">
        <v>4088</v>
      </c>
      <c r="AC1095" s="1" t="s">
        <v>783</v>
      </c>
      <c r="AD1095" s="1">
        <v>8.97</v>
      </c>
      <c r="AE1095" s="1" t="s">
        <v>93</v>
      </c>
      <c r="AF1095" s="1" t="s">
        <v>19572</v>
      </c>
      <c r="AG1095" s="1" t="s">
        <v>307</v>
      </c>
      <c r="AH1095" s="1" t="s">
        <v>678</v>
      </c>
      <c r="AI1095" s="1" t="s">
        <v>281</v>
      </c>
      <c r="AJ1095" s="1">
        <v>85.4</v>
      </c>
      <c r="AK1095" s="1">
        <v>0</v>
      </c>
      <c r="AL1095" s="1" t="s">
        <v>19572</v>
      </c>
      <c r="AM1095" s="1" t="s">
        <v>307</v>
      </c>
      <c r="AN1095" s="1" t="s">
        <v>1065</v>
      </c>
      <c r="AO1095" s="1" t="s">
        <v>941</v>
      </c>
      <c r="AP1095" s="1">
        <v>82</v>
      </c>
      <c r="AQ1095" s="1">
        <v>0</v>
      </c>
      <c r="AR1095" s="1"/>
      <c r="AS1095" s="1"/>
      <c r="AT1095" s="1"/>
      <c r="AU1095" s="1"/>
      <c r="AV1095" s="1"/>
      <c r="AW1095" s="1"/>
      <c r="AX1095" s="1" t="s">
        <v>19573</v>
      </c>
      <c r="AY1095" s="1" t="s">
        <v>19574</v>
      </c>
      <c r="AZ1095" s="1" t="s">
        <v>920</v>
      </c>
      <c r="BA1095" s="1" t="s">
        <v>1714</v>
      </c>
      <c r="BB1095" s="1">
        <v>73.9</v>
      </c>
      <c r="BC1095" s="1">
        <v>7.89</v>
      </c>
      <c r="BD1095" s="1"/>
      <c r="BE1095" s="1"/>
      <c r="BF1095" s="1"/>
      <c r="BG1095" s="1"/>
      <c r="BH1095" s="1"/>
      <c r="BI1095" s="1"/>
      <c r="BJ1095" s="1" t="s">
        <v>19575</v>
      </c>
      <c r="BK1095" s="1"/>
      <c r="BL1095" s="1"/>
      <c r="BM1095" s="1" t="s">
        <v>19576</v>
      </c>
      <c r="BN1095" s="1">
        <v>30</v>
      </c>
      <c r="BO1095" s="1" t="s">
        <v>19577</v>
      </c>
      <c r="BP1095" s="1" t="str">
        <f>HYPERLINK("https://nconnect.nicmar.ac.in/storage/profile/ProfilePhoto_P25701027_634982.jpg","Download")</f>
        <v>0</v>
      </c>
      <c r="BQ1095" s="3"/>
      <c r="BR1095" s="3"/>
    </row>
    <row r="1096" spans="1:70">
      <c r="A1096" s="1" t="s">
        <v>1563</v>
      </c>
      <c r="B1096" s="1" t="s">
        <v>1269</v>
      </c>
      <c r="C1096" s="1" t="s">
        <v>19578</v>
      </c>
      <c r="D1096" s="1" t="s">
        <v>19579</v>
      </c>
      <c r="E1096" s="1" t="s">
        <v>2430</v>
      </c>
      <c r="F1096" s="1" t="s">
        <v>13921</v>
      </c>
      <c r="G1096" s="1" t="s">
        <v>19580</v>
      </c>
      <c r="H1096" s="1" t="s">
        <v>19581</v>
      </c>
      <c r="I1096" s="1" t="s">
        <v>19582</v>
      </c>
      <c r="J1096" s="1">
        <v>9137393599</v>
      </c>
      <c r="K1096" s="1" t="s">
        <v>148</v>
      </c>
      <c r="L1096" s="1" t="s">
        <v>19583</v>
      </c>
      <c r="M1096" s="1" t="s">
        <v>81</v>
      </c>
      <c r="N1096" s="1" t="s">
        <v>2008</v>
      </c>
      <c r="O1096" s="1"/>
      <c r="P1096" s="1" t="s">
        <v>1278</v>
      </c>
      <c r="Q1096" s="1" t="s">
        <v>19584</v>
      </c>
      <c r="R1096" s="1" t="s">
        <v>2430</v>
      </c>
      <c r="S1096" s="1">
        <v>9004414079</v>
      </c>
      <c r="T1096" s="1" t="s">
        <v>19585</v>
      </c>
      <c r="U1096" s="1" t="s">
        <v>10822</v>
      </c>
      <c r="V1096" s="1">
        <v>9653468457</v>
      </c>
      <c r="W1096" s="1" t="s">
        <v>89</v>
      </c>
      <c r="X1096" s="1" t="s">
        <v>19586</v>
      </c>
      <c r="Y1096" s="1" t="s">
        <v>1623</v>
      </c>
      <c r="Z1096" s="1" t="s">
        <v>92</v>
      </c>
      <c r="AA1096" s="1" t="s">
        <v>19586</v>
      </c>
      <c r="AB1096" s="1" t="s">
        <v>1623</v>
      </c>
      <c r="AC1096" s="1" t="s">
        <v>92</v>
      </c>
      <c r="AD1096" s="1">
        <v>9.1</v>
      </c>
      <c r="AE1096" s="1" t="s">
        <v>93</v>
      </c>
      <c r="AF1096" s="1" t="s">
        <v>11071</v>
      </c>
      <c r="AG1096" s="1" t="s">
        <v>476</v>
      </c>
      <c r="AH1096" s="1" t="s">
        <v>96</v>
      </c>
      <c r="AI1096" s="1" t="s">
        <v>97</v>
      </c>
      <c r="AJ1096" s="1">
        <v>87.2</v>
      </c>
      <c r="AK1096" s="1"/>
      <c r="AL1096" s="1" t="s">
        <v>19587</v>
      </c>
      <c r="AM1096" s="1" t="s">
        <v>476</v>
      </c>
      <c r="AN1096" s="1" t="s">
        <v>100</v>
      </c>
      <c r="AO1096" s="1" t="s">
        <v>479</v>
      </c>
      <c r="AP1096" s="1">
        <v>64</v>
      </c>
      <c r="AQ1096" s="1"/>
      <c r="AR1096" s="1"/>
      <c r="AS1096" s="1"/>
      <c r="AT1096" s="1"/>
      <c r="AU1096" s="1"/>
      <c r="AV1096" s="1"/>
      <c r="AW1096" s="1"/>
      <c r="AX1096" s="1" t="s">
        <v>1024</v>
      </c>
      <c r="AY1096" s="1" t="s">
        <v>19588</v>
      </c>
      <c r="AZ1096" s="1" t="s">
        <v>225</v>
      </c>
      <c r="BA1096" s="1" t="s">
        <v>575</v>
      </c>
      <c r="BB1096" s="1">
        <v>71</v>
      </c>
      <c r="BC1096" s="1">
        <v>8.78</v>
      </c>
      <c r="BD1096" s="1"/>
      <c r="BE1096" s="1"/>
      <c r="BF1096" s="1"/>
      <c r="BG1096" s="1"/>
      <c r="BH1096" s="1"/>
      <c r="BI1096" s="1"/>
      <c r="BJ1096" s="1" t="s">
        <v>19589</v>
      </c>
      <c r="BK1096" s="1" t="s">
        <v>19590</v>
      </c>
      <c r="BL1096" s="1" t="s">
        <v>3110</v>
      </c>
      <c r="BM1096" s="1" t="s">
        <v>19591</v>
      </c>
      <c r="BN1096" s="1">
        <v>26</v>
      </c>
      <c r="BO1096" s="1"/>
      <c r="BP1096" s="1" t="str">
        <f>HYPERLINK("https://nconnect.nicmar.ac.in/storage/profile/ProfilePhoto_P25701028_358741.jpg","Download")</f>
        <v>0</v>
      </c>
      <c r="BQ1096" s="3"/>
      <c r="BR1096" s="3"/>
    </row>
    <row r="1097" spans="1:70">
      <c r="A1097" s="1" t="s">
        <v>1563</v>
      </c>
      <c r="B1097" s="1" t="s">
        <v>1269</v>
      </c>
      <c r="C1097" s="1" t="s">
        <v>19592</v>
      </c>
      <c r="D1097" s="1" t="s">
        <v>19593</v>
      </c>
      <c r="E1097" s="1" t="s">
        <v>19594</v>
      </c>
      <c r="F1097" s="1" t="s">
        <v>19595</v>
      </c>
      <c r="G1097" s="1" t="s">
        <v>19596</v>
      </c>
      <c r="H1097" s="1" t="s">
        <v>19597</v>
      </c>
      <c r="I1097" s="1" t="s">
        <v>19598</v>
      </c>
      <c r="J1097" s="1">
        <v>9967603479</v>
      </c>
      <c r="K1097" s="1" t="s">
        <v>79</v>
      </c>
      <c r="L1097" s="1" t="s">
        <v>19599</v>
      </c>
      <c r="M1097" s="1" t="s">
        <v>81</v>
      </c>
      <c r="N1097" s="1" t="s">
        <v>1765</v>
      </c>
      <c r="O1097" s="1" t="s">
        <v>19600</v>
      </c>
      <c r="P1097" s="1" t="s">
        <v>1766</v>
      </c>
      <c r="Q1097" s="1" t="s">
        <v>19601</v>
      </c>
      <c r="R1097" s="1" t="s">
        <v>19602</v>
      </c>
      <c r="S1097" s="1">
        <v>9967603479</v>
      </c>
      <c r="T1097" s="1" t="s">
        <v>13929</v>
      </c>
      <c r="U1097" s="1" t="s">
        <v>19603</v>
      </c>
      <c r="V1097" s="1">
        <v>9920591071</v>
      </c>
      <c r="W1097" s="1" t="s">
        <v>122</v>
      </c>
      <c r="X1097" s="1" t="s">
        <v>19604</v>
      </c>
      <c r="Y1097" s="1" t="s">
        <v>1623</v>
      </c>
      <c r="Z1097" s="1" t="s">
        <v>92</v>
      </c>
      <c r="AA1097" s="1" t="s">
        <v>19604</v>
      </c>
      <c r="AB1097" s="1" t="s">
        <v>1623</v>
      </c>
      <c r="AC1097" s="1" t="s">
        <v>92</v>
      </c>
      <c r="AD1097" s="1">
        <v>7.34</v>
      </c>
      <c r="AE1097" s="1" t="s">
        <v>93</v>
      </c>
      <c r="AF1097" s="1" t="s">
        <v>19605</v>
      </c>
      <c r="AG1097" s="1" t="s">
        <v>19606</v>
      </c>
      <c r="AH1097" s="1" t="s">
        <v>527</v>
      </c>
      <c r="AI1097" s="1" t="s">
        <v>479</v>
      </c>
      <c r="AJ1097" s="1">
        <v>79</v>
      </c>
      <c r="AK1097" s="1"/>
      <c r="AL1097" s="1" t="s">
        <v>19607</v>
      </c>
      <c r="AM1097" s="1" t="s">
        <v>19606</v>
      </c>
      <c r="AN1097" s="1" t="s">
        <v>636</v>
      </c>
      <c r="AO1097" s="1" t="s">
        <v>308</v>
      </c>
      <c r="AP1097" s="1">
        <v>61.69</v>
      </c>
      <c r="AQ1097" s="1"/>
      <c r="AR1097" s="1"/>
      <c r="AS1097" s="1"/>
      <c r="AT1097" s="1"/>
      <c r="AU1097" s="1"/>
      <c r="AV1097" s="1"/>
      <c r="AW1097" s="1"/>
      <c r="AX1097" s="1" t="s">
        <v>253</v>
      </c>
      <c r="AY1097" s="1" t="s">
        <v>19608</v>
      </c>
      <c r="AZ1097" s="1" t="s">
        <v>201</v>
      </c>
      <c r="BA1097" s="1" t="s">
        <v>682</v>
      </c>
      <c r="BB1097" s="1">
        <v>73.32</v>
      </c>
      <c r="BC1097" s="1">
        <v>8.21</v>
      </c>
      <c r="BD1097" s="1"/>
      <c r="BE1097" s="1"/>
      <c r="BF1097" s="1"/>
      <c r="BG1097" s="1"/>
      <c r="BH1097" s="1"/>
      <c r="BI1097" s="1"/>
      <c r="BJ1097" s="1" t="s">
        <v>19609</v>
      </c>
      <c r="BK1097" s="1" t="s">
        <v>19610</v>
      </c>
      <c r="BL1097" s="1" t="s">
        <v>1920</v>
      </c>
      <c r="BM1097" s="1" t="s">
        <v>19611</v>
      </c>
      <c r="BN1097" s="1">
        <v>8</v>
      </c>
      <c r="BO1097" s="1" t="s">
        <v>19612</v>
      </c>
      <c r="BP1097" s="1" t="str">
        <f>HYPERLINK("https://nconnect.nicmar.ac.in/storage/profile/ProfilePhoto_P25701029_843927.jpg","Download")</f>
        <v>0</v>
      </c>
      <c r="BQ1097" s="3"/>
      <c r="BR1097" s="3"/>
    </row>
    <row r="1098" spans="1:70">
      <c r="A1098" s="1" t="s">
        <v>1563</v>
      </c>
      <c r="B1098" s="1" t="s">
        <v>1269</v>
      </c>
      <c r="C1098" s="1" t="s">
        <v>19613</v>
      </c>
      <c r="D1098" s="1" t="s">
        <v>19614</v>
      </c>
      <c r="E1098" s="1" t="s">
        <v>19615</v>
      </c>
      <c r="F1098" s="1" t="s">
        <v>19616</v>
      </c>
      <c r="G1098" s="1" t="s">
        <v>19617</v>
      </c>
      <c r="H1098" s="1" t="s">
        <v>19618</v>
      </c>
      <c r="I1098" s="1" t="s">
        <v>19619</v>
      </c>
      <c r="J1098" s="1">
        <v>7756019739</v>
      </c>
      <c r="K1098" s="1" t="s">
        <v>148</v>
      </c>
      <c r="L1098" s="1" t="s">
        <v>6816</v>
      </c>
      <c r="M1098" s="1" t="s">
        <v>81</v>
      </c>
      <c r="N1098" s="1" t="s">
        <v>2008</v>
      </c>
      <c r="O1098" s="1"/>
      <c r="P1098" s="1" t="s">
        <v>1278</v>
      </c>
      <c r="Q1098" s="1" t="s">
        <v>19620</v>
      </c>
      <c r="R1098" s="1" t="s">
        <v>19621</v>
      </c>
      <c r="S1098" s="1">
        <v>9850158134</v>
      </c>
      <c r="T1098" s="1" t="s">
        <v>19622</v>
      </c>
      <c r="U1098" s="1" t="s">
        <v>19623</v>
      </c>
      <c r="V1098" s="1">
        <v>9850819305</v>
      </c>
      <c r="W1098" s="1" t="s">
        <v>19624</v>
      </c>
      <c r="X1098" s="1" t="s">
        <v>19625</v>
      </c>
      <c r="Y1098" s="1" t="s">
        <v>191</v>
      </c>
      <c r="Z1098" s="1" t="s">
        <v>92</v>
      </c>
      <c r="AA1098" s="1" t="s">
        <v>19626</v>
      </c>
      <c r="AB1098" s="1" t="s">
        <v>405</v>
      </c>
      <c r="AC1098" s="1" t="s">
        <v>92</v>
      </c>
      <c r="AD1098" s="1">
        <v>8.37</v>
      </c>
      <c r="AE1098" s="1" t="s">
        <v>93</v>
      </c>
      <c r="AF1098" s="1" t="s">
        <v>19627</v>
      </c>
      <c r="AG1098" s="1" t="s">
        <v>307</v>
      </c>
      <c r="AH1098" s="1" t="s">
        <v>165</v>
      </c>
      <c r="AI1098" s="1" t="s">
        <v>101</v>
      </c>
      <c r="AJ1098" s="1">
        <v>89.4</v>
      </c>
      <c r="AK1098" s="1"/>
      <c r="AL1098" s="1" t="s">
        <v>19628</v>
      </c>
      <c r="AM1098" s="1" t="s">
        <v>307</v>
      </c>
      <c r="AN1098" s="1" t="s">
        <v>101</v>
      </c>
      <c r="AO1098" s="1" t="s">
        <v>699</v>
      </c>
      <c r="AP1098" s="1">
        <v>75</v>
      </c>
      <c r="AQ1098" s="1"/>
      <c r="AR1098" s="1"/>
      <c r="AS1098" s="1"/>
      <c r="AT1098" s="1"/>
      <c r="AU1098" s="1"/>
      <c r="AV1098" s="1"/>
      <c r="AW1098" s="1"/>
      <c r="AX1098" s="1" t="s">
        <v>18179</v>
      </c>
      <c r="AY1098" s="1" t="s">
        <v>19629</v>
      </c>
      <c r="AZ1098" s="1" t="s">
        <v>699</v>
      </c>
      <c r="BA1098" s="1" t="s">
        <v>1714</v>
      </c>
      <c r="BB1098" s="1">
        <v>72.09</v>
      </c>
      <c r="BC1098" s="1">
        <v>8.1</v>
      </c>
      <c r="BD1098" s="1"/>
      <c r="BE1098" s="1"/>
      <c r="BF1098" s="1"/>
      <c r="BG1098" s="1"/>
      <c r="BH1098" s="1"/>
      <c r="BI1098" s="1"/>
      <c r="BJ1098" s="1" t="s">
        <v>19630</v>
      </c>
      <c r="BK1098" s="1"/>
      <c r="BL1098" s="1"/>
      <c r="BM1098" s="1" t="s">
        <v>19631</v>
      </c>
      <c r="BN1098" s="1">
        <v>34</v>
      </c>
      <c r="BO1098" s="1" t="s">
        <v>19362</v>
      </c>
      <c r="BP1098" s="1" t="str">
        <f>HYPERLINK("https://nconnect.nicmar.ac.in/storage/profile/ProfilePhoto_P25701030_785132.jpg","Download")</f>
        <v>0</v>
      </c>
      <c r="BQ1098" s="3"/>
      <c r="BR1098" s="3"/>
    </row>
    <row r="1099" spans="1:70">
      <c r="A1099" s="1" t="s">
        <v>1563</v>
      </c>
      <c r="B1099" s="1" t="s">
        <v>1269</v>
      </c>
      <c r="C1099" s="1" t="s">
        <v>19632</v>
      </c>
      <c r="D1099" s="1" t="s">
        <v>2288</v>
      </c>
      <c r="E1099" s="1" t="s">
        <v>234</v>
      </c>
      <c r="F1099" s="1" t="s">
        <v>4663</v>
      </c>
      <c r="G1099" s="1" t="s">
        <v>19633</v>
      </c>
      <c r="H1099" s="1" t="s">
        <v>19634</v>
      </c>
      <c r="I1099" s="1" t="s">
        <v>19635</v>
      </c>
      <c r="J1099" s="1">
        <v>7887865509</v>
      </c>
      <c r="K1099" s="1" t="s">
        <v>148</v>
      </c>
      <c r="L1099" s="1" t="s">
        <v>19636</v>
      </c>
      <c r="M1099" s="1" t="s">
        <v>81</v>
      </c>
      <c r="N1099" s="1" t="s">
        <v>1418</v>
      </c>
      <c r="O1099" s="1"/>
      <c r="P1099" s="1" t="s">
        <v>1278</v>
      </c>
      <c r="Q1099" s="1" t="s">
        <v>19637</v>
      </c>
      <c r="R1099" s="1" t="s">
        <v>234</v>
      </c>
      <c r="S1099" s="1">
        <v>9823155662</v>
      </c>
      <c r="T1099" s="1" t="s">
        <v>3197</v>
      </c>
      <c r="U1099" s="1" t="s">
        <v>13869</v>
      </c>
      <c r="V1099" s="1">
        <v>9423106222</v>
      </c>
      <c r="W1099" s="1" t="s">
        <v>520</v>
      </c>
      <c r="X1099" s="1" t="s">
        <v>19638</v>
      </c>
      <c r="Y1099" s="1" t="s">
        <v>191</v>
      </c>
      <c r="Z1099" s="1" t="s">
        <v>92</v>
      </c>
      <c r="AA1099" s="1" t="s">
        <v>19639</v>
      </c>
      <c r="AB1099" s="1" t="s">
        <v>405</v>
      </c>
      <c r="AC1099" s="1" t="s">
        <v>92</v>
      </c>
      <c r="AD1099" s="1">
        <v>9.29</v>
      </c>
      <c r="AE1099" s="1" t="s">
        <v>93</v>
      </c>
      <c r="AF1099" s="1" t="s">
        <v>19640</v>
      </c>
      <c r="AG1099" s="1" t="s">
        <v>939</v>
      </c>
      <c r="AH1099" s="1" t="s">
        <v>456</v>
      </c>
      <c r="AI1099" s="1" t="s">
        <v>165</v>
      </c>
      <c r="AJ1099" s="1">
        <v>95</v>
      </c>
      <c r="AK1099" s="1">
        <v>10</v>
      </c>
      <c r="AL1099" s="1" t="s">
        <v>19641</v>
      </c>
      <c r="AM1099" s="1" t="s">
        <v>3161</v>
      </c>
      <c r="AN1099" s="1" t="s">
        <v>101</v>
      </c>
      <c r="AO1099" s="1" t="s">
        <v>198</v>
      </c>
      <c r="AP1099" s="1">
        <v>76</v>
      </c>
      <c r="AQ1099" s="1">
        <v>0</v>
      </c>
      <c r="AR1099" s="1"/>
      <c r="AS1099" s="1"/>
      <c r="AT1099" s="1"/>
      <c r="AU1099" s="1"/>
      <c r="AV1099" s="1"/>
      <c r="AW1099" s="1"/>
      <c r="AX1099" s="1" t="s">
        <v>253</v>
      </c>
      <c r="AY1099" s="1" t="s">
        <v>19642</v>
      </c>
      <c r="AZ1099" s="1" t="s">
        <v>310</v>
      </c>
      <c r="BA1099" s="1" t="s">
        <v>413</v>
      </c>
      <c r="BB1099" s="1">
        <v>75.64</v>
      </c>
      <c r="BC1099" s="1">
        <v>8.6</v>
      </c>
      <c r="BD1099" s="1"/>
      <c r="BE1099" s="1"/>
      <c r="BF1099" s="1"/>
      <c r="BG1099" s="1"/>
      <c r="BH1099" s="1"/>
      <c r="BI1099" s="1"/>
      <c r="BJ1099" s="1" t="s">
        <v>19643</v>
      </c>
      <c r="BK1099" s="1" t="s">
        <v>19644</v>
      </c>
      <c r="BL1099" s="1" t="s">
        <v>1896</v>
      </c>
      <c r="BM1099" s="1" t="s">
        <v>19645</v>
      </c>
      <c r="BN1099" s="1">
        <v>44</v>
      </c>
      <c r="BO1099" s="1" t="s">
        <v>19646</v>
      </c>
      <c r="BP1099" s="1" t="str">
        <f>HYPERLINK("https://nconnect.nicmar.ac.in/storage/profile/ProfilePhoto_P25701031_957842.jpg","Download")</f>
        <v>0</v>
      </c>
      <c r="BQ1099" s="3"/>
      <c r="BR1099" s="3"/>
    </row>
    <row r="1100" spans="1:70">
      <c r="A1100" s="1" t="s">
        <v>1563</v>
      </c>
      <c r="B1100" s="1" t="s">
        <v>1269</v>
      </c>
      <c r="C1100" s="1" t="s">
        <v>19647</v>
      </c>
      <c r="D1100" s="1" t="s">
        <v>19648</v>
      </c>
      <c r="E1100" s="1" t="s">
        <v>465</v>
      </c>
      <c r="F1100" s="1" t="s">
        <v>19649</v>
      </c>
      <c r="G1100" s="1" t="s">
        <v>19650</v>
      </c>
      <c r="H1100" s="1" t="s">
        <v>19651</v>
      </c>
      <c r="I1100" s="1" t="s">
        <v>19652</v>
      </c>
      <c r="J1100" s="1">
        <v>8308644930</v>
      </c>
      <c r="K1100" s="1" t="s">
        <v>148</v>
      </c>
      <c r="L1100" s="1" t="s">
        <v>16232</v>
      </c>
      <c r="M1100" s="1" t="s">
        <v>81</v>
      </c>
      <c r="N1100" s="1" t="s">
        <v>3236</v>
      </c>
      <c r="O1100" s="1"/>
      <c r="P1100" s="1" t="s">
        <v>1323</v>
      </c>
      <c r="Q1100" s="1" t="s">
        <v>19653</v>
      </c>
      <c r="R1100" s="1" t="s">
        <v>19654</v>
      </c>
      <c r="S1100" s="1">
        <v>9595097780</v>
      </c>
      <c r="T1100" s="1" t="s">
        <v>763</v>
      </c>
      <c r="U1100" s="1" t="s">
        <v>19655</v>
      </c>
      <c r="V1100" s="1">
        <v>9527085919</v>
      </c>
      <c r="W1100" s="1" t="s">
        <v>763</v>
      </c>
      <c r="X1100" s="1" t="s">
        <v>19656</v>
      </c>
      <c r="Y1100" s="1" t="s">
        <v>191</v>
      </c>
      <c r="Z1100" s="1" t="s">
        <v>92</v>
      </c>
      <c r="AA1100" s="1" t="s">
        <v>19656</v>
      </c>
      <c r="AB1100" s="1" t="s">
        <v>191</v>
      </c>
      <c r="AC1100" s="1" t="s">
        <v>92</v>
      </c>
      <c r="AD1100" s="1">
        <v>9.02</v>
      </c>
      <c r="AE1100" s="1" t="s">
        <v>93</v>
      </c>
      <c r="AF1100" s="1" t="s">
        <v>10464</v>
      </c>
      <c r="AG1100" s="1" t="s">
        <v>19230</v>
      </c>
      <c r="AH1100" s="1" t="s">
        <v>503</v>
      </c>
      <c r="AI1100" s="1" t="s">
        <v>527</v>
      </c>
      <c r="AJ1100" s="1">
        <v>93.1</v>
      </c>
      <c r="AK1100" s="1">
        <v>9.8</v>
      </c>
      <c r="AL1100" s="1" t="s">
        <v>19657</v>
      </c>
      <c r="AM1100" s="1" t="s">
        <v>3161</v>
      </c>
      <c r="AN1100" s="1" t="s">
        <v>479</v>
      </c>
      <c r="AO1100" s="1" t="s">
        <v>166</v>
      </c>
      <c r="AP1100" s="1">
        <v>73.85</v>
      </c>
      <c r="AQ1100" s="1"/>
      <c r="AR1100" s="1"/>
      <c r="AS1100" s="1"/>
      <c r="AT1100" s="1"/>
      <c r="AU1100" s="1"/>
      <c r="AV1100" s="1"/>
      <c r="AW1100" s="1"/>
      <c r="AX1100" s="1" t="s">
        <v>361</v>
      </c>
      <c r="AY1100" s="1" t="s">
        <v>19629</v>
      </c>
      <c r="AZ1100" s="1" t="s">
        <v>169</v>
      </c>
      <c r="BA1100" s="1" t="s">
        <v>590</v>
      </c>
      <c r="BB1100" s="1">
        <v>75.96</v>
      </c>
      <c r="BC1100" s="1">
        <v>8.4</v>
      </c>
      <c r="BD1100" s="1"/>
      <c r="BE1100" s="1"/>
      <c r="BF1100" s="1"/>
      <c r="BG1100" s="1"/>
      <c r="BH1100" s="1"/>
      <c r="BI1100" s="1"/>
      <c r="BJ1100" s="1" t="s">
        <v>19658</v>
      </c>
      <c r="BK1100" s="1" t="s">
        <v>19659</v>
      </c>
      <c r="BL1100" s="1" t="s">
        <v>3246</v>
      </c>
      <c r="BM1100" s="1" t="s">
        <v>19660</v>
      </c>
      <c r="BN1100" s="1">
        <v>28</v>
      </c>
      <c r="BO1100" s="1" t="s">
        <v>19661</v>
      </c>
      <c r="BP1100" s="1" t="str">
        <f>HYPERLINK("https://nconnect.nicmar.ac.in/storage/profile/ProfilePhoto_P25701032_539862.jpg","Download")</f>
        <v>0</v>
      </c>
      <c r="BQ1100" s="3"/>
      <c r="BR1100" s="3"/>
    </row>
    <row r="1101" spans="1:70">
      <c r="A1101" s="1" t="s">
        <v>1563</v>
      </c>
      <c r="B1101" s="1" t="s">
        <v>1269</v>
      </c>
      <c r="C1101" s="1" t="s">
        <v>19662</v>
      </c>
      <c r="D1101" s="1" t="s">
        <v>19663</v>
      </c>
      <c r="E1101" s="1" t="s">
        <v>1546</v>
      </c>
      <c r="F1101" s="1" t="s">
        <v>10552</v>
      </c>
      <c r="G1101" s="1" t="s">
        <v>19664</v>
      </c>
      <c r="H1101" s="1" t="s">
        <v>19665</v>
      </c>
      <c r="I1101" s="1" t="s">
        <v>19666</v>
      </c>
      <c r="J1101" s="1">
        <v>8999332569</v>
      </c>
      <c r="K1101" s="1" t="s">
        <v>79</v>
      </c>
      <c r="L1101" s="1" t="s">
        <v>18674</v>
      </c>
      <c r="M1101" s="1" t="s">
        <v>81</v>
      </c>
      <c r="N1101" s="1" t="s">
        <v>860</v>
      </c>
      <c r="O1101" s="1" t="s">
        <v>19667</v>
      </c>
      <c r="P1101" s="1" t="s">
        <v>1323</v>
      </c>
      <c r="Q1101" s="1" t="s">
        <v>19668</v>
      </c>
      <c r="R1101" s="1" t="s">
        <v>1546</v>
      </c>
      <c r="S1101" s="1">
        <v>9422915948</v>
      </c>
      <c r="T1101" s="1" t="s">
        <v>1954</v>
      </c>
      <c r="U1101" s="1" t="s">
        <v>19669</v>
      </c>
      <c r="V1101" s="1">
        <v>8668258137</v>
      </c>
      <c r="W1101" s="1" t="s">
        <v>156</v>
      </c>
      <c r="X1101" s="1" t="s">
        <v>19670</v>
      </c>
      <c r="Y1101" s="1" t="s">
        <v>219</v>
      </c>
      <c r="Z1101" s="1" t="s">
        <v>92</v>
      </c>
      <c r="AA1101" s="1" t="s">
        <v>19670</v>
      </c>
      <c r="AB1101" s="1" t="s">
        <v>219</v>
      </c>
      <c r="AC1101" s="1" t="s">
        <v>92</v>
      </c>
      <c r="AD1101" s="1">
        <v>8.63</v>
      </c>
      <c r="AE1101" s="1" t="s">
        <v>93</v>
      </c>
      <c r="AF1101" s="1" t="s">
        <v>19671</v>
      </c>
      <c r="AG1101" s="1" t="s">
        <v>19672</v>
      </c>
      <c r="AH1101" s="1" t="s">
        <v>281</v>
      </c>
      <c r="AI1101" s="1" t="s">
        <v>409</v>
      </c>
      <c r="AJ1101" s="1">
        <v>73.6</v>
      </c>
      <c r="AK1101" s="1">
        <v>0</v>
      </c>
      <c r="AL1101" s="1" t="s">
        <v>19673</v>
      </c>
      <c r="AM1101" s="1" t="s">
        <v>19672</v>
      </c>
      <c r="AN1101" s="1" t="s">
        <v>1834</v>
      </c>
      <c r="AO1101" s="1" t="s">
        <v>2016</v>
      </c>
      <c r="AP1101" s="1">
        <v>85.83</v>
      </c>
      <c r="AQ1101" s="1">
        <v>0</v>
      </c>
      <c r="AR1101" s="1"/>
      <c r="AS1101" s="1"/>
      <c r="AT1101" s="1"/>
      <c r="AU1101" s="1"/>
      <c r="AV1101" s="1"/>
      <c r="AW1101" s="1"/>
      <c r="AX1101" s="1" t="s">
        <v>335</v>
      </c>
      <c r="AY1101" s="1" t="s">
        <v>19674</v>
      </c>
      <c r="AZ1101" s="1" t="s">
        <v>1131</v>
      </c>
      <c r="BA1101" s="1" t="s">
        <v>1939</v>
      </c>
      <c r="BB1101" s="1">
        <v>60.33</v>
      </c>
      <c r="BC1101" s="1">
        <v>0</v>
      </c>
      <c r="BD1101" s="1"/>
      <c r="BE1101" s="1"/>
      <c r="BF1101" s="1"/>
      <c r="BG1101" s="1"/>
      <c r="BH1101" s="1"/>
      <c r="BI1101" s="1"/>
      <c r="BJ1101" s="1" t="s">
        <v>19675</v>
      </c>
      <c r="BK1101" s="1"/>
      <c r="BL1101" s="1"/>
      <c r="BM1101" s="1" t="s">
        <v>19676</v>
      </c>
      <c r="BN1101" s="1">
        <v>8</v>
      </c>
      <c r="BO1101" s="1" t="s">
        <v>19677</v>
      </c>
      <c r="BP1101" s="1" t="str">
        <f>HYPERLINK("https://nconnect.nicmar.ac.in/storage/profile/ProfilePhoto_P25701033_941258.jpg","Download")</f>
        <v>0</v>
      </c>
      <c r="BQ1101" s="3"/>
      <c r="BR1101" s="3"/>
    </row>
    <row r="1102" spans="1:70">
      <c r="A1102" s="1" t="s">
        <v>1563</v>
      </c>
      <c r="B1102" s="1" t="s">
        <v>1269</v>
      </c>
      <c r="C1102" s="1" t="s">
        <v>19678</v>
      </c>
      <c r="D1102" s="1" t="s">
        <v>111</v>
      </c>
      <c r="E1102" s="1"/>
      <c r="F1102" s="1" t="s">
        <v>19679</v>
      </c>
      <c r="G1102" s="1" t="s">
        <v>19680</v>
      </c>
      <c r="H1102" s="1" t="s">
        <v>19681</v>
      </c>
      <c r="I1102" s="1" t="s">
        <v>19682</v>
      </c>
      <c r="J1102" s="1">
        <v>9123555603</v>
      </c>
      <c r="K1102" s="1" t="s">
        <v>79</v>
      </c>
      <c r="L1102" s="1" t="s">
        <v>19683</v>
      </c>
      <c r="M1102" s="1" t="s">
        <v>81</v>
      </c>
      <c r="N1102" s="1" t="s">
        <v>12665</v>
      </c>
      <c r="O1102" s="1"/>
      <c r="P1102" s="1" t="s">
        <v>1766</v>
      </c>
      <c r="Q1102" s="1" t="s">
        <v>19684</v>
      </c>
      <c r="R1102" s="1" t="s">
        <v>19685</v>
      </c>
      <c r="S1102" s="1">
        <v>7358438796</v>
      </c>
      <c r="T1102" s="1" t="s">
        <v>19686</v>
      </c>
      <c r="U1102" s="1" t="s">
        <v>19687</v>
      </c>
      <c r="V1102" s="1">
        <v>8056810640</v>
      </c>
      <c r="W1102" s="1" t="s">
        <v>651</v>
      </c>
      <c r="X1102" s="1" t="s">
        <v>19688</v>
      </c>
      <c r="Y1102" s="1" t="s">
        <v>2320</v>
      </c>
      <c r="Z1102" s="1" t="s">
        <v>1377</v>
      </c>
      <c r="AA1102" s="1" t="s">
        <v>19688</v>
      </c>
      <c r="AB1102" s="1" t="s">
        <v>2320</v>
      </c>
      <c r="AC1102" s="1" t="s">
        <v>1377</v>
      </c>
      <c r="AD1102" s="1">
        <v>8.26</v>
      </c>
      <c r="AE1102" s="1" t="s">
        <v>93</v>
      </c>
      <c r="AF1102" s="1" t="s">
        <v>501</v>
      </c>
      <c r="AG1102" s="1" t="s">
        <v>19689</v>
      </c>
      <c r="AH1102" s="1" t="s">
        <v>658</v>
      </c>
      <c r="AI1102" s="1" t="s">
        <v>1197</v>
      </c>
      <c r="AJ1102" s="1">
        <v>74.1</v>
      </c>
      <c r="AK1102" s="1">
        <v>7.8</v>
      </c>
      <c r="AL1102" s="1" t="s">
        <v>2421</v>
      </c>
      <c r="AM1102" s="1" t="s">
        <v>613</v>
      </c>
      <c r="AN1102" s="1" t="s">
        <v>96</v>
      </c>
      <c r="AO1102" s="1" t="s">
        <v>279</v>
      </c>
      <c r="AP1102" s="1">
        <v>92.3</v>
      </c>
      <c r="AQ1102" s="1"/>
      <c r="AR1102" s="1"/>
      <c r="AS1102" s="1"/>
      <c r="AT1102" s="1"/>
      <c r="AU1102" s="1"/>
      <c r="AV1102" s="1"/>
      <c r="AW1102" s="1"/>
      <c r="AX1102" s="1" t="s">
        <v>19690</v>
      </c>
      <c r="AY1102" s="1" t="s">
        <v>19691</v>
      </c>
      <c r="AZ1102" s="1" t="s">
        <v>134</v>
      </c>
      <c r="BA1102" s="1" t="s">
        <v>436</v>
      </c>
      <c r="BB1102" s="1">
        <v>74.4</v>
      </c>
      <c r="BC1102" s="1">
        <v>7.44</v>
      </c>
      <c r="BD1102" s="1"/>
      <c r="BE1102" s="1"/>
      <c r="BF1102" s="1"/>
      <c r="BG1102" s="1"/>
      <c r="BH1102" s="1"/>
      <c r="BI1102" s="1"/>
      <c r="BJ1102" s="1" t="s">
        <v>19692</v>
      </c>
      <c r="BK1102" s="1" t="s">
        <v>19693</v>
      </c>
      <c r="BL1102" s="1" t="s">
        <v>16452</v>
      </c>
      <c r="BM1102" s="1" t="s">
        <v>19694</v>
      </c>
      <c r="BN1102" s="1">
        <v>26</v>
      </c>
      <c r="BO1102" s="1"/>
      <c r="BP1102" s="1" t="str">
        <f>HYPERLINK("https://nconnect.nicmar.ac.in/storage/profile/ProfilePhoto_P25701034_463527.jpg","Download")</f>
        <v>0</v>
      </c>
      <c r="BQ1102" s="3"/>
      <c r="BR1102" s="3"/>
    </row>
    <row r="1103" spans="1:70">
      <c r="A1103" s="1" t="s">
        <v>1563</v>
      </c>
      <c r="B1103" s="1" t="s">
        <v>1269</v>
      </c>
      <c r="C1103" s="1" t="s">
        <v>19695</v>
      </c>
      <c r="D1103" s="1" t="s">
        <v>19696</v>
      </c>
      <c r="E1103" s="1" t="s">
        <v>444</v>
      </c>
      <c r="F1103" s="1" t="s">
        <v>3036</v>
      </c>
      <c r="G1103" s="1" t="s">
        <v>19697</v>
      </c>
      <c r="H1103" s="1" t="s">
        <v>19698</v>
      </c>
      <c r="I1103" s="1" t="s">
        <v>19699</v>
      </c>
      <c r="J1103" s="1">
        <v>9619687622</v>
      </c>
      <c r="K1103" s="1" t="s">
        <v>148</v>
      </c>
      <c r="L1103" s="1" t="s">
        <v>19700</v>
      </c>
      <c r="M1103" s="1" t="s">
        <v>81</v>
      </c>
      <c r="N1103" s="1" t="s">
        <v>241</v>
      </c>
      <c r="O1103" s="1"/>
      <c r="P1103" s="1" t="s">
        <v>1323</v>
      </c>
      <c r="Q1103" s="1" t="s">
        <v>19701</v>
      </c>
      <c r="R1103" s="1" t="s">
        <v>444</v>
      </c>
      <c r="S1103" s="1">
        <v>9892424677</v>
      </c>
      <c r="T1103" s="1" t="s">
        <v>910</v>
      </c>
      <c r="U1103" s="1" t="s">
        <v>1139</v>
      </c>
      <c r="V1103" s="1">
        <v>9819902653</v>
      </c>
      <c r="W1103" s="1" t="s">
        <v>89</v>
      </c>
      <c r="X1103" s="1" t="s">
        <v>19702</v>
      </c>
      <c r="Y1103" s="1" t="s">
        <v>1623</v>
      </c>
      <c r="Z1103" s="1" t="s">
        <v>92</v>
      </c>
      <c r="AA1103" s="1" t="s">
        <v>19703</v>
      </c>
      <c r="AB1103" s="1" t="s">
        <v>1623</v>
      </c>
      <c r="AC1103" s="1" t="s">
        <v>92</v>
      </c>
      <c r="AD1103" s="1">
        <v>9.12</v>
      </c>
      <c r="AE1103" s="1" t="s">
        <v>93</v>
      </c>
      <c r="AF1103" s="1" t="s">
        <v>19704</v>
      </c>
      <c r="AG1103" s="1" t="s">
        <v>1152</v>
      </c>
      <c r="AH1103" s="1" t="s">
        <v>279</v>
      </c>
      <c r="AI1103" s="1" t="s">
        <v>479</v>
      </c>
      <c r="AJ1103" s="1">
        <v>91.16</v>
      </c>
      <c r="AK1103" s="1">
        <v>0</v>
      </c>
      <c r="AL1103" s="1" t="s">
        <v>19303</v>
      </c>
      <c r="AM1103" s="1" t="s">
        <v>160</v>
      </c>
      <c r="AN1103" s="1" t="s">
        <v>101</v>
      </c>
      <c r="AO1103" s="1" t="s">
        <v>198</v>
      </c>
      <c r="AP1103" s="1">
        <v>73.69</v>
      </c>
      <c r="AQ1103" s="1">
        <v>0</v>
      </c>
      <c r="AR1103" s="1"/>
      <c r="AS1103" s="1"/>
      <c r="AT1103" s="1"/>
      <c r="AU1103" s="1"/>
      <c r="AV1103" s="1"/>
      <c r="AW1103" s="1"/>
      <c r="AX1103" s="1" t="s">
        <v>253</v>
      </c>
      <c r="AY1103" s="1" t="s">
        <v>19705</v>
      </c>
      <c r="AZ1103" s="1" t="s">
        <v>201</v>
      </c>
      <c r="BA1103" s="1" t="s">
        <v>413</v>
      </c>
      <c r="BB1103" s="1">
        <v>74.53</v>
      </c>
      <c r="BC1103" s="1">
        <v>8.45</v>
      </c>
      <c r="BD1103" s="1"/>
      <c r="BE1103" s="1"/>
      <c r="BF1103" s="1"/>
      <c r="BG1103" s="1"/>
      <c r="BH1103" s="1"/>
      <c r="BI1103" s="1"/>
      <c r="BJ1103" s="1" t="s">
        <v>19706</v>
      </c>
      <c r="BK1103" s="1" t="s">
        <v>19707</v>
      </c>
      <c r="BL1103" s="1" t="s">
        <v>1896</v>
      </c>
      <c r="BM1103" s="1" t="s">
        <v>19708</v>
      </c>
      <c r="BN1103" s="1">
        <v>30</v>
      </c>
      <c r="BO1103" s="1"/>
      <c r="BP1103" s="1" t="str">
        <f>HYPERLINK("https://nconnect.nicmar.ac.in/storage/profile/ProfilePhoto_P25701035_827956.jpg","Download")</f>
        <v>0</v>
      </c>
      <c r="BQ1103" s="3"/>
      <c r="BR1103" s="3"/>
    </row>
    <row r="1104" spans="1:70">
      <c r="A1104" s="1" t="s">
        <v>1563</v>
      </c>
      <c r="B1104" s="1" t="s">
        <v>1269</v>
      </c>
      <c r="C1104" s="1" t="s">
        <v>19709</v>
      </c>
      <c r="D1104" s="1" t="s">
        <v>2703</v>
      </c>
      <c r="E1104" s="1"/>
      <c r="F1104" s="1" t="s">
        <v>19710</v>
      </c>
      <c r="G1104" s="1" t="s">
        <v>19711</v>
      </c>
      <c r="H1104" s="1" t="s">
        <v>19712</v>
      </c>
      <c r="I1104" s="1" t="s">
        <v>19713</v>
      </c>
      <c r="J1104" s="1">
        <v>9392753545</v>
      </c>
      <c r="K1104" s="1" t="s">
        <v>148</v>
      </c>
      <c r="L1104" s="1" t="s">
        <v>19714</v>
      </c>
      <c r="M1104" s="1" t="s">
        <v>81</v>
      </c>
      <c r="N1104" s="1" t="s">
        <v>19715</v>
      </c>
      <c r="O1104" s="1" t="s">
        <v>19716</v>
      </c>
      <c r="P1104" s="1" t="s">
        <v>1323</v>
      </c>
      <c r="Q1104" s="1" t="s">
        <v>19717</v>
      </c>
      <c r="R1104" s="1" t="s">
        <v>19718</v>
      </c>
      <c r="S1104" s="1">
        <v>9885067159</v>
      </c>
      <c r="T1104" s="1" t="s">
        <v>496</v>
      </c>
      <c r="U1104" s="1" t="s">
        <v>19719</v>
      </c>
      <c r="V1104" s="1">
        <v>9347062402</v>
      </c>
      <c r="W1104" s="1" t="s">
        <v>651</v>
      </c>
      <c r="X1104" s="1" t="s">
        <v>19720</v>
      </c>
      <c r="Y1104" s="1" t="s">
        <v>1578</v>
      </c>
      <c r="Z1104" s="1" t="s">
        <v>276</v>
      </c>
      <c r="AA1104" s="1" t="s">
        <v>19720</v>
      </c>
      <c r="AB1104" s="1" t="s">
        <v>1578</v>
      </c>
      <c r="AC1104" s="1" t="s">
        <v>276</v>
      </c>
      <c r="AD1104" s="1">
        <v>8.77</v>
      </c>
      <c r="AE1104" s="1" t="s">
        <v>93</v>
      </c>
      <c r="AF1104" s="1" t="s">
        <v>19721</v>
      </c>
      <c r="AG1104" s="1" t="s">
        <v>307</v>
      </c>
      <c r="AH1104" s="1" t="s">
        <v>383</v>
      </c>
      <c r="AI1104" s="1" t="s">
        <v>166</v>
      </c>
      <c r="AJ1104" s="1">
        <v>87.8</v>
      </c>
      <c r="AK1104" s="1"/>
      <c r="AL1104" s="1" t="s">
        <v>612</v>
      </c>
      <c r="AM1104" s="1" t="s">
        <v>19722</v>
      </c>
      <c r="AN1104" s="1" t="s">
        <v>166</v>
      </c>
      <c r="AO1104" s="1" t="s">
        <v>360</v>
      </c>
      <c r="AP1104" s="1">
        <v>95.7</v>
      </c>
      <c r="AQ1104" s="1">
        <v>9.57</v>
      </c>
      <c r="AR1104" s="1"/>
      <c r="AS1104" s="1"/>
      <c r="AT1104" s="1"/>
      <c r="AU1104" s="1"/>
      <c r="AV1104" s="1"/>
      <c r="AW1104" s="1"/>
      <c r="AX1104" s="1" t="s">
        <v>19723</v>
      </c>
      <c r="AY1104" s="1" t="s">
        <v>19724</v>
      </c>
      <c r="AZ1104" s="1" t="s">
        <v>170</v>
      </c>
      <c r="BA1104" s="1" t="s">
        <v>1361</v>
      </c>
      <c r="BB1104" s="1">
        <v>81.2</v>
      </c>
      <c r="BC1104" s="1">
        <v>8.87</v>
      </c>
      <c r="BD1104" s="1"/>
      <c r="BE1104" s="1"/>
      <c r="BF1104" s="1"/>
      <c r="BG1104" s="1"/>
      <c r="BH1104" s="1"/>
      <c r="BI1104" s="1"/>
      <c r="BJ1104" s="1" t="s">
        <v>19725</v>
      </c>
      <c r="BK1104" s="1"/>
      <c r="BL1104" s="1"/>
      <c r="BM1104" s="1" t="s">
        <v>19726</v>
      </c>
      <c r="BN1104" s="1">
        <v>35</v>
      </c>
      <c r="BO1104" s="1" t="s">
        <v>19727</v>
      </c>
      <c r="BP1104" s="1" t="str">
        <f>HYPERLINK("https://nconnect.nicmar.ac.in/storage/profile/ProfilePhoto_P25701036_451738.jpg","Download")</f>
        <v>0</v>
      </c>
      <c r="BQ1104" s="3"/>
      <c r="BR1104" s="3"/>
    </row>
    <row r="1105" spans="1:70">
      <c r="A1105" s="1" t="s">
        <v>1563</v>
      </c>
      <c r="B1105" s="1" t="s">
        <v>1269</v>
      </c>
      <c r="C1105" s="1" t="s">
        <v>19728</v>
      </c>
      <c r="D1105" s="1" t="s">
        <v>19729</v>
      </c>
      <c r="E1105" s="1"/>
      <c r="F1105" s="1" t="s">
        <v>19730</v>
      </c>
      <c r="G1105" s="1" t="s">
        <v>19731</v>
      </c>
      <c r="H1105" s="1" t="s">
        <v>19732</v>
      </c>
      <c r="I1105" s="1" t="s">
        <v>19733</v>
      </c>
      <c r="J1105" s="1">
        <v>7306280013</v>
      </c>
      <c r="K1105" s="1" t="s">
        <v>148</v>
      </c>
      <c r="L1105" s="1" t="s">
        <v>18067</v>
      </c>
      <c r="M1105" s="1" t="s">
        <v>81</v>
      </c>
      <c r="N1105" s="1" t="s">
        <v>19734</v>
      </c>
      <c r="O1105" s="1"/>
      <c r="P1105" s="1" t="s">
        <v>1323</v>
      </c>
      <c r="Q1105" s="1" t="s">
        <v>19735</v>
      </c>
      <c r="R1105" s="1" t="s">
        <v>19736</v>
      </c>
      <c r="S1105" s="1">
        <v>8281347926</v>
      </c>
      <c r="T1105" s="1" t="s">
        <v>19737</v>
      </c>
      <c r="U1105" s="1" t="s">
        <v>19738</v>
      </c>
      <c r="V1105" s="1">
        <v>9495407926</v>
      </c>
      <c r="W1105" s="1" t="s">
        <v>19739</v>
      </c>
      <c r="X1105" s="1" t="s">
        <v>19740</v>
      </c>
      <c r="Y1105" s="1" t="s">
        <v>3998</v>
      </c>
      <c r="Z1105" s="1" t="s">
        <v>125</v>
      </c>
      <c r="AA1105" s="1" t="s">
        <v>19740</v>
      </c>
      <c r="AB1105" s="1" t="s">
        <v>3998</v>
      </c>
      <c r="AC1105" s="1" t="s">
        <v>125</v>
      </c>
      <c r="AD1105" s="1">
        <v>7.59</v>
      </c>
      <c r="AE1105" s="1" t="s">
        <v>93</v>
      </c>
      <c r="AF1105" s="1" t="s">
        <v>19741</v>
      </c>
      <c r="AG1105" s="1" t="s">
        <v>19742</v>
      </c>
      <c r="AH1105" s="1" t="s">
        <v>162</v>
      </c>
      <c r="AI1105" s="1" t="s">
        <v>479</v>
      </c>
      <c r="AJ1105" s="1">
        <v>71.67</v>
      </c>
      <c r="AK1105" s="1"/>
      <c r="AL1105" s="1" t="s">
        <v>19743</v>
      </c>
      <c r="AM1105" s="1" t="s">
        <v>19744</v>
      </c>
      <c r="AN1105" s="1" t="s">
        <v>383</v>
      </c>
      <c r="AO1105" s="1" t="s">
        <v>308</v>
      </c>
      <c r="AP1105" s="1">
        <v>77.4</v>
      </c>
      <c r="AQ1105" s="1"/>
      <c r="AR1105" s="1"/>
      <c r="AS1105" s="1"/>
      <c r="AT1105" s="1" t="s">
        <v>174</v>
      </c>
      <c r="AU1105" s="1" t="s">
        <v>413</v>
      </c>
      <c r="AV1105" s="1"/>
      <c r="AW1105" s="1"/>
      <c r="AX1105" s="1" t="s">
        <v>132</v>
      </c>
      <c r="AY1105" s="1" t="s">
        <v>19745</v>
      </c>
      <c r="AZ1105" s="1" t="s">
        <v>310</v>
      </c>
      <c r="BA1105" s="1" t="s">
        <v>6033</v>
      </c>
      <c r="BB1105" s="1">
        <v>70.01</v>
      </c>
      <c r="BC1105" s="1"/>
      <c r="BD1105" s="1"/>
      <c r="BE1105" s="1"/>
      <c r="BF1105" s="1"/>
      <c r="BG1105" s="1"/>
      <c r="BH1105" s="1"/>
      <c r="BI1105" s="1"/>
      <c r="BJ1105" s="1" t="s">
        <v>19746</v>
      </c>
      <c r="BK1105" s="1"/>
      <c r="BL1105" s="1"/>
      <c r="BM1105" s="1" t="s">
        <v>19747</v>
      </c>
      <c r="BN1105" s="1">
        <v>33</v>
      </c>
      <c r="BO1105" s="1" t="s">
        <v>19748</v>
      </c>
      <c r="BP1105" s="1" t="str">
        <f>HYPERLINK("https://nconnect.nicmar.ac.in/storage/profile/ProfilePhoto_P25701037_823671.jpg","Download")</f>
        <v>0</v>
      </c>
      <c r="BQ1105" s="3"/>
      <c r="BR1105" s="3"/>
    </row>
    <row r="1106" spans="1:70">
      <c r="A1106" s="1" t="s">
        <v>1563</v>
      </c>
      <c r="B1106" s="1" t="s">
        <v>1269</v>
      </c>
      <c r="C1106" s="1" t="s">
        <v>19749</v>
      </c>
      <c r="D1106" s="1" t="s">
        <v>19750</v>
      </c>
      <c r="E1106" s="1"/>
      <c r="F1106" s="1" t="s">
        <v>3548</v>
      </c>
      <c r="G1106" s="1" t="s">
        <v>19751</v>
      </c>
      <c r="H1106" s="1" t="s">
        <v>19752</v>
      </c>
      <c r="I1106" s="1" t="s">
        <v>19753</v>
      </c>
      <c r="J1106" s="1">
        <v>7838118203</v>
      </c>
      <c r="K1106" s="1" t="s">
        <v>79</v>
      </c>
      <c r="L1106" s="1" t="s">
        <v>19754</v>
      </c>
      <c r="M1106" s="1" t="s">
        <v>81</v>
      </c>
      <c r="N1106" s="1" t="s">
        <v>241</v>
      </c>
      <c r="O1106" s="1"/>
      <c r="P1106" s="1" t="s">
        <v>1323</v>
      </c>
      <c r="Q1106" s="1" t="s">
        <v>19755</v>
      </c>
      <c r="R1106" s="1" t="s">
        <v>19756</v>
      </c>
      <c r="S1106" s="1">
        <v>7490047758</v>
      </c>
      <c r="T1106" s="1" t="s">
        <v>16643</v>
      </c>
      <c r="U1106" s="1" t="s">
        <v>19757</v>
      </c>
      <c r="V1106" s="1">
        <v>9540883202</v>
      </c>
      <c r="W1106" s="1" t="s">
        <v>651</v>
      </c>
      <c r="X1106" s="1" t="s">
        <v>19758</v>
      </c>
      <c r="Y1106" s="1" t="s">
        <v>4561</v>
      </c>
      <c r="Z1106" s="1" t="s">
        <v>1355</v>
      </c>
      <c r="AA1106" s="1" t="s">
        <v>19758</v>
      </c>
      <c r="AB1106" s="1" t="s">
        <v>4561</v>
      </c>
      <c r="AC1106" s="1" t="s">
        <v>1355</v>
      </c>
      <c r="AD1106" s="1">
        <v>8.36</v>
      </c>
      <c r="AE1106" s="1" t="s">
        <v>93</v>
      </c>
      <c r="AF1106" s="1" t="s">
        <v>19759</v>
      </c>
      <c r="AG1106" s="1" t="s">
        <v>19760</v>
      </c>
      <c r="AH1106" s="1" t="s">
        <v>4564</v>
      </c>
      <c r="AI1106" s="1" t="s">
        <v>129</v>
      </c>
      <c r="AJ1106" s="1">
        <v>64.6</v>
      </c>
      <c r="AK1106" s="1">
        <v>6.8</v>
      </c>
      <c r="AL1106" s="1" t="s">
        <v>19761</v>
      </c>
      <c r="AM1106" s="1" t="s">
        <v>19760</v>
      </c>
      <c r="AN1106" s="1" t="s">
        <v>1197</v>
      </c>
      <c r="AO1106" s="1" t="s">
        <v>131</v>
      </c>
      <c r="AP1106" s="1">
        <v>71.4</v>
      </c>
      <c r="AQ1106" s="1"/>
      <c r="AR1106" s="1"/>
      <c r="AS1106" s="1"/>
      <c r="AT1106" s="1"/>
      <c r="AU1106" s="1"/>
      <c r="AV1106" s="1"/>
      <c r="AW1106" s="1"/>
      <c r="AX1106" s="1" t="s">
        <v>19762</v>
      </c>
      <c r="AY1106" s="1" t="s">
        <v>19763</v>
      </c>
      <c r="AZ1106" s="1" t="s">
        <v>134</v>
      </c>
      <c r="BA1106" s="1" t="s">
        <v>433</v>
      </c>
      <c r="BB1106" s="1">
        <v>63.8</v>
      </c>
      <c r="BC1106" s="1">
        <v>6.38</v>
      </c>
      <c r="BD1106" s="1"/>
      <c r="BE1106" s="1"/>
      <c r="BF1106" s="1"/>
      <c r="BG1106" s="1"/>
      <c r="BH1106" s="1"/>
      <c r="BI1106" s="1"/>
      <c r="BJ1106" s="1" t="s">
        <v>1383</v>
      </c>
      <c r="BK1106" s="1" t="s">
        <v>19764</v>
      </c>
      <c r="BL1106" s="1" t="s">
        <v>138</v>
      </c>
      <c r="BM1106" s="1" t="s">
        <v>19765</v>
      </c>
      <c r="BN1106" s="1">
        <v>12</v>
      </c>
      <c r="BO1106" s="1" t="s">
        <v>19766</v>
      </c>
      <c r="BP1106" s="1" t="str">
        <f>HYPERLINK("https://nconnect.nicmar.ac.in/storage/profile/ProfilePhoto_P25701038_647513.jpg","Download")</f>
        <v>0</v>
      </c>
      <c r="BQ1106" s="3"/>
      <c r="BR1106" s="3"/>
    </row>
    <row r="1107" spans="1:70">
      <c r="A1107" s="1" t="s">
        <v>1563</v>
      </c>
      <c r="B1107" s="1" t="s">
        <v>1269</v>
      </c>
      <c r="C1107" s="1" t="s">
        <v>19767</v>
      </c>
      <c r="D1107" s="1" t="s">
        <v>19768</v>
      </c>
      <c r="E1107" s="1"/>
      <c r="F1107" s="1" t="s">
        <v>835</v>
      </c>
      <c r="G1107" s="1" t="s">
        <v>19769</v>
      </c>
      <c r="H1107" s="1" t="s">
        <v>19770</v>
      </c>
      <c r="I1107" s="1" t="s">
        <v>19771</v>
      </c>
      <c r="J1107" s="1">
        <v>9654994536</v>
      </c>
      <c r="K1107" s="1" t="s">
        <v>79</v>
      </c>
      <c r="L1107" s="1" t="s">
        <v>19772</v>
      </c>
      <c r="M1107" s="1" t="s">
        <v>81</v>
      </c>
      <c r="N1107" s="1" t="s">
        <v>19773</v>
      </c>
      <c r="O1107" s="1"/>
      <c r="P1107" s="1" t="s">
        <v>1766</v>
      </c>
      <c r="Q1107" s="1" t="s">
        <v>19774</v>
      </c>
      <c r="R1107" s="1" t="s">
        <v>19775</v>
      </c>
      <c r="S1107" s="1">
        <v>9910356567</v>
      </c>
      <c r="T1107" s="1" t="s">
        <v>496</v>
      </c>
      <c r="U1107" s="1" t="s">
        <v>19776</v>
      </c>
      <c r="V1107" s="1">
        <v>7838378900</v>
      </c>
      <c r="W1107" s="1" t="s">
        <v>651</v>
      </c>
      <c r="X1107" s="1" t="s">
        <v>19777</v>
      </c>
      <c r="Y1107" s="1" t="s">
        <v>19778</v>
      </c>
      <c r="Z1107" s="1" t="s">
        <v>722</v>
      </c>
      <c r="AA1107" s="1" t="s">
        <v>19777</v>
      </c>
      <c r="AB1107" s="1" t="s">
        <v>19778</v>
      </c>
      <c r="AC1107" s="1" t="s">
        <v>722</v>
      </c>
      <c r="AD1107" s="1">
        <v>8.46</v>
      </c>
      <c r="AE1107" s="1" t="s">
        <v>93</v>
      </c>
      <c r="AF1107" s="1" t="s">
        <v>19779</v>
      </c>
      <c r="AG1107" s="1" t="s">
        <v>19780</v>
      </c>
      <c r="AH1107" s="1" t="s">
        <v>4564</v>
      </c>
      <c r="AI1107" s="1" t="s">
        <v>2403</v>
      </c>
      <c r="AJ1107" s="1">
        <v>74.1</v>
      </c>
      <c r="AK1107" s="1">
        <v>7.8</v>
      </c>
      <c r="AL1107" s="1" t="s">
        <v>19781</v>
      </c>
      <c r="AM1107" s="1" t="s">
        <v>19780</v>
      </c>
      <c r="AN1107" s="1" t="s">
        <v>477</v>
      </c>
      <c r="AO1107" s="1" t="s">
        <v>161</v>
      </c>
      <c r="AP1107" s="1">
        <v>64.6</v>
      </c>
      <c r="AQ1107" s="1"/>
      <c r="AR1107" s="1"/>
      <c r="AS1107" s="1"/>
      <c r="AT1107" s="1"/>
      <c r="AU1107" s="1"/>
      <c r="AV1107" s="1"/>
      <c r="AW1107" s="1"/>
      <c r="AX1107" s="1" t="s">
        <v>19782</v>
      </c>
      <c r="AY1107" s="1" t="s">
        <v>19783</v>
      </c>
      <c r="AZ1107" s="1" t="s">
        <v>100</v>
      </c>
      <c r="BA1107" s="1" t="s">
        <v>170</v>
      </c>
      <c r="BB1107" s="1">
        <v>58.33</v>
      </c>
      <c r="BC1107" s="1">
        <v>6.14</v>
      </c>
      <c r="BD1107" s="1" t="s">
        <v>19782</v>
      </c>
      <c r="BE1107" s="1" t="s">
        <v>1647</v>
      </c>
      <c r="BF1107" s="1" t="s">
        <v>170</v>
      </c>
      <c r="BG1107" s="1" t="s">
        <v>481</v>
      </c>
      <c r="BH1107" s="1">
        <v>69.25</v>
      </c>
      <c r="BI1107" s="1">
        <v>7.29</v>
      </c>
      <c r="BJ1107" s="1" t="s">
        <v>19784</v>
      </c>
      <c r="BK1107" s="1" t="s">
        <v>19785</v>
      </c>
      <c r="BL1107" s="1" t="s">
        <v>340</v>
      </c>
      <c r="BM1107" s="1" t="s">
        <v>19786</v>
      </c>
      <c r="BN1107" s="1">
        <v>14</v>
      </c>
      <c r="BO1107" s="1"/>
      <c r="BP1107" s="1" t="str">
        <f>HYPERLINK("https://nconnect.nicmar.ac.in/storage/profile/ProfilePhoto_P25701040_275319.jpg","Download")</f>
        <v>0</v>
      </c>
      <c r="BQ1107" s="3"/>
      <c r="BR1107" s="3"/>
    </row>
    <row r="1108" spans="1:70">
      <c r="A1108" s="1" t="s">
        <v>1563</v>
      </c>
      <c r="B1108" s="1" t="s">
        <v>1269</v>
      </c>
      <c r="C1108" s="1" t="s">
        <v>19787</v>
      </c>
      <c r="D1108" s="1" t="s">
        <v>3035</v>
      </c>
      <c r="E1108" s="1" t="s">
        <v>14007</v>
      </c>
      <c r="F1108" s="1" t="s">
        <v>10778</v>
      </c>
      <c r="G1108" s="1" t="s">
        <v>19788</v>
      </c>
      <c r="H1108" s="1" t="s">
        <v>19789</v>
      </c>
      <c r="I1108" s="1" t="s">
        <v>19790</v>
      </c>
      <c r="J1108" s="1">
        <v>7032613332</v>
      </c>
      <c r="K1108" s="1" t="s">
        <v>79</v>
      </c>
      <c r="L1108" s="1" t="s">
        <v>19791</v>
      </c>
      <c r="M1108" s="1" t="s">
        <v>81</v>
      </c>
      <c r="N1108" s="1" t="s">
        <v>19792</v>
      </c>
      <c r="O1108" s="1"/>
      <c r="P1108" s="1"/>
      <c r="Q1108" s="1" t="s">
        <v>19793</v>
      </c>
      <c r="R1108" s="1" t="s">
        <v>19794</v>
      </c>
      <c r="S1108" s="1">
        <v>9583257443</v>
      </c>
      <c r="T1108" s="1" t="s">
        <v>496</v>
      </c>
      <c r="U1108" s="1" t="s">
        <v>19795</v>
      </c>
      <c r="V1108" s="1">
        <v>9437359115</v>
      </c>
      <c r="W1108" s="1" t="s">
        <v>89</v>
      </c>
      <c r="X1108" s="1" t="s">
        <v>19796</v>
      </c>
      <c r="Y1108" s="1" t="s">
        <v>19797</v>
      </c>
      <c r="Z1108" s="1" t="s">
        <v>1731</v>
      </c>
      <c r="AA1108" s="1" t="s">
        <v>19798</v>
      </c>
      <c r="AB1108" s="1" t="s">
        <v>19797</v>
      </c>
      <c r="AC1108" s="1" t="s">
        <v>1731</v>
      </c>
      <c r="AD1108" s="1">
        <v>8.53</v>
      </c>
      <c r="AE1108" s="1" t="s">
        <v>93</v>
      </c>
      <c r="AF1108" s="1" t="s">
        <v>19799</v>
      </c>
      <c r="AG1108" s="1" t="s">
        <v>1665</v>
      </c>
      <c r="AH1108" s="1" t="s">
        <v>998</v>
      </c>
      <c r="AI1108" s="1" t="s">
        <v>131</v>
      </c>
      <c r="AJ1108" s="1">
        <v>83.6</v>
      </c>
      <c r="AK1108" s="1">
        <v>8.8</v>
      </c>
      <c r="AL1108" s="1" t="s">
        <v>19800</v>
      </c>
      <c r="AM1108" s="1" t="s">
        <v>19801</v>
      </c>
      <c r="AN1108" s="1" t="s">
        <v>161</v>
      </c>
      <c r="AO1108" s="1" t="s">
        <v>678</v>
      </c>
      <c r="AP1108" s="1">
        <v>79.5</v>
      </c>
      <c r="AQ1108" s="1"/>
      <c r="AR1108" s="1"/>
      <c r="AS1108" s="1"/>
      <c r="AT1108" s="1"/>
      <c r="AU1108" s="1"/>
      <c r="AV1108" s="1"/>
      <c r="AW1108" s="1"/>
      <c r="AX1108" s="1" t="s">
        <v>19802</v>
      </c>
      <c r="AY1108" s="1" t="s">
        <v>19803</v>
      </c>
      <c r="AZ1108" s="1" t="s">
        <v>165</v>
      </c>
      <c r="BA1108" s="1" t="s">
        <v>436</v>
      </c>
      <c r="BB1108" s="1">
        <v>65.83</v>
      </c>
      <c r="BC1108" s="1">
        <v>6.93</v>
      </c>
      <c r="BD1108" s="1"/>
      <c r="BE1108" s="1"/>
      <c r="BF1108" s="1"/>
      <c r="BG1108" s="1"/>
      <c r="BH1108" s="1"/>
      <c r="BI1108" s="1"/>
      <c r="BJ1108" s="1" t="s">
        <v>19804</v>
      </c>
      <c r="BK1108" s="1" t="s">
        <v>19805</v>
      </c>
      <c r="BL1108" s="1" t="s">
        <v>1523</v>
      </c>
      <c r="BM1108" s="1"/>
      <c r="BN1108" s="1"/>
      <c r="BO1108" s="1" t="s">
        <v>19806</v>
      </c>
      <c r="BP1108" s="1" t="str">
        <f>HYPERLINK("https://nconnect.nicmar.ac.in/storage/profile/ProfilePhoto_P25701041_738129.jpg","Download")</f>
        <v>0</v>
      </c>
      <c r="BQ1108" s="3"/>
      <c r="BR1108" s="3"/>
    </row>
    <row r="1109" spans="1:70">
      <c r="A1109" s="1" t="s">
        <v>1563</v>
      </c>
      <c r="B1109" s="1" t="s">
        <v>1269</v>
      </c>
      <c r="C1109" s="1" t="s">
        <v>19807</v>
      </c>
      <c r="D1109" s="1" t="s">
        <v>19808</v>
      </c>
      <c r="E1109" s="1" t="s">
        <v>533</v>
      </c>
      <c r="F1109" s="1" t="s">
        <v>11064</v>
      </c>
      <c r="G1109" s="1" t="s">
        <v>19809</v>
      </c>
      <c r="H1109" s="1" t="s">
        <v>19810</v>
      </c>
      <c r="I1109" s="1" t="s">
        <v>19811</v>
      </c>
      <c r="J1109" s="1">
        <v>9653349239</v>
      </c>
      <c r="K1109" s="1" t="s">
        <v>79</v>
      </c>
      <c r="L1109" s="1" t="s">
        <v>19812</v>
      </c>
      <c r="M1109" s="1" t="s">
        <v>81</v>
      </c>
      <c r="N1109" s="1" t="s">
        <v>12439</v>
      </c>
      <c r="O1109" s="1"/>
      <c r="P1109" s="1" t="s">
        <v>1323</v>
      </c>
      <c r="Q1109" s="1" t="s">
        <v>19813</v>
      </c>
      <c r="R1109" s="1" t="s">
        <v>11064</v>
      </c>
      <c r="S1109" s="1">
        <v>8104714825</v>
      </c>
      <c r="T1109" s="1" t="s">
        <v>932</v>
      </c>
      <c r="U1109" s="1" t="s">
        <v>17775</v>
      </c>
      <c r="V1109" s="1">
        <v>9920127760</v>
      </c>
      <c r="W1109" s="1" t="s">
        <v>9013</v>
      </c>
      <c r="X1109" s="1" t="s">
        <v>19814</v>
      </c>
      <c r="Y1109" s="1" t="s">
        <v>995</v>
      </c>
      <c r="Z1109" s="1" t="s">
        <v>92</v>
      </c>
      <c r="AA1109" s="1" t="s">
        <v>19814</v>
      </c>
      <c r="AB1109" s="1" t="s">
        <v>995</v>
      </c>
      <c r="AC1109" s="1" t="s">
        <v>92</v>
      </c>
      <c r="AD1109" s="1">
        <v>9.13</v>
      </c>
      <c r="AE1109" s="1" t="s">
        <v>93</v>
      </c>
      <c r="AF1109" s="1" t="s">
        <v>19815</v>
      </c>
      <c r="AG1109" s="1" t="s">
        <v>160</v>
      </c>
      <c r="AH1109" s="1" t="s">
        <v>3410</v>
      </c>
      <c r="AI1109" s="1" t="s">
        <v>128</v>
      </c>
      <c r="AJ1109" s="1">
        <v>88.73</v>
      </c>
      <c r="AK1109" s="1"/>
      <c r="AL1109" s="1" t="s">
        <v>19816</v>
      </c>
      <c r="AM1109" s="1" t="s">
        <v>160</v>
      </c>
      <c r="AN1109" s="1" t="s">
        <v>128</v>
      </c>
      <c r="AO1109" s="1" t="s">
        <v>1197</v>
      </c>
      <c r="AP1109" s="1">
        <v>71.54</v>
      </c>
      <c r="AQ1109" s="1"/>
      <c r="AR1109" s="1"/>
      <c r="AS1109" s="1"/>
      <c r="AT1109" s="1"/>
      <c r="AU1109" s="1"/>
      <c r="AV1109" s="1"/>
      <c r="AW1109" s="1"/>
      <c r="AX1109" s="1" t="s">
        <v>1024</v>
      </c>
      <c r="AY1109" s="1" t="s">
        <v>19817</v>
      </c>
      <c r="AZ1109" s="1" t="s">
        <v>130</v>
      </c>
      <c r="BA1109" s="1" t="s">
        <v>308</v>
      </c>
      <c r="BB1109" s="1">
        <v>61.48</v>
      </c>
      <c r="BC1109" s="1">
        <v>6.97</v>
      </c>
      <c r="BD1109" s="1"/>
      <c r="BE1109" s="1"/>
      <c r="BF1109" s="1"/>
      <c r="BG1109" s="1"/>
      <c r="BH1109" s="1"/>
      <c r="BI1109" s="1"/>
      <c r="BJ1109" s="1" t="s">
        <v>364</v>
      </c>
      <c r="BK1109" s="1" t="s">
        <v>19818</v>
      </c>
      <c r="BL1109" s="1" t="s">
        <v>19819</v>
      </c>
      <c r="BM1109" s="1" t="s">
        <v>19820</v>
      </c>
      <c r="BN1109" s="1">
        <v>8</v>
      </c>
      <c r="BO1109" s="1"/>
      <c r="BP1109" s="1" t="str">
        <f>HYPERLINK("https://nconnect.nicmar.ac.in/storage/profile/ProfilePhoto_P25701042_567892.jpg","Download")</f>
        <v>0</v>
      </c>
      <c r="BQ1109" s="3"/>
      <c r="BR1109" s="3"/>
    </row>
    <row r="1110" spans="1:70">
      <c r="A1110" s="1" t="s">
        <v>1563</v>
      </c>
      <c r="B1110" s="1" t="s">
        <v>1269</v>
      </c>
      <c r="C1110" s="1" t="s">
        <v>19821</v>
      </c>
      <c r="D1110" s="1" t="s">
        <v>19822</v>
      </c>
      <c r="E1110" s="1" t="s">
        <v>3251</v>
      </c>
      <c r="F1110" s="1" t="s">
        <v>19823</v>
      </c>
      <c r="G1110" s="1" t="s">
        <v>19824</v>
      </c>
      <c r="H1110" s="1" t="s">
        <v>19825</v>
      </c>
      <c r="I1110" s="1" t="s">
        <v>19826</v>
      </c>
      <c r="J1110" s="1">
        <v>9594758807</v>
      </c>
      <c r="K1110" s="1" t="s">
        <v>79</v>
      </c>
      <c r="L1110" s="1" t="s">
        <v>19827</v>
      </c>
      <c r="M1110" s="1" t="s">
        <v>81</v>
      </c>
      <c r="N1110" s="1" t="s">
        <v>9198</v>
      </c>
      <c r="O1110" s="1"/>
      <c r="P1110" s="1" t="s">
        <v>1278</v>
      </c>
      <c r="Q1110" s="1" t="s">
        <v>19828</v>
      </c>
      <c r="R1110" s="1" t="s">
        <v>3251</v>
      </c>
      <c r="S1110" s="1">
        <v>7738123076</v>
      </c>
      <c r="T1110" s="1" t="s">
        <v>120</v>
      </c>
      <c r="U1110" s="1" t="s">
        <v>5167</v>
      </c>
      <c r="V1110" s="1">
        <v>9967723580</v>
      </c>
      <c r="W1110" s="1" t="s">
        <v>273</v>
      </c>
      <c r="X1110" s="1" t="s">
        <v>19829</v>
      </c>
      <c r="Y1110" s="1" t="s">
        <v>995</v>
      </c>
      <c r="Z1110" s="1" t="s">
        <v>92</v>
      </c>
      <c r="AA1110" s="1" t="s">
        <v>19829</v>
      </c>
      <c r="AB1110" s="1" t="s">
        <v>995</v>
      </c>
      <c r="AC1110" s="1" t="s">
        <v>92</v>
      </c>
      <c r="AD1110" s="1">
        <v>9.1</v>
      </c>
      <c r="AE1110" s="1" t="s">
        <v>93</v>
      </c>
      <c r="AF1110" s="1" t="s">
        <v>19830</v>
      </c>
      <c r="AG1110" s="1" t="s">
        <v>476</v>
      </c>
      <c r="AH1110" s="1" t="s">
        <v>96</v>
      </c>
      <c r="AI1110" s="1" t="s">
        <v>97</v>
      </c>
      <c r="AJ1110" s="1">
        <v>83.4</v>
      </c>
      <c r="AK1110" s="1"/>
      <c r="AL1110" s="1" t="s">
        <v>19831</v>
      </c>
      <c r="AM1110" s="1" t="s">
        <v>476</v>
      </c>
      <c r="AN1110" s="1" t="s">
        <v>162</v>
      </c>
      <c r="AO1110" s="1" t="s">
        <v>1332</v>
      </c>
      <c r="AP1110" s="1">
        <v>57.85</v>
      </c>
      <c r="AQ1110" s="1"/>
      <c r="AR1110" s="1" t="s">
        <v>17094</v>
      </c>
      <c r="AS1110" s="1" t="s">
        <v>19832</v>
      </c>
      <c r="AT1110" s="1" t="s">
        <v>165</v>
      </c>
      <c r="AU1110" s="1" t="s">
        <v>308</v>
      </c>
      <c r="AV1110" s="1">
        <v>68.12</v>
      </c>
      <c r="AW1110" s="1"/>
      <c r="AX1110" s="1" t="s">
        <v>1024</v>
      </c>
      <c r="AY1110" s="1" t="s">
        <v>19833</v>
      </c>
      <c r="AZ1110" s="1" t="s">
        <v>201</v>
      </c>
      <c r="BA1110" s="1" t="s">
        <v>1003</v>
      </c>
      <c r="BB1110" s="1">
        <v>73.38</v>
      </c>
      <c r="BC1110" s="1">
        <v>8.48</v>
      </c>
      <c r="BD1110" s="1"/>
      <c r="BE1110" s="1"/>
      <c r="BF1110" s="1"/>
      <c r="BG1110" s="1"/>
      <c r="BH1110" s="1"/>
      <c r="BI1110" s="1"/>
      <c r="BJ1110" s="1" t="s">
        <v>364</v>
      </c>
      <c r="BK1110" s="1" t="s">
        <v>19834</v>
      </c>
      <c r="BL1110" s="1" t="s">
        <v>138</v>
      </c>
      <c r="BM1110" s="1" t="s">
        <v>19835</v>
      </c>
      <c r="BN1110" s="1">
        <v>17</v>
      </c>
      <c r="BO1110" s="1" t="s">
        <v>19836</v>
      </c>
      <c r="BP1110" s="1" t="str">
        <f>HYPERLINK("https://nconnect.nicmar.ac.in/storage/profile/ProfilePhoto_P25701043_584167.jpg","Download")</f>
        <v>0</v>
      </c>
      <c r="BQ1110" s="3"/>
      <c r="BR1110" s="3"/>
    </row>
    <row r="1111" spans="1:70">
      <c r="A1111" s="1" t="s">
        <v>1563</v>
      </c>
      <c r="B1111" s="1" t="s">
        <v>1269</v>
      </c>
      <c r="C1111" s="1" t="s">
        <v>19837</v>
      </c>
      <c r="D1111" s="1" t="s">
        <v>18013</v>
      </c>
      <c r="E1111" s="1"/>
      <c r="F1111" s="1" t="s">
        <v>3036</v>
      </c>
      <c r="G1111" s="1" t="s">
        <v>19838</v>
      </c>
      <c r="H1111" s="1" t="s">
        <v>19839</v>
      </c>
      <c r="I1111" s="1" t="s">
        <v>19840</v>
      </c>
      <c r="J1111" s="1">
        <v>9764791512</v>
      </c>
      <c r="K1111" s="1" t="s">
        <v>79</v>
      </c>
      <c r="L1111" s="1" t="s">
        <v>19841</v>
      </c>
      <c r="M1111" s="1" t="s">
        <v>81</v>
      </c>
      <c r="N1111" s="1" t="s">
        <v>5056</v>
      </c>
      <c r="O1111" s="1"/>
      <c r="P1111" s="1" t="s">
        <v>1766</v>
      </c>
      <c r="Q1111" s="1" t="s">
        <v>19842</v>
      </c>
      <c r="R1111" s="1" t="s">
        <v>19843</v>
      </c>
      <c r="S1111" s="1">
        <v>9922443627</v>
      </c>
      <c r="T1111" s="1" t="s">
        <v>19844</v>
      </c>
      <c r="U1111" s="1" t="s">
        <v>19845</v>
      </c>
      <c r="V1111" s="1">
        <v>9370284656</v>
      </c>
      <c r="W1111" s="1" t="s">
        <v>89</v>
      </c>
      <c r="X1111" s="1" t="s">
        <v>19846</v>
      </c>
      <c r="Y1111" s="1" t="s">
        <v>191</v>
      </c>
      <c r="Z1111" s="1" t="s">
        <v>92</v>
      </c>
      <c r="AA1111" s="1" t="s">
        <v>19846</v>
      </c>
      <c r="AB1111" s="1" t="s">
        <v>191</v>
      </c>
      <c r="AC1111" s="1" t="s">
        <v>92</v>
      </c>
      <c r="AD1111" s="1">
        <v>8.51</v>
      </c>
      <c r="AE1111" s="1" t="s">
        <v>93</v>
      </c>
      <c r="AF1111" s="1" t="s">
        <v>16908</v>
      </c>
      <c r="AG1111" s="1" t="s">
        <v>19847</v>
      </c>
      <c r="AH1111" s="1" t="s">
        <v>999</v>
      </c>
      <c r="AI1111" s="1" t="s">
        <v>131</v>
      </c>
      <c r="AJ1111" s="1">
        <v>83.6</v>
      </c>
      <c r="AK1111" s="1">
        <v>8.8</v>
      </c>
      <c r="AL1111" s="1" t="s">
        <v>16908</v>
      </c>
      <c r="AM1111" s="1" t="s">
        <v>19847</v>
      </c>
      <c r="AN1111" s="1" t="s">
        <v>456</v>
      </c>
      <c r="AO1111" s="1" t="s">
        <v>479</v>
      </c>
      <c r="AP1111" s="1">
        <v>89.4</v>
      </c>
      <c r="AQ1111" s="1"/>
      <c r="AR1111" s="1"/>
      <c r="AS1111" s="1"/>
      <c r="AT1111" s="1"/>
      <c r="AU1111" s="1"/>
      <c r="AV1111" s="1"/>
      <c r="AW1111" s="1"/>
      <c r="AX1111" s="1" t="s">
        <v>16015</v>
      </c>
      <c r="AY1111" s="1" t="s">
        <v>19848</v>
      </c>
      <c r="AZ1111" s="1" t="s">
        <v>169</v>
      </c>
      <c r="BA1111" s="1" t="s">
        <v>481</v>
      </c>
      <c r="BB1111" s="1">
        <v>85.6</v>
      </c>
      <c r="BC1111" s="1">
        <v>8.56</v>
      </c>
      <c r="BD1111" s="1"/>
      <c r="BE1111" s="1"/>
      <c r="BF1111" s="1"/>
      <c r="BG1111" s="1"/>
      <c r="BH1111" s="1"/>
      <c r="BI1111" s="1"/>
      <c r="BJ1111" s="1" t="s">
        <v>19849</v>
      </c>
      <c r="BK1111" s="1" t="s">
        <v>19850</v>
      </c>
      <c r="BL1111" s="1" t="s">
        <v>9779</v>
      </c>
      <c r="BM1111" s="1" t="s">
        <v>19851</v>
      </c>
      <c r="BN1111" s="1">
        <v>29</v>
      </c>
      <c r="BO1111" s="1"/>
      <c r="BP1111" s="1" t="str">
        <f>HYPERLINK("https://nconnect.nicmar.ac.in/storage/profile/ProfilePhoto_P25701044_378594.jpg","Download")</f>
        <v>0</v>
      </c>
      <c r="BQ1111" s="3"/>
      <c r="BR1111" s="3"/>
    </row>
    <row r="1112" spans="1:70">
      <c r="A1112" s="1" t="s">
        <v>1563</v>
      </c>
      <c r="B1112" s="1" t="s">
        <v>1269</v>
      </c>
      <c r="C1112" s="1" t="s">
        <v>19852</v>
      </c>
      <c r="D1112" s="1" t="s">
        <v>19853</v>
      </c>
      <c r="E1112" s="1" t="s">
        <v>19854</v>
      </c>
      <c r="F1112" s="1" t="s">
        <v>11892</v>
      </c>
      <c r="G1112" s="1" t="s">
        <v>19855</v>
      </c>
      <c r="H1112" s="1" t="s">
        <v>19856</v>
      </c>
      <c r="I1112" s="1" t="s">
        <v>19857</v>
      </c>
      <c r="J1112" s="1">
        <v>8237192771</v>
      </c>
      <c r="K1112" s="1" t="s">
        <v>79</v>
      </c>
      <c r="L1112" s="1" t="s">
        <v>19858</v>
      </c>
      <c r="M1112" s="1" t="s">
        <v>81</v>
      </c>
      <c r="N1112" s="1" t="s">
        <v>5731</v>
      </c>
      <c r="O1112" s="1"/>
      <c r="P1112" s="1" t="s">
        <v>1278</v>
      </c>
      <c r="Q1112" s="1" t="s">
        <v>19859</v>
      </c>
      <c r="R1112" s="1" t="s">
        <v>19860</v>
      </c>
      <c r="S1112" s="1">
        <v>9921298484</v>
      </c>
      <c r="T1112" s="1" t="s">
        <v>19861</v>
      </c>
      <c r="U1112" s="1" t="s">
        <v>19862</v>
      </c>
      <c r="V1112" s="1">
        <v>8485865531</v>
      </c>
      <c r="W1112" s="1" t="s">
        <v>273</v>
      </c>
      <c r="X1112" s="1" t="s">
        <v>19863</v>
      </c>
      <c r="Y1112" s="1" t="s">
        <v>191</v>
      </c>
      <c r="Z1112" s="1" t="s">
        <v>92</v>
      </c>
      <c r="AA1112" s="1" t="s">
        <v>19864</v>
      </c>
      <c r="AB1112" s="1" t="s">
        <v>2747</v>
      </c>
      <c r="AC1112" s="1" t="s">
        <v>1084</v>
      </c>
      <c r="AD1112" s="1">
        <v>7.81</v>
      </c>
      <c r="AE1112" s="1" t="s">
        <v>93</v>
      </c>
      <c r="AF1112" s="1" t="s">
        <v>19865</v>
      </c>
      <c r="AG1112" s="1" t="s">
        <v>160</v>
      </c>
      <c r="AH1112" s="1" t="s">
        <v>166</v>
      </c>
      <c r="AI1112" s="1" t="s">
        <v>433</v>
      </c>
      <c r="AJ1112" s="1">
        <v>74.6</v>
      </c>
      <c r="AK1112" s="1"/>
      <c r="AL1112" s="1" t="s">
        <v>19866</v>
      </c>
      <c r="AM1112" s="1" t="s">
        <v>160</v>
      </c>
      <c r="AN1112" s="1" t="s">
        <v>699</v>
      </c>
      <c r="AO1112" s="1" t="s">
        <v>436</v>
      </c>
      <c r="AP1112" s="1">
        <v>88.17</v>
      </c>
      <c r="AQ1112" s="1"/>
      <c r="AR1112" s="1"/>
      <c r="AS1112" s="1"/>
      <c r="AT1112" s="1"/>
      <c r="AU1112" s="1"/>
      <c r="AV1112" s="1"/>
      <c r="AW1112" s="1"/>
      <c r="AX1112" s="1" t="s">
        <v>1088</v>
      </c>
      <c r="AY1112" s="1" t="s">
        <v>19867</v>
      </c>
      <c r="AZ1112" s="1" t="s">
        <v>1407</v>
      </c>
      <c r="BA1112" s="1" t="s">
        <v>1361</v>
      </c>
      <c r="BB1112" s="1">
        <v>77.1</v>
      </c>
      <c r="BC1112" s="1">
        <v>7.71</v>
      </c>
      <c r="BD1112" s="1"/>
      <c r="BE1112" s="1"/>
      <c r="BF1112" s="1"/>
      <c r="BG1112" s="1"/>
      <c r="BH1112" s="1"/>
      <c r="BI1112" s="1"/>
      <c r="BJ1112" s="1" t="s">
        <v>19868</v>
      </c>
      <c r="BK1112" s="1"/>
      <c r="BL1112" s="1"/>
      <c r="BM1112" s="1" t="s">
        <v>19869</v>
      </c>
      <c r="BN1112" s="1">
        <v>27</v>
      </c>
      <c r="BO1112" s="1" t="s">
        <v>19362</v>
      </c>
      <c r="BP1112" s="1" t="str">
        <f>HYPERLINK("https://nconnect.nicmar.ac.in/storage/profile/ProfilePhoto_P25701045_798341.jpg","Download")</f>
        <v>0</v>
      </c>
      <c r="BQ1112" s="3"/>
      <c r="BR1112" s="3"/>
    </row>
    <row r="1113" spans="1:70">
      <c r="A1113" s="1" t="s">
        <v>1563</v>
      </c>
      <c r="B1113" s="1" t="s">
        <v>1269</v>
      </c>
      <c r="C1113" s="1" t="s">
        <v>19870</v>
      </c>
      <c r="D1113" s="1" t="s">
        <v>19871</v>
      </c>
      <c r="E1113" s="1"/>
      <c r="F1113" s="1" t="s">
        <v>13294</v>
      </c>
      <c r="G1113" s="1" t="s">
        <v>19872</v>
      </c>
      <c r="H1113" s="1" t="s">
        <v>19873</v>
      </c>
      <c r="I1113" s="1" t="s">
        <v>19874</v>
      </c>
      <c r="J1113" s="1">
        <v>9446578575</v>
      </c>
      <c r="K1113" s="1" t="s">
        <v>79</v>
      </c>
      <c r="L1113" s="1" t="s">
        <v>17437</v>
      </c>
      <c r="M1113" s="1" t="s">
        <v>81</v>
      </c>
      <c r="N1113" s="1" t="s">
        <v>19875</v>
      </c>
      <c r="O1113" s="1"/>
      <c r="P1113" s="1" t="s">
        <v>1278</v>
      </c>
      <c r="Q1113" s="1" t="s">
        <v>19876</v>
      </c>
      <c r="R1113" s="1" t="s">
        <v>19877</v>
      </c>
      <c r="S1113" s="1">
        <v>9447915003</v>
      </c>
      <c r="T1113" s="1" t="s">
        <v>271</v>
      </c>
      <c r="U1113" s="1" t="s">
        <v>19878</v>
      </c>
      <c r="V1113" s="1">
        <v>9446574075</v>
      </c>
      <c r="W1113" s="1" t="s">
        <v>122</v>
      </c>
      <c r="X1113" s="1" t="s">
        <v>19879</v>
      </c>
      <c r="Y1113" s="1" t="s">
        <v>1491</v>
      </c>
      <c r="Z1113" s="1" t="s">
        <v>125</v>
      </c>
      <c r="AA1113" s="1" t="s">
        <v>19879</v>
      </c>
      <c r="AB1113" s="1" t="s">
        <v>1491</v>
      </c>
      <c r="AC1113" s="1" t="s">
        <v>125</v>
      </c>
      <c r="AD1113" s="1">
        <v>8.98</v>
      </c>
      <c r="AE1113" s="1" t="s">
        <v>93</v>
      </c>
      <c r="AF1113" s="1" t="s">
        <v>19880</v>
      </c>
      <c r="AG1113" s="1" t="s">
        <v>19881</v>
      </c>
      <c r="AH1113" s="1" t="s">
        <v>162</v>
      </c>
      <c r="AI1113" s="1" t="s">
        <v>165</v>
      </c>
      <c r="AJ1113" s="1">
        <v>95</v>
      </c>
      <c r="AK1113" s="1">
        <v>10</v>
      </c>
      <c r="AL1113" s="1" t="s">
        <v>19880</v>
      </c>
      <c r="AM1113" s="1" t="s">
        <v>19881</v>
      </c>
      <c r="AN1113" s="1" t="s">
        <v>101</v>
      </c>
      <c r="AO1113" s="1" t="s">
        <v>308</v>
      </c>
      <c r="AP1113" s="1">
        <v>83.8</v>
      </c>
      <c r="AQ1113" s="1"/>
      <c r="AR1113" s="1"/>
      <c r="AS1113" s="1"/>
      <c r="AT1113" s="1"/>
      <c r="AU1113" s="1"/>
      <c r="AV1113" s="1"/>
      <c r="AW1113" s="1"/>
      <c r="AX1113" s="1" t="s">
        <v>132</v>
      </c>
      <c r="AY1113" s="1" t="s">
        <v>19882</v>
      </c>
      <c r="AZ1113" s="1" t="s">
        <v>433</v>
      </c>
      <c r="BA1113" s="1" t="s">
        <v>229</v>
      </c>
      <c r="BB1113" s="1">
        <v>80</v>
      </c>
      <c r="BC1113" s="1">
        <v>8</v>
      </c>
      <c r="BD1113" s="1"/>
      <c r="BE1113" s="1"/>
      <c r="BF1113" s="1"/>
      <c r="BG1113" s="1"/>
      <c r="BH1113" s="1"/>
      <c r="BI1113" s="1"/>
      <c r="BJ1113" s="1" t="s">
        <v>19883</v>
      </c>
      <c r="BK1113" s="1" t="s">
        <v>19884</v>
      </c>
      <c r="BL1113" s="1" t="s">
        <v>1920</v>
      </c>
      <c r="BM1113" s="1" t="s">
        <v>19885</v>
      </c>
      <c r="BN1113" s="1">
        <v>9</v>
      </c>
      <c r="BO1113" s="1" t="s">
        <v>19886</v>
      </c>
      <c r="BP1113" s="1" t="str">
        <f>HYPERLINK("https://nconnect.nicmar.ac.in/storage/profile/ProfilePhoto_P25701047_179582.jpg","Download")</f>
        <v>0</v>
      </c>
      <c r="BQ1113" s="3"/>
      <c r="BR1113" s="3"/>
    </row>
    <row r="1114" spans="1:70">
      <c r="A1114" s="1" t="s">
        <v>1563</v>
      </c>
      <c r="B1114" s="1" t="s">
        <v>1269</v>
      </c>
      <c r="C1114" s="1" t="s">
        <v>19887</v>
      </c>
      <c r="D1114" s="1" t="s">
        <v>19888</v>
      </c>
      <c r="E1114" s="1"/>
      <c r="F1114" s="1" t="s">
        <v>19889</v>
      </c>
      <c r="G1114" s="1" t="s">
        <v>19890</v>
      </c>
      <c r="H1114" s="1" t="s">
        <v>19891</v>
      </c>
      <c r="I1114" s="1" t="s">
        <v>19892</v>
      </c>
      <c r="J1114" s="1">
        <v>7093809403</v>
      </c>
      <c r="K1114" s="1" t="s">
        <v>148</v>
      </c>
      <c r="L1114" s="1" t="s">
        <v>5854</v>
      </c>
      <c r="M1114" s="1" t="s">
        <v>81</v>
      </c>
      <c r="N1114" s="1" t="s">
        <v>19893</v>
      </c>
      <c r="O1114" s="1"/>
      <c r="P1114" s="1" t="s">
        <v>1278</v>
      </c>
      <c r="Q1114" s="1" t="s">
        <v>19894</v>
      </c>
      <c r="R1114" s="1" t="s">
        <v>19895</v>
      </c>
      <c r="S1114" s="1">
        <v>7659009214</v>
      </c>
      <c r="T1114" s="1" t="s">
        <v>2767</v>
      </c>
      <c r="U1114" s="1" t="s">
        <v>19896</v>
      </c>
      <c r="V1114" s="1">
        <v>7659009214</v>
      </c>
      <c r="W1114" s="1" t="s">
        <v>154</v>
      </c>
      <c r="X1114" s="1" t="s">
        <v>19897</v>
      </c>
      <c r="Y1114" s="1" t="s">
        <v>19898</v>
      </c>
      <c r="Z1114" s="1" t="s">
        <v>276</v>
      </c>
      <c r="AA1114" s="1" t="s">
        <v>19897</v>
      </c>
      <c r="AB1114" s="1" t="s">
        <v>19898</v>
      </c>
      <c r="AC1114" s="1" t="s">
        <v>276</v>
      </c>
      <c r="AD1114" s="1">
        <v>8.5</v>
      </c>
      <c r="AE1114" s="1" t="s">
        <v>93</v>
      </c>
      <c r="AF1114" s="1" t="s">
        <v>19899</v>
      </c>
      <c r="AG1114" s="1" t="s">
        <v>19900</v>
      </c>
      <c r="AH1114" s="1" t="s">
        <v>477</v>
      </c>
      <c r="AI1114" s="1" t="s">
        <v>308</v>
      </c>
      <c r="AJ1114" s="1">
        <v>79</v>
      </c>
      <c r="AK1114" s="1">
        <v>0</v>
      </c>
      <c r="AL1114" s="1" t="s">
        <v>19901</v>
      </c>
      <c r="AM1114" s="1" t="s">
        <v>19902</v>
      </c>
      <c r="AN1114" s="1" t="s">
        <v>308</v>
      </c>
      <c r="AO1114" s="1" t="s">
        <v>506</v>
      </c>
      <c r="AP1114" s="1">
        <v>82</v>
      </c>
      <c r="AQ1114" s="1">
        <v>0</v>
      </c>
      <c r="AR1114" s="1"/>
      <c r="AS1114" s="1"/>
      <c r="AT1114" s="1"/>
      <c r="AU1114" s="1"/>
      <c r="AV1114" s="1"/>
      <c r="AW1114" s="1"/>
      <c r="AX1114" s="1" t="s">
        <v>19903</v>
      </c>
      <c r="AY1114" s="1" t="s">
        <v>19904</v>
      </c>
      <c r="AZ1114" s="1" t="s">
        <v>1051</v>
      </c>
      <c r="BA1114" s="1" t="s">
        <v>1361</v>
      </c>
      <c r="BB1114" s="1">
        <v>75</v>
      </c>
      <c r="BC1114" s="1">
        <v>7.98</v>
      </c>
      <c r="BD1114" s="1"/>
      <c r="BE1114" s="1"/>
      <c r="BF1114" s="1"/>
      <c r="BG1114" s="1"/>
      <c r="BH1114" s="1"/>
      <c r="BI1114" s="1"/>
      <c r="BJ1114" s="1" t="s">
        <v>19905</v>
      </c>
      <c r="BK1114" s="1"/>
      <c r="BL1114" s="1"/>
      <c r="BM1114" s="1" t="s">
        <v>19906</v>
      </c>
      <c r="BN1114" s="1">
        <v>11</v>
      </c>
      <c r="BO1114" s="1" t="s">
        <v>19907</v>
      </c>
      <c r="BP1114" s="1" t="str">
        <f>HYPERLINK("https://nconnect.nicmar.ac.in/storage/profile/ProfilePhoto_P25701048_947136.jpg","Download")</f>
        <v>0</v>
      </c>
      <c r="BQ1114" s="3"/>
      <c r="BR1114" s="3"/>
    </row>
    <row r="1115" spans="1:70">
      <c r="A1115" s="1" t="s">
        <v>1563</v>
      </c>
      <c r="B1115" s="1" t="s">
        <v>1269</v>
      </c>
      <c r="C1115" s="1" t="s">
        <v>19908</v>
      </c>
      <c r="D1115" s="1" t="s">
        <v>16800</v>
      </c>
      <c r="E1115" s="1"/>
      <c r="F1115" s="1" t="s">
        <v>19909</v>
      </c>
      <c r="G1115" s="1" t="s">
        <v>19910</v>
      </c>
      <c r="H1115" s="1" t="s">
        <v>19911</v>
      </c>
      <c r="I1115" s="1" t="s">
        <v>19912</v>
      </c>
      <c r="J1115" s="1">
        <v>8840663508</v>
      </c>
      <c r="K1115" s="1" t="s">
        <v>79</v>
      </c>
      <c r="L1115" s="1" t="s">
        <v>19913</v>
      </c>
      <c r="M1115" s="1" t="s">
        <v>81</v>
      </c>
      <c r="N1115" s="1" t="s">
        <v>5056</v>
      </c>
      <c r="O1115" s="1"/>
      <c r="P1115" s="1" t="s">
        <v>1298</v>
      </c>
      <c r="Q1115" s="1" t="s">
        <v>19914</v>
      </c>
      <c r="R1115" s="1" t="s">
        <v>19915</v>
      </c>
      <c r="S1115" s="1">
        <v>9935361255</v>
      </c>
      <c r="T1115" s="1" t="s">
        <v>910</v>
      </c>
      <c r="U1115" s="1" t="s">
        <v>19916</v>
      </c>
      <c r="V1115" s="1">
        <v>9935301743</v>
      </c>
      <c r="W1115" s="1" t="s">
        <v>156</v>
      </c>
      <c r="X1115" s="1" t="s">
        <v>19917</v>
      </c>
      <c r="Y1115" s="1" t="s">
        <v>6295</v>
      </c>
      <c r="Z1115" s="1" t="s">
        <v>1355</v>
      </c>
      <c r="AA1115" s="1" t="s">
        <v>19917</v>
      </c>
      <c r="AB1115" s="1" t="s">
        <v>6295</v>
      </c>
      <c r="AC1115" s="1" t="s">
        <v>1355</v>
      </c>
      <c r="AD1115" s="1">
        <v>9.25</v>
      </c>
      <c r="AE1115" s="1" t="s">
        <v>93</v>
      </c>
      <c r="AF1115" s="1" t="s">
        <v>19918</v>
      </c>
      <c r="AG1115" s="1" t="s">
        <v>19919</v>
      </c>
      <c r="AH1115" s="1" t="s">
        <v>161</v>
      </c>
      <c r="AI1115" s="1" t="s">
        <v>527</v>
      </c>
      <c r="AJ1115" s="1">
        <v>88.16</v>
      </c>
      <c r="AK1115" s="1"/>
      <c r="AL1115" s="1" t="s">
        <v>19918</v>
      </c>
      <c r="AM1115" s="1" t="s">
        <v>19919</v>
      </c>
      <c r="AN1115" s="1" t="s">
        <v>165</v>
      </c>
      <c r="AO1115" s="1" t="s">
        <v>1307</v>
      </c>
      <c r="AP1115" s="1">
        <v>87.8</v>
      </c>
      <c r="AQ1115" s="1"/>
      <c r="AR1115" s="1"/>
      <c r="AS1115" s="1"/>
      <c r="AT1115" s="1"/>
      <c r="AU1115" s="1"/>
      <c r="AV1115" s="1"/>
      <c r="AW1115" s="1"/>
      <c r="AX1115" s="1" t="s">
        <v>8123</v>
      </c>
      <c r="AY1115" s="1" t="s">
        <v>19920</v>
      </c>
      <c r="AZ1115" s="1" t="s">
        <v>310</v>
      </c>
      <c r="BA1115" s="1" t="s">
        <v>229</v>
      </c>
      <c r="BB1115" s="1">
        <v>78.4</v>
      </c>
      <c r="BC1115" s="1">
        <v>7.84</v>
      </c>
      <c r="BD1115" s="1"/>
      <c r="BE1115" s="1"/>
      <c r="BF1115" s="1"/>
      <c r="BG1115" s="1"/>
      <c r="BH1115" s="1"/>
      <c r="BI1115" s="1"/>
      <c r="BJ1115" s="1" t="s">
        <v>19921</v>
      </c>
      <c r="BK1115" s="1"/>
      <c r="BL1115" s="1"/>
      <c r="BM1115" s="1" t="s">
        <v>19922</v>
      </c>
      <c r="BN1115" s="1">
        <v>36</v>
      </c>
      <c r="BO1115" s="1" t="s">
        <v>19923</v>
      </c>
      <c r="BP1115" s="1" t="str">
        <f>HYPERLINK("https://nconnect.nicmar.ac.in/storage/profile/ProfilePhoto_P25701049_942516.jpg","Download")</f>
        <v>0</v>
      </c>
      <c r="BQ1115" s="3"/>
      <c r="BR1115" s="3"/>
    </row>
    <row r="1116" spans="1:70">
      <c r="A1116" s="1" t="s">
        <v>1563</v>
      </c>
      <c r="B1116" s="1" t="s">
        <v>1269</v>
      </c>
      <c r="C1116" s="1" t="s">
        <v>19924</v>
      </c>
      <c r="D1116" s="1" t="s">
        <v>8366</v>
      </c>
      <c r="E1116" s="1" t="s">
        <v>5109</v>
      </c>
      <c r="F1116" s="1" t="s">
        <v>19925</v>
      </c>
      <c r="G1116" s="1" t="s">
        <v>19926</v>
      </c>
      <c r="H1116" s="1" t="s">
        <v>19927</v>
      </c>
      <c r="I1116" s="1" t="s">
        <v>19928</v>
      </c>
      <c r="J1116" s="1">
        <v>8999176687</v>
      </c>
      <c r="K1116" s="1" t="s">
        <v>79</v>
      </c>
      <c r="L1116" s="1" t="s">
        <v>7657</v>
      </c>
      <c r="M1116" s="1" t="s">
        <v>81</v>
      </c>
      <c r="N1116" s="1" t="s">
        <v>1618</v>
      </c>
      <c r="O1116" s="1"/>
      <c r="P1116" s="1" t="s">
        <v>1323</v>
      </c>
      <c r="Q1116" s="1" t="s">
        <v>19929</v>
      </c>
      <c r="R1116" s="1" t="s">
        <v>19930</v>
      </c>
      <c r="S1116" s="1">
        <v>9766703688</v>
      </c>
      <c r="T1116" s="1" t="s">
        <v>120</v>
      </c>
      <c r="U1116" s="1" t="s">
        <v>19931</v>
      </c>
      <c r="V1116" s="1">
        <v>9970427289</v>
      </c>
      <c r="W1116" s="1" t="s">
        <v>156</v>
      </c>
      <c r="X1116" s="1" t="s">
        <v>19932</v>
      </c>
      <c r="Y1116" s="1" t="s">
        <v>191</v>
      </c>
      <c r="Z1116" s="1" t="s">
        <v>92</v>
      </c>
      <c r="AA1116" s="1" t="s">
        <v>19933</v>
      </c>
      <c r="AB1116" s="1" t="s">
        <v>246</v>
      </c>
      <c r="AC1116" s="1" t="s">
        <v>92</v>
      </c>
      <c r="AD1116" s="1">
        <v>8.67</v>
      </c>
      <c r="AE1116" s="1" t="s">
        <v>93</v>
      </c>
      <c r="AF1116" s="1" t="s">
        <v>19934</v>
      </c>
      <c r="AG1116" s="1" t="s">
        <v>3161</v>
      </c>
      <c r="AH1116" s="1" t="s">
        <v>97</v>
      </c>
      <c r="AI1116" s="1" t="s">
        <v>456</v>
      </c>
      <c r="AJ1116" s="1">
        <v>73</v>
      </c>
      <c r="AK1116" s="1"/>
      <c r="AL1116" s="1" t="s">
        <v>19935</v>
      </c>
      <c r="AM1116" s="1" t="s">
        <v>3161</v>
      </c>
      <c r="AN1116" s="1" t="s">
        <v>1332</v>
      </c>
      <c r="AO1116" s="1" t="s">
        <v>457</v>
      </c>
      <c r="AP1116" s="1">
        <v>65.69</v>
      </c>
      <c r="AQ1116" s="1"/>
      <c r="AR1116" s="1"/>
      <c r="AS1116" s="1"/>
      <c r="AT1116" s="1"/>
      <c r="AU1116" s="1"/>
      <c r="AV1116" s="1"/>
      <c r="AW1116" s="1"/>
      <c r="AX1116" s="1" t="s">
        <v>19936</v>
      </c>
      <c r="AY1116" s="1" t="s">
        <v>19937</v>
      </c>
      <c r="AZ1116" s="1" t="s">
        <v>169</v>
      </c>
      <c r="BA1116" s="1" t="s">
        <v>481</v>
      </c>
      <c r="BB1116" s="1">
        <v>77.7</v>
      </c>
      <c r="BC1116" s="1">
        <v>9.11</v>
      </c>
      <c r="BD1116" s="1"/>
      <c r="BE1116" s="1"/>
      <c r="BF1116" s="1"/>
      <c r="BG1116" s="1"/>
      <c r="BH1116" s="1"/>
      <c r="BI1116" s="1"/>
      <c r="BJ1116" s="1" t="s">
        <v>19938</v>
      </c>
      <c r="BK1116" s="1" t="s">
        <v>19939</v>
      </c>
      <c r="BL1116" s="1" t="s">
        <v>5645</v>
      </c>
      <c r="BM1116" s="1" t="s">
        <v>19940</v>
      </c>
      <c r="BN1116" s="1">
        <v>34</v>
      </c>
      <c r="BO1116" s="1" t="s">
        <v>19941</v>
      </c>
      <c r="BP1116" s="1" t="str">
        <f>HYPERLINK("https://nconnect.nicmar.ac.in/storage/profile/ProfilePhoto_P25701050_146523.jpg","Download")</f>
        <v>0</v>
      </c>
      <c r="BQ1116" s="3"/>
      <c r="BR1116" s="3"/>
    </row>
    <row r="1117" spans="1:70">
      <c r="A1117" s="1" t="s">
        <v>1563</v>
      </c>
      <c r="B1117" s="1" t="s">
        <v>1269</v>
      </c>
      <c r="C1117" s="1" t="s">
        <v>19942</v>
      </c>
      <c r="D1117" s="1" t="s">
        <v>7453</v>
      </c>
      <c r="E1117" s="1" t="s">
        <v>144</v>
      </c>
      <c r="F1117" s="1" t="s">
        <v>19943</v>
      </c>
      <c r="G1117" s="1" t="s">
        <v>19944</v>
      </c>
      <c r="H1117" s="1" t="s">
        <v>19945</v>
      </c>
      <c r="I1117" s="1" t="s">
        <v>19946</v>
      </c>
      <c r="J1117" s="1">
        <v>9765917945</v>
      </c>
      <c r="K1117" s="1" t="s">
        <v>79</v>
      </c>
      <c r="L1117" s="1" t="s">
        <v>6184</v>
      </c>
      <c r="M1117" s="1" t="s">
        <v>81</v>
      </c>
      <c r="N1117" s="1" t="s">
        <v>860</v>
      </c>
      <c r="O1117" s="1"/>
      <c r="P1117" s="1" t="s">
        <v>1323</v>
      </c>
      <c r="Q1117" s="1" t="s">
        <v>19947</v>
      </c>
      <c r="R1117" s="1" t="s">
        <v>19948</v>
      </c>
      <c r="S1117" s="1">
        <v>9765554974</v>
      </c>
      <c r="T1117" s="1" t="s">
        <v>763</v>
      </c>
      <c r="U1117" s="1" t="s">
        <v>19949</v>
      </c>
      <c r="V1117" s="1">
        <v>9765480237</v>
      </c>
      <c r="W1117" s="1" t="s">
        <v>19950</v>
      </c>
      <c r="X1117" s="1" t="s">
        <v>19951</v>
      </c>
      <c r="Y1117" s="1" t="s">
        <v>1174</v>
      </c>
      <c r="Z1117" s="1" t="s">
        <v>92</v>
      </c>
      <c r="AA1117" s="1" t="s">
        <v>19951</v>
      </c>
      <c r="AB1117" s="1" t="s">
        <v>1174</v>
      </c>
      <c r="AC1117" s="1" t="s">
        <v>92</v>
      </c>
      <c r="AD1117" s="1">
        <v>9.29</v>
      </c>
      <c r="AE1117" s="1" t="s">
        <v>93</v>
      </c>
      <c r="AF1117" s="1" t="s">
        <v>19952</v>
      </c>
      <c r="AG1117" s="1" t="s">
        <v>19953</v>
      </c>
      <c r="AH1117" s="1" t="s">
        <v>165</v>
      </c>
      <c r="AI1117" s="1" t="s">
        <v>281</v>
      </c>
      <c r="AJ1117" s="1">
        <v>90.6</v>
      </c>
      <c r="AK1117" s="1">
        <v>0</v>
      </c>
      <c r="AL1117" s="1" t="s">
        <v>19954</v>
      </c>
      <c r="AM1117" s="1" t="s">
        <v>19953</v>
      </c>
      <c r="AN1117" s="1" t="s">
        <v>433</v>
      </c>
      <c r="AO1117" s="1" t="s">
        <v>360</v>
      </c>
      <c r="AP1117" s="1">
        <v>82.62</v>
      </c>
      <c r="AQ1117" s="1">
        <v>0</v>
      </c>
      <c r="AR1117" s="1"/>
      <c r="AS1117" s="1"/>
      <c r="AT1117" s="1"/>
      <c r="AU1117" s="1"/>
      <c r="AV1117" s="1"/>
      <c r="AW1117" s="1"/>
      <c r="AX1117" s="1" t="s">
        <v>19955</v>
      </c>
      <c r="AY1117" s="1" t="s">
        <v>19956</v>
      </c>
      <c r="AZ1117" s="1" t="s">
        <v>360</v>
      </c>
      <c r="BA1117" s="1" t="s">
        <v>1584</v>
      </c>
      <c r="BB1117" s="1">
        <v>72.35</v>
      </c>
      <c r="BC1117" s="1">
        <v>8.13</v>
      </c>
      <c r="BD1117" s="1"/>
      <c r="BE1117" s="1"/>
      <c r="BF1117" s="1"/>
      <c r="BG1117" s="1"/>
      <c r="BH1117" s="1"/>
      <c r="BI1117" s="1"/>
      <c r="BJ1117" s="1" t="s">
        <v>19957</v>
      </c>
      <c r="BK1117" s="1"/>
      <c r="BL1117" s="1"/>
      <c r="BM1117" s="1" t="s">
        <v>19958</v>
      </c>
      <c r="BN1117" s="1">
        <v>29</v>
      </c>
      <c r="BO1117" s="1" t="s">
        <v>19959</v>
      </c>
      <c r="BP1117" s="1" t="str">
        <f>HYPERLINK("https://nconnect.nicmar.ac.in/storage/profile/ProfilePhoto_P25701051_864915.jpg","Download")</f>
        <v>0</v>
      </c>
      <c r="BQ1117" s="3"/>
      <c r="BR1117" s="3"/>
    </row>
    <row r="1118" spans="1:70">
      <c r="A1118" s="1" t="s">
        <v>1563</v>
      </c>
      <c r="B1118" s="1" t="s">
        <v>1269</v>
      </c>
      <c r="C1118" s="1" t="s">
        <v>19960</v>
      </c>
      <c r="D1118" s="1" t="s">
        <v>19961</v>
      </c>
      <c r="E1118" s="1" t="s">
        <v>7974</v>
      </c>
      <c r="F1118" s="1" t="s">
        <v>19962</v>
      </c>
      <c r="G1118" s="1" t="s">
        <v>19963</v>
      </c>
      <c r="H1118" s="1" t="s">
        <v>19964</v>
      </c>
      <c r="I1118" s="1" t="s">
        <v>19965</v>
      </c>
      <c r="J1118" s="1">
        <v>9309157441</v>
      </c>
      <c r="K1118" s="1" t="s">
        <v>79</v>
      </c>
      <c r="L1118" s="1" t="s">
        <v>8478</v>
      </c>
      <c r="M1118" s="1" t="s">
        <v>81</v>
      </c>
      <c r="N1118" s="1" t="s">
        <v>19966</v>
      </c>
      <c r="O1118" s="1"/>
      <c r="P1118" s="1" t="s">
        <v>1278</v>
      </c>
      <c r="Q1118" s="1" t="s">
        <v>19967</v>
      </c>
      <c r="R1118" s="1" t="s">
        <v>7974</v>
      </c>
      <c r="S1118" s="1">
        <v>9834387576</v>
      </c>
      <c r="T1118" s="1" t="s">
        <v>842</v>
      </c>
      <c r="U1118" s="1" t="s">
        <v>958</v>
      </c>
      <c r="V1118" s="1">
        <v>8668987708</v>
      </c>
      <c r="W1118" s="1" t="s">
        <v>156</v>
      </c>
      <c r="X1118" s="1" t="s">
        <v>19968</v>
      </c>
      <c r="Y1118" s="1" t="s">
        <v>191</v>
      </c>
      <c r="Z1118" s="1" t="s">
        <v>92</v>
      </c>
      <c r="AA1118" s="1" t="s">
        <v>19969</v>
      </c>
      <c r="AB1118" s="1" t="s">
        <v>5788</v>
      </c>
      <c r="AC1118" s="1" t="s">
        <v>92</v>
      </c>
      <c r="AD1118" s="1">
        <v>9.11</v>
      </c>
      <c r="AE1118" s="1" t="s">
        <v>93</v>
      </c>
      <c r="AF1118" s="1" t="s">
        <v>19396</v>
      </c>
      <c r="AG1118" s="1" t="s">
        <v>19970</v>
      </c>
      <c r="AH1118" s="1" t="s">
        <v>195</v>
      </c>
      <c r="AI1118" s="1" t="s">
        <v>101</v>
      </c>
      <c r="AJ1118" s="1">
        <v>67.6</v>
      </c>
      <c r="AK1118" s="1"/>
      <c r="AL1118" s="1" t="s">
        <v>19971</v>
      </c>
      <c r="AM1118" s="1" t="s">
        <v>12543</v>
      </c>
      <c r="AN1118" s="1" t="s">
        <v>310</v>
      </c>
      <c r="AO1118" s="1" t="s">
        <v>173</v>
      </c>
      <c r="AP1118" s="1">
        <v>67.23</v>
      </c>
      <c r="AQ1118" s="1"/>
      <c r="AR1118" s="1"/>
      <c r="AS1118" s="1"/>
      <c r="AT1118" s="1"/>
      <c r="AU1118" s="1"/>
      <c r="AV1118" s="1"/>
      <c r="AW1118" s="1"/>
      <c r="AX1118" s="1" t="s">
        <v>19972</v>
      </c>
      <c r="AY1118" s="1" t="s">
        <v>19973</v>
      </c>
      <c r="AZ1118" s="1" t="s">
        <v>1051</v>
      </c>
      <c r="BA1118" s="1" t="s">
        <v>1361</v>
      </c>
      <c r="BB1118" s="1">
        <v>86.5</v>
      </c>
      <c r="BC1118" s="1">
        <v>8.65</v>
      </c>
      <c r="BD1118" s="1"/>
      <c r="BE1118" s="1"/>
      <c r="BF1118" s="1"/>
      <c r="BG1118" s="1"/>
      <c r="BH1118" s="1"/>
      <c r="BI1118" s="1"/>
      <c r="BJ1118" s="1" t="s">
        <v>19974</v>
      </c>
      <c r="BK1118" s="1"/>
      <c r="BL1118" s="1"/>
      <c r="BM1118" s="1" t="s">
        <v>19975</v>
      </c>
      <c r="BN1118" s="1">
        <v>13</v>
      </c>
      <c r="BO1118" s="1" t="s">
        <v>19976</v>
      </c>
      <c r="BP1118" s="1" t="str">
        <f>HYPERLINK("https://nconnect.nicmar.ac.in/storage/profile/ProfilePhoto_P25701052_917684.jpg","Download")</f>
        <v>0</v>
      </c>
      <c r="BQ1118" s="3"/>
      <c r="BR1118" s="3"/>
    </row>
    <row r="1119" spans="1:70">
      <c r="A1119" s="1" t="s">
        <v>1563</v>
      </c>
      <c r="B1119" s="1" t="s">
        <v>1269</v>
      </c>
      <c r="C1119" s="1" t="s">
        <v>19977</v>
      </c>
      <c r="D1119" s="1" t="s">
        <v>19978</v>
      </c>
      <c r="E1119" s="1" t="s">
        <v>9831</v>
      </c>
      <c r="F1119" s="1" t="s">
        <v>19979</v>
      </c>
      <c r="G1119" s="1" t="s">
        <v>19980</v>
      </c>
      <c r="H1119" s="1" t="s">
        <v>19981</v>
      </c>
      <c r="I1119" s="1" t="s">
        <v>19982</v>
      </c>
      <c r="J1119" s="1">
        <v>8431755726</v>
      </c>
      <c r="K1119" s="1" t="s">
        <v>148</v>
      </c>
      <c r="L1119" s="1" t="s">
        <v>15929</v>
      </c>
      <c r="M1119" s="1" t="s">
        <v>81</v>
      </c>
      <c r="N1119" s="1" t="s">
        <v>5187</v>
      </c>
      <c r="O1119" s="1"/>
      <c r="P1119" s="1" t="s">
        <v>1278</v>
      </c>
      <c r="Q1119" s="1" t="s">
        <v>19983</v>
      </c>
      <c r="R1119" s="1" t="s">
        <v>19984</v>
      </c>
      <c r="S1119" s="1">
        <v>9980125250</v>
      </c>
      <c r="T1119" s="1" t="s">
        <v>496</v>
      </c>
      <c r="U1119" s="1" t="s">
        <v>19985</v>
      </c>
      <c r="V1119" s="1">
        <v>8951135803</v>
      </c>
      <c r="W1119" s="1" t="s">
        <v>156</v>
      </c>
      <c r="X1119" s="1" t="s">
        <v>19986</v>
      </c>
      <c r="Y1119" s="1" t="s">
        <v>2440</v>
      </c>
      <c r="Z1119" s="1" t="s">
        <v>1084</v>
      </c>
      <c r="AA1119" s="1" t="s">
        <v>19986</v>
      </c>
      <c r="AB1119" s="1" t="s">
        <v>2440</v>
      </c>
      <c r="AC1119" s="1" t="s">
        <v>1084</v>
      </c>
      <c r="AD1119" s="1">
        <v>8.19</v>
      </c>
      <c r="AE1119" s="1" t="s">
        <v>93</v>
      </c>
      <c r="AF1119" s="1" t="s">
        <v>19987</v>
      </c>
      <c r="AG1119" s="1" t="s">
        <v>307</v>
      </c>
      <c r="AH1119" s="1" t="s">
        <v>101</v>
      </c>
      <c r="AI1119" s="1" t="s">
        <v>308</v>
      </c>
      <c r="AJ1119" s="1">
        <v>61.6</v>
      </c>
      <c r="AK1119" s="1"/>
      <c r="AL1119" s="1" t="s">
        <v>19988</v>
      </c>
      <c r="AM1119" s="1" t="s">
        <v>5387</v>
      </c>
      <c r="AN1119" s="1" t="s">
        <v>310</v>
      </c>
      <c r="AO1119" s="1" t="s">
        <v>1131</v>
      </c>
      <c r="AP1119" s="1">
        <v>67</v>
      </c>
      <c r="AQ1119" s="1"/>
      <c r="AR1119" s="1"/>
      <c r="AS1119" s="1"/>
      <c r="AT1119" s="1"/>
      <c r="AU1119" s="1"/>
      <c r="AV1119" s="1"/>
      <c r="AW1119" s="1"/>
      <c r="AX1119" s="1" t="s">
        <v>19989</v>
      </c>
      <c r="AY1119" s="1" t="s">
        <v>19989</v>
      </c>
      <c r="AZ1119" s="1" t="s">
        <v>897</v>
      </c>
      <c r="BA1119" s="1" t="s">
        <v>1714</v>
      </c>
      <c r="BB1119" s="1">
        <v>71.2</v>
      </c>
      <c r="BC1119" s="1">
        <v>7.87</v>
      </c>
      <c r="BD1119" s="1"/>
      <c r="BE1119" s="1"/>
      <c r="BF1119" s="1"/>
      <c r="BG1119" s="1"/>
      <c r="BH1119" s="1"/>
      <c r="BI1119" s="1"/>
      <c r="BJ1119" s="1" t="s">
        <v>19990</v>
      </c>
      <c r="BK1119" s="1"/>
      <c r="BL1119" s="1"/>
      <c r="BM1119" s="1" t="s">
        <v>19991</v>
      </c>
      <c r="BN1119" s="1">
        <v>16</v>
      </c>
      <c r="BO1119" s="1"/>
      <c r="BP1119" s="1" t="str">
        <f>HYPERLINK("https://nconnect.nicmar.ac.in/storage/profile/ProfilePhoto_P25701053_372945.jpg","Download")</f>
        <v>0</v>
      </c>
      <c r="BQ1119" s="3"/>
      <c r="BR1119" s="3"/>
    </row>
    <row r="1120" spans="1:70">
      <c r="A1120" s="1" t="s">
        <v>1563</v>
      </c>
      <c r="B1120" s="1" t="s">
        <v>1269</v>
      </c>
      <c r="C1120" s="1" t="s">
        <v>19992</v>
      </c>
      <c r="D1120" s="1" t="s">
        <v>19993</v>
      </c>
      <c r="E1120" s="1" t="s">
        <v>15328</v>
      </c>
      <c r="F1120" s="1" t="s">
        <v>19994</v>
      </c>
      <c r="G1120" s="1" t="s">
        <v>19995</v>
      </c>
      <c r="H1120" s="1" t="s">
        <v>19996</v>
      </c>
      <c r="I1120" s="1" t="s">
        <v>19997</v>
      </c>
      <c r="J1120" s="1">
        <v>9588660285</v>
      </c>
      <c r="K1120" s="1" t="s">
        <v>148</v>
      </c>
      <c r="L1120" s="1" t="s">
        <v>19185</v>
      </c>
      <c r="M1120" s="1" t="s">
        <v>81</v>
      </c>
      <c r="N1120" s="1" t="s">
        <v>5731</v>
      </c>
      <c r="O1120" s="1"/>
      <c r="P1120" s="1" t="s">
        <v>1298</v>
      </c>
      <c r="Q1120" s="1" t="s">
        <v>19998</v>
      </c>
      <c r="R1120" s="1" t="s">
        <v>19999</v>
      </c>
      <c r="S1120" s="1">
        <v>9422155873</v>
      </c>
      <c r="T1120" s="1" t="s">
        <v>496</v>
      </c>
      <c r="U1120" s="1" t="s">
        <v>20000</v>
      </c>
      <c r="V1120" s="1">
        <v>9422917492</v>
      </c>
      <c r="W1120" s="1" t="s">
        <v>496</v>
      </c>
      <c r="X1120" s="1" t="s">
        <v>20001</v>
      </c>
      <c r="Y1120" s="1" t="s">
        <v>219</v>
      </c>
      <c r="Z1120" s="1" t="s">
        <v>92</v>
      </c>
      <c r="AA1120" s="1" t="s">
        <v>20001</v>
      </c>
      <c r="AB1120" s="1" t="s">
        <v>219</v>
      </c>
      <c r="AC1120" s="1" t="s">
        <v>92</v>
      </c>
      <c r="AD1120" s="1">
        <v>7.59</v>
      </c>
      <c r="AE1120" s="1" t="s">
        <v>93</v>
      </c>
      <c r="AF1120" s="1" t="s">
        <v>20002</v>
      </c>
      <c r="AG1120" s="1" t="s">
        <v>14960</v>
      </c>
      <c r="AH1120" s="1" t="s">
        <v>281</v>
      </c>
      <c r="AI1120" s="1" t="s">
        <v>308</v>
      </c>
      <c r="AJ1120" s="1">
        <v>76.4</v>
      </c>
      <c r="AK1120" s="1"/>
      <c r="AL1120" s="1" t="s">
        <v>20003</v>
      </c>
      <c r="AM1120" s="1" t="s">
        <v>14960</v>
      </c>
      <c r="AN1120" s="1" t="s">
        <v>941</v>
      </c>
      <c r="AO1120" s="1" t="s">
        <v>1712</v>
      </c>
      <c r="AP1120" s="1">
        <v>84.83</v>
      </c>
      <c r="AQ1120" s="1"/>
      <c r="AR1120" s="1"/>
      <c r="AS1120" s="1"/>
      <c r="AT1120" s="1"/>
      <c r="AU1120" s="1"/>
      <c r="AV1120" s="1"/>
      <c r="AW1120" s="1"/>
      <c r="AX1120" s="1" t="s">
        <v>361</v>
      </c>
      <c r="AY1120" s="1" t="s">
        <v>20004</v>
      </c>
      <c r="AZ1120" s="1" t="s">
        <v>504</v>
      </c>
      <c r="BA1120" s="1" t="s">
        <v>1361</v>
      </c>
      <c r="BB1120" s="1">
        <v>72.77</v>
      </c>
      <c r="BC1120" s="1">
        <v>7.66</v>
      </c>
      <c r="BD1120" s="1"/>
      <c r="BE1120" s="1"/>
      <c r="BF1120" s="1"/>
      <c r="BG1120" s="1"/>
      <c r="BH1120" s="1"/>
      <c r="BI1120" s="1"/>
      <c r="BJ1120" s="1" t="s">
        <v>20005</v>
      </c>
      <c r="BK1120" s="1"/>
      <c r="BL1120" s="1"/>
      <c r="BM1120" s="1" t="s">
        <v>20006</v>
      </c>
      <c r="BN1120" s="1">
        <v>19</v>
      </c>
      <c r="BO1120" s="1"/>
      <c r="BP1120" s="1" t="str">
        <f>HYPERLINK("https://nconnect.nicmar.ac.in/storage/profile/ProfilePhoto_P25701054_928375.jpg","Download")</f>
        <v>0</v>
      </c>
      <c r="BQ1120" s="3"/>
      <c r="BR1120" s="3"/>
    </row>
    <row r="1121" spans="1:70">
      <c r="A1121" s="1" t="s">
        <v>1563</v>
      </c>
      <c r="B1121" s="1" t="s">
        <v>1269</v>
      </c>
      <c r="C1121" s="1" t="s">
        <v>20007</v>
      </c>
      <c r="D1121" s="1" t="s">
        <v>5583</v>
      </c>
      <c r="E1121" s="1" t="s">
        <v>20008</v>
      </c>
      <c r="F1121" s="1" t="s">
        <v>2897</v>
      </c>
      <c r="G1121" s="1" t="s">
        <v>20009</v>
      </c>
      <c r="H1121" s="1" t="s">
        <v>20010</v>
      </c>
      <c r="I1121" s="1" t="s">
        <v>20011</v>
      </c>
      <c r="J1121" s="1">
        <v>7208881482</v>
      </c>
      <c r="K1121" s="1" t="s">
        <v>79</v>
      </c>
      <c r="L1121" s="1" t="s">
        <v>14151</v>
      </c>
      <c r="M1121" s="1" t="s">
        <v>81</v>
      </c>
      <c r="N1121" s="1" t="s">
        <v>2295</v>
      </c>
      <c r="O1121" s="1" t="s">
        <v>20012</v>
      </c>
      <c r="P1121" s="1" t="s">
        <v>1278</v>
      </c>
      <c r="Q1121" s="1" t="s">
        <v>20013</v>
      </c>
      <c r="R1121" s="1" t="s">
        <v>20014</v>
      </c>
      <c r="S1121" s="1">
        <v>9769484706</v>
      </c>
      <c r="T1121" s="1" t="s">
        <v>20015</v>
      </c>
      <c r="U1121" s="1" t="s">
        <v>2758</v>
      </c>
      <c r="V1121" s="1">
        <v>8097713101</v>
      </c>
      <c r="W1121" s="1" t="s">
        <v>651</v>
      </c>
      <c r="X1121" s="1" t="s">
        <v>20016</v>
      </c>
      <c r="Y1121" s="1" t="s">
        <v>766</v>
      </c>
      <c r="Z1121" s="1" t="s">
        <v>92</v>
      </c>
      <c r="AA1121" s="1" t="s">
        <v>20016</v>
      </c>
      <c r="AB1121" s="1" t="s">
        <v>766</v>
      </c>
      <c r="AC1121" s="1" t="s">
        <v>92</v>
      </c>
      <c r="AD1121" s="1">
        <v>8.05</v>
      </c>
      <c r="AE1121" s="1" t="s">
        <v>93</v>
      </c>
      <c r="AF1121" s="1" t="s">
        <v>20017</v>
      </c>
      <c r="AG1121" s="1" t="s">
        <v>20018</v>
      </c>
      <c r="AH1121" s="1" t="s">
        <v>161</v>
      </c>
      <c r="AI1121" s="1" t="s">
        <v>527</v>
      </c>
      <c r="AJ1121" s="1">
        <v>68.4</v>
      </c>
      <c r="AK1121" s="1"/>
      <c r="AL1121" s="1"/>
      <c r="AM1121" s="1"/>
      <c r="AN1121" s="1"/>
      <c r="AO1121" s="1"/>
      <c r="AP1121" s="1"/>
      <c r="AQ1121" s="1"/>
      <c r="AR1121" s="1" t="s">
        <v>434</v>
      </c>
      <c r="AS1121" s="1" t="s">
        <v>20019</v>
      </c>
      <c r="AT1121" s="1" t="s">
        <v>733</v>
      </c>
      <c r="AU1121" s="1" t="s">
        <v>433</v>
      </c>
      <c r="AV1121" s="1">
        <v>69.7</v>
      </c>
      <c r="AW1121" s="1"/>
      <c r="AX1121" s="1" t="s">
        <v>253</v>
      </c>
      <c r="AY1121" s="1" t="s">
        <v>20020</v>
      </c>
      <c r="AZ1121" s="1" t="s">
        <v>201</v>
      </c>
      <c r="BA1121" s="1" t="s">
        <v>105</v>
      </c>
      <c r="BB1121" s="1">
        <v>70.54</v>
      </c>
      <c r="BC1121" s="1"/>
      <c r="BD1121" s="1"/>
      <c r="BE1121" s="1"/>
      <c r="BF1121" s="1"/>
      <c r="BG1121" s="1"/>
      <c r="BH1121" s="1"/>
      <c r="BI1121" s="1"/>
      <c r="BJ1121" s="1" t="s">
        <v>20021</v>
      </c>
      <c r="BK1121" s="1" t="s">
        <v>20022</v>
      </c>
      <c r="BL1121" s="1" t="s">
        <v>1920</v>
      </c>
      <c r="BM1121" s="1" t="s">
        <v>20023</v>
      </c>
      <c r="BN1121" s="1">
        <v>8</v>
      </c>
      <c r="BO1121" s="1" t="s">
        <v>20024</v>
      </c>
      <c r="BP1121" s="1" t="str">
        <f>HYPERLINK("https://nconnect.nicmar.ac.in/storage/profile/ProfilePhoto_P25701055_348719.jpg","Download")</f>
        <v>0</v>
      </c>
      <c r="BQ1121" s="3"/>
      <c r="BR1121" s="3"/>
    </row>
    <row r="1122" spans="1:70">
      <c r="A1122" s="1" t="s">
        <v>1563</v>
      </c>
      <c r="B1122" s="1" t="s">
        <v>1269</v>
      </c>
      <c r="C1122" s="1" t="s">
        <v>20025</v>
      </c>
      <c r="D1122" s="1" t="s">
        <v>7899</v>
      </c>
      <c r="E1122" s="1" t="s">
        <v>5088</v>
      </c>
      <c r="F1122" s="1" t="s">
        <v>20026</v>
      </c>
      <c r="G1122" s="1" t="s">
        <v>20027</v>
      </c>
      <c r="H1122" s="1" t="s">
        <v>20028</v>
      </c>
      <c r="I1122" s="1" t="s">
        <v>20029</v>
      </c>
      <c r="J1122" s="1">
        <v>8082190515</v>
      </c>
      <c r="K1122" s="1" t="s">
        <v>148</v>
      </c>
      <c r="L1122" s="1" t="s">
        <v>20030</v>
      </c>
      <c r="M1122" s="1" t="s">
        <v>81</v>
      </c>
      <c r="N1122" s="1" t="s">
        <v>1418</v>
      </c>
      <c r="O1122" s="1"/>
      <c r="P1122" s="1" t="s">
        <v>1323</v>
      </c>
      <c r="Q1122" s="1" t="s">
        <v>20031</v>
      </c>
      <c r="R1122" s="1" t="s">
        <v>5088</v>
      </c>
      <c r="S1122" s="1">
        <v>9870073746</v>
      </c>
      <c r="T1122" s="1" t="s">
        <v>20032</v>
      </c>
      <c r="U1122" s="1" t="s">
        <v>20033</v>
      </c>
      <c r="V1122" s="1">
        <v>9870073751</v>
      </c>
      <c r="W1122" s="1" t="s">
        <v>20034</v>
      </c>
      <c r="X1122" s="1" t="s">
        <v>20035</v>
      </c>
      <c r="Y1122" s="1" t="s">
        <v>1623</v>
      </c>
      <c r="Z1122" s="1" t="s">
        <v>92</v>
      </c>
      <c r="AA1122" s="1" t="s">
        <v>20035</v>
      </c>
      <c r="AB1122" s="1" t="s">
        <v>1623</v>
      </c>
      <c r="AC1122" s="1" t="s">
        <v>92</v>
      </c>
      <c r="AD1122" s="1">
        <v>8.89</v>
      </c>
      <c r="AE1122" s="1" t="s">
        <v>93</v>
      </c>
      <c r="AF1122" s="1" t="s">
        <v>20036</v>
      </c>
      <c r="AG1122" s="1" t="s">
        <v>5102</v>
      </c>
      <c r="AH1122" s="1" t="s">
        <v>998</v>
      </c>
      <c r="AI1122" s="1" t="s">
        <v>96</v>
      </c>
      <c r="AJ1122" s="1">
        <v>94.4</v>
      </c>
      <c r="AK1122" s="1">
        <v>0</v>
      </c>
      <c r="AL1122" s="1" t="s">
        <v>20037</v>
      </c>
      <c r="AM1122" s="1" t="s">
        <v>5102</v>
      </c>
      <c r="AN1122" s="1" t="s">
        <v>161</v>
      </c>
      <c r="AO1122" s="1" t="s">
        <v>527</v>
      </c>
      <c r="AP1122" s="1">
        <v>91.69</v>
      </c>
      <c r="AQ1122" s="1">
        <v>0</v>
      </c>
      <c r="AR1122" s="1"/>
      <c r="AS1122" s="1"/>
      <c r="AT1122" s="1"/>
      <c r="AU1122" s="1"/>
      <c r="AV1122" s="1"/>
      <c r="AW1122" s="1"/>
      <c r="AX1122" s="1" t="s">
        <v>253</v>
      </c>
      <c r="AY1122" s="1" t="s">
        <v>20038</v>
      </c>
      <c r="AZ1122" s="1" t="s">
        <v>134</v>
      </c>
      <c r="BA1122" s="1" t="s">
        <v>1131</v>
      </c>
      <c r="BB1122" s="1">
        <v>66.68</v>
      </c>
      <c r="BC1122" s="1">
        <v>0</v>
      </c>
      <c r="BD1122" s="1"/>
      <c r="BE1122" s="1"/>
      <c r="BF1122" s="1"/>
      <c r="BG1122" s="1"/>
      <c r="BH1122" s="1"/>
      <c r="BI1122" s="1"/>
      <c r="BJ1122" s="1" t="s">
        <v>20039</v>
      </c>
      <c r="BK1122" s="1" t="s">
        <v>20040</v>
      </c>
      <c r="BL1122" s="1" t="s">
        <v>16452</v>
      </c>
      <c r="BM1122" s="1" t="s">
        <v>20041</v>
      </c>
      <c r="BN1122" s="1">
        <v>43</v>
      </c>
      <c r="BO1122" s="1"/>
      <c r="BP1122" s="1" t="str">
        <f>HYPERLINK("https://nconnect.nicmar.ac.in/storage/profile/ProfilePhoto_P25701056_321589.jpg","Download")</f>
        <v>0</v>
      </c>
      <c r="BQ1122" s="3"/>
      <c r="BR1122" s="3"/>
    </row>
    <row r="1123" spans="1:70">
      <c r="A1123" s="1" t="s">
        <v>1563</v>
      </c>
      <c r="B1123" s="1" t="s">
        <v>1269</v>
      </c>
      <c r="C1123" s="1" t="s">
        <v>20042</v>
      </c>
      <c r="D1123" s="1" t="s">
        <v>20043</v>
      </c>
      <c r="E1123" s="1"/>
      <c r="F1123" s="1" t="s">
        <v>20044</v>
      </c>
      <c r="G1123" s="1" t="s">
        <v>20045</v>
      </c>
      <c r="H1123" s="1" t="s">
        <v>20046</v>
      </c>
      <c r="I1123" s="1" t="s">
        <v>20047</v>
      </c>
      <c r="J1123" s="1">
        <v>9774486918</v>
      </c>
      <c r="K1123" s="1" t="s">
        <v>79</v>
      </c>
      <c r="L1123" s="1" t="s">
        <v>20048</v>
      </c>
      <c r="M1123" s="1" t="s">
        <v>81</v>
      </c>
      <c r="N1123" s="1" t="s">
        <v>11418</v>
      </c>
      <c r="O1123" s="1"/>
      <c r="P1123" s="1" t="s">
        <v>1323</v>
      </c>
      <c r="Q1123" s="1" t="s">
        <v>20049</v>
      </c>
      <c r="R1123" s="1" t="s">
        <v>20050</v>
      </c>
      <c r="S1123" s="1">
        <v>9774862616</v>
      </c>
      <c r="T1123" s="1" t="s">
        <v>89</v>
      </c>
      <c r="U1123" s="1" t="s">
        <v>20051</v>
      </c>
      <c r="V1123" s="1">
        <v>9774012767</v>
      </c>
      <c r="W1123" s="1" t="s">
        <v>1351</v>
      </c>
      <c r="X1123" s="1" t="s">
        <v>20052</v>
      </c>
      <c r="Y1123" s="1" t="s">
        <v>20053</v>
      </c>
      <c r="Z1123" s="1" t="s">
        <v>20054</v>
      </c>
      <c r="AA1123" s="1" t="s">
        <v>20052</v>
      </c>
      <c r="AB1123" s="1" t="s">
        <v>20053</v>
      </c>
      <c r="AC1123" s="1" t="s">
        <v>20054</v>
      </c>
      <c r="AD1123" s="1">
        <v>7.47</v>
      </c>
      <c r="AE1123" s="1" t="s">
        <v>93</v>
      </c>
      <c r="AF1123" s="1" t="s">
        <v>20055</v>
      </c>
      <c r="AG1123" s="1" t="s">
        <v>20056</v>
      </c>
      <c r="AH1123" s="1" t="s">
        <v>131</v>
      </c>
      <c r="AI1123" s="1" t="s">
        <v>279</v>
      </c>
      <c r="AJ1123" s="1">
        <v>89.3</v>
      </c>
      <c r="AK1123" s="1">
        <v>9.4</v>
      </c>
      <c r="AL1123" s="1" t="s">
        <v>20057</v>
      </c>
      <c r="AM1123" s="1" t="s">
        <v>20056</v>
      </c>
      <c r="AN1123" s="1" t="s">
        <v>678</v>
      </c>
      <c r="AO1123" s="1" t="s">
        <v>281</v>
      </c>
      <c r="AP1123" s="1">
        <v>70.2</v>
      </c>
      <c r="AQ1123" s="1"/>
      <c r="AR1123" s="1"/>
      <c r="AS1123" s="1"/>
      <c r="AT1123" s="1"/>
      <c r="AU1123" s="1"/>
      <c r="AV1123" s="1"/>
      <c r="AW1123" s="1"/>
      <c r="AX1123" s="1" t="s">
        <v>20058</v>
      </c>
      <c r="AY1123" s="1" t="s">
        <v>20058</v>
      </c>
      <c r="AZ1123" s="1" t="s">
        <v>169</v>
      </c>
      <c r="BA1123" s="1" t="s">
        <v>1003</v>
      </c>
      <c r="BB1123" s="1">
        <v>70.4</v>
      </c>
      <c r="BC1123" s="1">
        <v>7.04</v>
      </c>
      <c r="BD1123" s="1"/>
      <c r="BE1123" s="1"/>
      <c r="BF1123" s="1"/>
      <c r="BG1123" s="1"/>
      <c r="BH1123" s="1"/>
      <c r="BI1123" s="1"/>
      <c r="BJ1123" s="1" t="s">
        <v>1383</v>
      </c>
      <c r="BK1123" s="1" t="s">
        <v>20059</v>
      </c>
      <c r="BL1123" s="1" t="s">
        <v>1629</v>
      </c>
      <c r="BM1123" s="1" t="s">
        <v>20060</v>
      </c>
      <c r="BN1123" s="1">
        <v>8</v>
      </c>
      <c r="BO1123" s="1"/>
      <c r="BP1123" s="1" t="str">
        <f>HYPERLINK("https://nconnect.nicmar.ac.in/storage/profile/ProfilePhoto_P25701057_742385.jpg","Download")</f>
        <v>0</v>
      </c>
      <c r="BQ1123" s="3"/>
      <c r="BR1123" s="3"/>
    </row>
    <row r="1124" spans="1:70">
      <c r="A1124" s="1" t="s">
        <v>1563</v>
      </c>
      <c r="B1124" s="1" t="s">
        <v>1269</v>
      </c>
      <c r="C1124" s="1" t="s">
        <v>20061</v>
      </c>
      <c r="D1124" s="1" t="s">
        <v>20062</v>
      </c>
      <c r="E1124" s="1" t="s">
        <v>835</v>
      </c>
      <c r="F1124" s="1" t="s">
        <v>20063</v>
      </c>
      <c r="G1124" s="1" t="s">
        <v>20064</v>
      </c>
      <c r="H1124" s="1" t="s">
        <v>20065</v>
      </c>
      <c r="I1124" s="1" t="s">
        <v>20066</v>
      </c>
      <c r="J1124" s="1">
        <v>9079355689</v>
      </c>
      <c r="K1124" s="1" t="s">
        <v>79</v>
      </c>
      <c r="L1124" s="1" t="s">
        <v>20067</v>
      </c>
      <c r="M1124" s="1" t="s">
        <v>81</v>
      </c>
      <c r="N1124" s="1" t="s">
        <v>82</v>
      </c>
      <c r="O1124" s="1" t="s">
        <v>20068</v>
      </c>
      <c r="P1124" s="1" t="s">
        <v>1323</v>
      </c>
      <c r="Q1124" s="1" t="s">
        <v>20069</v>
      </c>
      <c r="R1124" s="1" t="s">
        <v>20070</v>
      </c>
      <c r="S1124" s="1">
        <v>7014937187</v>
      </c>
      <c r="T1124" s="1" t="s">
        <v>20071</v>
      </c>
      <c r="U1124" s="1" t="s">
        <v>20072</v>
      </c>
      <c r="V1124" s="1">
        <v>7568789701</v>
      </c>
      <c r="W1124" s="1" t="s">
        <v>89</v>
      </c>
      <c r="X1124" s="1" t="s">
        <v>20073</v>
      </c>
      <c r="Y1124" s="1" t="s">
        <v>20074</v>
      </c>
      <c r="Z1124" s="1" t="s">
        <v>867</v>
      </c>
      <c r="AA1124" s="1" t="s">
        <v>20073</v>
      </c>
      <c r="AB1124" s="1" t="s">
        <v>20074</v>
      </c>
      <c r="AC1124" s="1" t="s">
        <v>867</v>
      </c>
      <c r="AD1124" s="1">
        <v>8.3</v>
      </c>
      <c r="AE1124" s="1" t="s">
        <v>93</v>
      </c>
      <c r="AF1124" s="1" t="s">
        <v>20075</v>
      </c>
      <c r="AG1124" s="1" t="s">
        <v>1665</v>
      </c>
      <c r="AH1124" s="1" t="s">
        <v>503</v>
      </c>
      <c r="AI1124" s="1" t="s">
        <v>527</v>
      </c>
      <c r="AJ1124" s="1">
        <v>85.5</v>
      </c>
      <c r="AK1124" s="1">
        <v>9</v>
      </c>
      <c r="AL1124" s="1" t="s">
        <v>20075</v>
      </c>
      <c r="AM1124" s="1" t="s">
        <v>1665</v>
      </c>
      <c r="AN1124" s="1" t="s">
        <v>678</v>
      </c>
      <c r="AO1124" s="1" t="s">
        <v>166</v>
      </c>
      <c r="AP1124" s="1">
        <v>64.2</v>
      </c>
      <c r="AQ1124" s="1"/>
      <c r="AR1124" s="1"/>
      <c r="AS1124" s="1"/>
      <c r="AT1124" s="1"/>
      <c r="AU1124" s="1"/>
      <c r="AV1124" s="1"/>
      <c r="AW1124" s="1"/>
      <c r="AX1124" s="1" t="s">
        <v>20076</v>
      </c>
      <c r="AY1124" s="1" t="s">
        <v>20077</v>
      </c>
      <c r="AZ1124" s="1" t="s">
        <v>636</v>
      </c>
      <c r="BA1124" s="1" t="s">
        <v>174</v>
      </c>
      <c r="BB1124" s="1">
        <v>83.9</v>
      </c>
      <c r="BC1124" s="1">
        <v>8.39</v>
      </c>
      <c r="BD1124" s="1"/>
      <c r="BE1124" s="1"/>
      <c r="BF1124" s="1"/>
      <c r="BG1124" s="1"/>
      <c r="BH1124" s="1"/>
      <c r="BI1124" s="1"/>
      <c r="BJ1124" s="1" t="s">
        <v>20078</v>
      </c>
      <c r="BK1124" s="1" t="s">
        <v>20079</v>
      </c>
      <c r="BL1124" s="1" t="s">
        <v>4737</v>
      </c>
      <c r="BM1124" s="1" t="s">
        <v>20080</v>
      </c>
      <c r="BN1124" s="1">
        <v>15</v>
      </c>
      <c r="BO1124" s="1" t="s">
        <v>20081</v>
      </c>
      <c r="BP1124" s="1" t="str">
        <f>HYPERLINK("https://nconnect.nicmar.ac.in/storage/profile/ProfilePhoto_P25701058_382415.jpg","Download")</f>
        <v>0</v>
      </c>
      <c r="BQ1124" s="3"/>
      <c r="BR1124" s="3"/>
    </row>
    <row r="1125" spans="1:70">
      <c r="A1125" s="1" t="s">
        <v>1563</v>
      </c>
      <c r="B1125" s="1" t="s">
        <v>1269</v>
      </c>
      <c r="C1125" s="1" t="s">
        <v>20082</v>
      </c>
      <c r="D1125" s="1" t="s">
        <v>18318</v>
      </c>
      <c r="E1125" s="1"/>
      <c r="F1125" s="1" t="s">
        <v>111</v>
      </c>
      <c r="G1125" s="1" t="s">
        <v>20083</v>
      </c>
      <c r="H1125" s="1" t="s">
        <v>20084</v>
      </c>
      <c r="I1125" s="1" t="s">
        <v>20085</v>
      </c>
      <c r="J1125" s="1">
        <v>8310554418</v>
      </c>
      <c r="K1125" s="1" t="s">
        <v>148</v>
      </c>
      <c r="L1125" s="1" t="s">
        <v>16606</v>
      </c>
      <c r="M1125" s="1" t="s">
        <v>81</v>
      </c>
      <c r="N1125" s="1" t="s">
        <v>20086</v>
      </c>
      <c r="O1125" s="1"/>
      <c r="P1125" s="1" t="s">
        <v>1298</v>
      </c>
      <c r="Q1125" s="1" t="s">
        <v>20087</v>
      </c>
      <c r="R1125" s="1" t="s">
        <v>20088</v>
      </c>
      <c r="S1125" s="1">
        <v>9740448322</v>
      </c>
      <c r="T1125" s="1" t="s">
        <v>4581</v>
      </c>
      <c r="U1125" s="1" t="s">
        <v>20089</v>
      </c>
      <c r="V1125" s="1">
        <v>7892469730</v>
      </c>
      <c r="W1125" s="1" t="s">
        <v>273</v>
      </c>
      <c r="X1125" s="1" t="s">
        <v>20090</v>
      </c>
      <c r="Y1125" s="1" t="s">
        <v>1083</v>
      </c>
      <c r="Z1125" s="1" t="s">
        <v>1084</v>
      </c>
      <c r="AA1125" s="1" t="s">
        <v>20091</v>
      </c>
      <c r="AB1125" s="1" t="s">
        <v>1083</v>
      </c>
      <c r="AC1125" s="1" t="s">
        <v>1084</v>
      </c>
      <c r="AD1125" s="1">
        <v>7.52</v>
      </c>
      <c r="AE1125" s="1" t="s">
        <v>93</v>
      </c>
      <c r="AF1125" s="1" t="s">
        <v>20092</v>
      </c>
      <c r="AG1125" s="1" t="s">
        <v>2749</v>
      </c>
      <c r="AH1125" s="1" t="s">
        <v>166</v>
      </c>
      <c r="AI1125" s="1" t="s">
        <v>1065</v>
      </c>
      <c r="AJ1125" s="1">
        <v>86.56</v>
      </c>
      <c r="AK1125" s="1"/>
      <c r="AL1125" s="1" t="s">
        <v>20093</v>
      </c>
      <c r="AM1125" s="1" t="s">
        <v>11501</v>
      </c>
      <c r="AN1125" s="1" t="s">
        <v>433</v>
      </c>
      <c r="AO1125" s="1" t="s">
        <v>506</v>
      </c>
      <c r="AP1125" s="1">
        <v>80.5</v>
      </c>
      <c r="AQ1125" s="1"/>
      <c r="AR1125" s="1"/>
      <c r="AS1125" s="1"/>
      <c r="AT1125" s="1"/>
      <c r="AU1125" s="1"/>
      <c r="AV1125" s="1"/>
      <c r="AW1125" s="1"/>
      <c r="AX1125" s="1" t="s">
        <v>4969</v>
      </c>
      <c r="AY1125" s="1" t="s">
        <v>20094</v>
      </c>
      <c r="AZ1125" s="1" t="s">
        <v>897</v>
      </c>
      <c r="BA1125" s="1" t="s">
        <v>1584</v>
      </c>
      <c r="BB1125" s="1">
        <v>70.9</v>
      </c>
      <c r="BC1125" s="1">
        <v>7.84</v>
      </c>
      <c r="BD1125" s="1"/>
      <c r="BE1125" s="1"/>
      <c r="BF1125" s="1"/>
      <c r="BG1125" s="1"/>
      <c r="BH1125" s="1"/>
      <c r="BI1125" s="1"/>
      <c r="BJ1125" s="1" t="s">
        <v>20095</v>
      </c>
      <c r="BK1125" s="1"/>
      <c r="BL1125" s="1"/>
      <c r="BM1125" s="1" t="s">
        <v>20096</v>
      </c>
      <c r="BN1125" s="1">
        <v>34</v>
      </c>
      <c r="BO1125" s="1"/>
      <c r="BP1125" s="1" t="str">
        <f>HYPERLINK("https://nconnect.nicmar.ac.in/storage/profile/ProfilePhoto_P25701059_618749.jpg","Download")</f>
        <v>0</v>
      </c>
      <c r="BQ1125" s="3"/>
      <c r="BR1125" s="3"/>
    </row>
    <row r="1126" spans="1:70">
      <c r="A1126" s="1" t="s">
        <v>1563</v>
      </c>
      <c r="B1126" s="1" t="s">
        <v>1269</v>
      </c>
      <c r="C1126" s="1" t="s">
        <v>20097</v>
      </c>
      <c r="D1126" s="1" t="s">
        <v>835</v>
      </c>
      <c r="E1126" s="1" t="s">
        <v>20098</v>
      </c>
      <c r="F1126" s="1" t="s">
        <v>20099</v>
      </c>
      <c r="G1126" s="1" t="s">
        <v>20100</v>
      </c>
      <c r="H1126" s="1" t="s">
        <v>20101</v>
      </c>
      <c r="I1126" s="1" t="s">
        <v>20102</v>
      </c>
      <c r="J1126" s="1">
        <v>8356041344</v>
      </c>
      <c r="K1126" s="1" t="s">
        <v>79</v>
      </c>
      <c r="L1126" s="1" t="s">
        <v>10391</v>
      </c>
      <c r="M1126" s="1" t="s">
        <v>81</v>
      </c>
      <c r="N1126" s="1" t="s">
        <v>1418</v>
      </c>
      <c r="O1126" s="1"/>
      <c r="P1126" s="1" t="s">
        <v>1323</v>
      </c>
      <c r="Q1126" s="1" t="s">
        <v>20103</v>
      </c>
      <c r="R1126" s="1" t="s">
        <v>20104</v>
      </c>
      <c r="S1126" s="1">
        <v>8080225626</v>
      </c>
      <c r="T1126" s="1" t="s">
        <v>20105</v>
      </c>
      <c r="U1126" s="1" t="s">
        <v>20106</v>
      </c>
      <c r="V1126" s="1">
        <v>9833733249</v>
      </c>
      <c r="W1126" s="1" t="s">
        <v>89</v>
      </c>
      <c r="X1126" s="1" t="s">
        <v>20107</v>
      </c>
      <c r="Y1126" s="1" t="s">
        <v>766</v>
      </c>
      <c r="Z1126" s="1" t="s">
        <v>92</v>
      </c>
      <c r="AA1126" s="1" t="s">
        <v>20107</v>
      </c>
      <c r="AB1126" s="1" t="s">
        <v>766</v>
      </c>
      <c r="AC1126" s="1" t="s">
        <v>92</v>
      </c>
      <c r="AD1126" s="1" t="s">
        <v>93</v>
      </c>
      <c r="AE1126" s="1" t="s">
        <v>93</v>
      </c>
      <c r="AF1126" s="1" t="s">
        <v>20108</v>
      </c>
      <c r="AG1126" s="1" t="s">
        <v>20109</v>
      </c>
      <c r="AH1126" s="1" t="s">
        <v>161</v>
      </c>
      <c r="AI1126" s="1" t="s">
        <v>162</v>
      </c>
      <c r="AJ1126" s="1">
        <v>71.6</v>
      </c>
      <c r="AK1126" s="1"/>
      <c r="AL1126" s="1"/>
      <c r="AM1126" s="1"/>
      <c r="AN1126" s="1"/>
      <c r="AO1126" s="1"/>
      <c r="AP1126" s="1"/>
      <c r="AQ1126" s="1"/>
      <c r="AR1126" s="1" t="s">
        <v>98</v>
      </c>
      <c r="AS1126" s="1" t="s">
        <v>20110</v>
      </c>
      <c r="AT1126" s="1" t="s">
        <v>733</v>
      </c>
      <c r="AU1126" s="1" t="s">
        <v>433</v>
      </c>
      <c r="AV1126" s="1">
        <v>72.18</v>
      </c>
      <c r="AW1126" s="1"/>
      <c r="AX1126" s="1" t="s">
        <v>253</v>
      </c>
      <c r="AY1126" s="1" t="s">
        <v>20111</v>
      </c>
      <c r="AZ1126" s="1" t="s">
        <v>201</v>
      </c>
      <c r="BA1126" s="1" t="s">
        <v>105</v>
      </c>
      <c r="BB1126" s="1">
        <v>74.4</v>
      </c>
      <c r="BC1126" s="1"/>
      <c r="BD1126" s="1"/>
      <c r="BE1126" s="1"/>
      <c r="BF1126" s="1"/>
      <c r="BG1126" s="1"/>
      <c r="BH1126" s="1"/>
      <c r="BI1126" s="1"/>
      <c r="BJ1126" s="1" t="s">
        <v>364</v>
      </c>
      <c r="BK1126" s="1" t="s">
        <v>20112</v>
      </c>
      <c r="BL1126" s="1" t="s">
        <v>1523</v>
      </c>
      <c r="BM1126" s="1" t="s">
        <v>20113</v>
      </c>
      <c r="BN1126" s="1">
        <v>72</v>
      </c>
      <c r="BO1126" s="1"/>
      <c r="BP1126" s="1" t="str">
        <f>HYPERLINK("https://nconnect.nicmar.ac.in/storage/profile/ProfilePhoto_P25701060_532694.jpg","Download")</f>
        <v>0</v>
      </c>
      <c r="BQ1126" s="3"/>
      <c r="BR1126" s="3"/>
    </row>
    <row r="1127" spans="1:70">
      <c r="A1127" s="1" t="s">
        <v>1563</v>
      </c>
      <c r="B1127" s="1" t="s">
        <v>1269</v>
      </c>
      <c r="C1127" s="1" t="s">
        <v>20114</v>
      </c>
      <c r="D1127" s="1" t="s">
        <v>20115</v>
      </c>
      <c r="E1127" s="1"/>
      <c r="F1127" s="1" t="s">
        <v>15419</v>
      </c>
      <c r="G1127" s="1" t="s">
        <v>20116</v>
      </c>
      <c r="H1127" s="1" t="s">
        <v>20117</v>
      </c>
      <c r="I1127" s="1" t="s">
        <v>20118</v>
      </c>
      <c r="J1127" s="1">
        <v>9330372646</v>
      </c>
      <c r="K1127" s="1" t="s">
        <v>79</v>
      </c>
      <c r="L1127" s="1" t="s">
        <v>17420</v>
      </c>
      <c r="M1127" s="1" t="s">
        <v>81</v>
      </c>
      <c r="N1127" s="1" t="s">
        <v>12797</v>
      </c>
      <c r="O1127" s="1"/>
      <c r="P1127" s="1" t="s">
        <v>1278</v>
      </c>
      <c r="Q1127" s="1" t="s">
        <v>20119</v>
      </c>
      <c r="R1127" s="1" t="s">
        <v>20120</v>
      </c>
      <c r="S1127" s="1">
        <v>9830827767</v>
      </c>
      <c r="T1127" s="1" t="s">
        <v>763</v>
      </c>
      <c r="U1127" s="1" t="s">
        <v>20121</v>
      </c>
      <c r="V1127" s="1">
        <v>9051451485</v>
      </c>
      <c r="W1127" s="1" t="s">
        <v>89</v>
      </c>
      <c r="X1127" s="1" t="s">
        <v>20122</v>
      </c>
      <c r="Y1127" s="1" t="s">
        <v>191</v>
      </c>
      <c r="Z1127" s="1" t="s">
        <v>92</v>
      </c>
      <c r="AA1127" s="1" t="s">
        <v>20123</v>
      </c>
      <c r="AB1127" s="1" t="s">
        <v>2072</v>
      </c>
      <c r="AC1127" s="1" t="s">
        <v>783</v>
      </c>
      <c r="AD1127" s="1">
        <v>8.73</v>
      </c>
      <c r="AE1127" s="1" t="s">
        <v>93</v>
      </c>
      <c r="AF1127" s="1" t="s">
        <v>20124</v>
      </c>
      <c r="AG1127" s="1" t="s">
        <v>19249</v>
      </c>
      <c r="AH1127" s="1" t="s">
        <v>279</v>
      </c>
      <c r="AI1127" s="1" t="s">
        <v>479</v>
      </c>
      <c r="AJ1127" s="1">
        <v>86.67</v>
      </c>
      <c r="AK1127" s="1"/>
      <c r="AL1127" s="1" t="s">
        <v>20125</v>
      </c>
      <c r="AM1127" s="1" t="s">
        <v>20126</v>
      </c>
      <c r="AN1127" s="1" t="s">
        <v>479</v>
      </c>
      <c r="AO1127" s="1" t="s">
        <v>308</v>
      </c>
      <c r="AP1127" s="1">
        <v>83</v>
      </c>
      <c r="AQ1127" s="1"/>
      <c r="AR1127" s="1"/>
      <c r="AS1127" s="1"/>
      <c r="AT1127" s="1"/>
      <c r="AU1127" s="1"/>
      <c r="AV1127" s="1"/>
      <c r="AW1127" s="1"/>
      <c r="AX1127" s="1" t="s">
        <v>20127</v>
      </c>
      <c r="AY1127" s="1" t="s">
        <v>20128</v>
      </c>
      <c r="AZ1127" s="1" t="s">
        <v>201</v>
      </c>
      <c r="BA1127" s="1" t="s">
        <v>549</v>
      </c>
      <c r="BB1127" s="1">
        <v>69.53</v>
      </c>
      <c r="BC1127" s="1"/>
      <c r="BD1127" s="1"/>
      <c r="BE1127" s="1"/>
      <c r="BF1127" s="1"/>
      <c r="BG1127" s="1"/>
      <c r="BH1127" s="1"/>
      <c r="BI1127" s="1"/>
      <c r="BJ1127" s="1" t="s">
        <v>734</v>
      </c>
      <c r="BK1127" s="1" t="s">
        <v>20129</v>
      </c>
      <c r="BL1127" s="1" t="s">
        <v>1385</v>
      </c>
      <c r="BM1127" s="1" t="s">
        <v>20130</v>
      </c>
      <c r="BN1127" s="1">
        <v>9</v>
      </c>
      <c r="BO1127" s="1"/>
      <c r="BP1127" s="1" t="str">
        <f>HYPERLINK("https://nconnect.nicmar.ac.in/storage/profile/ProfilePhoto_P25701061_738146.jpg","Download")</f>
        <v>0</v>
      </c>
      <c r="BQ1127" s="3"/>
      <c r="BR1127" s="3"/>
    </row>
    <row r="1128" spans="1:70">
      <c r="A1128" s="1" t="s">
        <v>1563</v>
      </c>
      <c r="B1128" s="1" t="s">
        <v>1269</v>
      </c>
      <c r="C1128" s="1" t="s">
        <v>20131</v>
      </c>
      <c r="D1128" s="1" t="s">
        <v>4996</v>
      </c>
      <c r="E1128" s="1" t="s">
        <v>444</v>
      </c>
      <c r="F1128" s="1" t="s">
        <v>20132</v>
      </c>
      <c r="G1128" s="1" t="s">
        <v>20133</v>
      </c>
      <c r="H1128" s="1" t="s">
        <v>20134</v>
      </c>
      <c r="I1128" s="1" t="s">
        <v>20135</v>
      </c>
      <c r="J1128" s="1">
        <v>8669116038</v>
      </c>
      <c r="K1128" s="1" t="s">
        <v>79</v>
      </c>
      <c r="L1128" s="1" t="s">
        <v>2090</v>
      </c>
      <c r="M1128" s="1" t="s">
        <v>81</v>
      </c>
      <c r="N1128" s="1" t="s">
        <v>18356</v>
      </c>
      <c r="O1128" s="1" t="s">
        <v>20136</v>
      </c>
      <c r="P1128" s="1" t="s">
        <v>1298</v>
      </c>
      <c r="Q1128" s="1" t="s">
        <v>20137</v>
      </c>
      <c r="R1128" s="1" t="s">
        <v>20138</v>
      </c>
      <c r="S1128" s="1">
        <v>8007093453</v>
      </c>
      <c r="T1128" s="1" t="s">
        <v>20139</v>
      </c>
      <c r="U1128" s="1" t="s">
        <v>20140</v>
      </c>
      <c r="V1128" s="1">
        <v>9689548771</v>
      </c>
      <c r="W1128" s="1" t="s">
        <v>89</v>
      </c>
      <c r="X1128" s="1" t="s">
        <v>20141</v>
      </c>
      <c r="Y1128" s="1" t="s">
        <v>7266</v>
      </c>
      <c r="Z1128" s="1" t="s">
        <v>500</v>
      </c>
      <c r="AA1128" s="1" t="s">
        <v>20141</v>
      </c>
      <c r="AB1128" s="1" t="s">
        <v>7266</v>
      </c>
      <c r="AC1128" s="1" t="s">
        <v>500</v>
      </c>
      <c r="AD1128" s="1">
        <v>8.51</v>
      </c>
      <c r="AE1128" s="1" t="s">
        <v>93</v>
      </c>
      <c r="AF1128" s="1" t="s">
        <v>20142</v>
      </c>
      <c r="AG1128" s="1" t="s">
        <v>20143</v>
      </c>
      <c r="AH1128" s="1" t="s">
        <v>161</v>
      </c>
      <c r="AI1128" s="1" t="s">
        <v>527</v>
      </c>
      <c r="AJ1128" s="1">
        <v>80.83</v>
      </c>
      <c r="AK1128" s="1"/>
      <c r="AL1128" s="1" t="s">
        <v>20144</v>
      </c>
      <c r="AM1128" s="1" t="s">
        <v>20143</v>
      </c>
      <c r="AN1128" s="1" t="s">
        <v>165</v>
      </c>
      <c r="AO1128" s="1" t="s">
        <v>166</v>
      </c>
      <c r="AP1128" s="1">
        <v>66.67</v>
      </c>
      <c r="AQ1128" s="1"/>
      <c r="AR1128" s="1"/>
      <c r="AS1128" s="1"/>
      <c r="AT1128" s="1"/>
      <c r="AU1128" s="1"/>
      <c r="AV1128" s="1"/>
      <c r="AW1128" s="1"/>
      <c r="AX1128" s="1" t="s">
        <v>11849</v>
      </c>
      <c r="AY1128" s="1" t="s">
        <v>20145</v>
      </c>
      <c r="AZ1128" s="1" t="s">
        <v>169</v>
      </c>
      <c r="BA1128" s="1" t="s">
        <v>481</v>
      </c>
      <c r="BB1128" s="1">
        <v>66.92</v>
      </c>
      <c r="BC1128" s="1"/>
      <c r="BD1128" s="1"/>
      <c r="BE1128" s="1"/>
      <c r="BF1128" s="1"/>
      <c r="BG1128" s="1"/>
      <c r="BH1128" s="1"/>
      <c r="BI1128" s="1"/>
      <c r="BJ1128" s="1" t="s">
        <v>20146</v>
      </c>
      <c r="BK1128" s="1" t="s">
        <v>20147</v>
      </c>
      <c r="BL1128" s="1" t="s">
        <v>2305</v>
      </c>
      <c r="BM1128" s="1" t="s">
        <v>20148</v>
      </c>
      <c r="BN1128" s="1">
        <v>37</v>
      </c>
      <c r="BO1128" s="1" t="s">
        <v>20149</v>
      </c>
      <c r="BP1128" s="1" t="str">
        <f>HYPERLINK("https://nconnect.nicmar.ac.in/storage/profile/ProfilePhoto_P25701062_418765.jpg","Download")</f>
        <v>0</v>
      </c>
      <c r="BQ1128" s="3"/>
      <c r="BR1128" s="3"/>
    </row>
    <row r="1129" spans="1:70">
      <c r="A1129" s="1" t="s">
        <v>1563</v>
      </c>
      <c r="B1129" s="1" t="s">
        <v>1269</v>
      </c>
      <c r="C1129" s="1" t="s">
        <v>20150</v>
      </c>
      <c r="D1129" s="1" t="s">
        <v>16987</v>
      </c>
      <c r="E1129" s="1"/>
      <c r="F1129" s="1" t="s">
        <v>16197</v>
      </c>
      <c r="G1129" s="1" t="s">
        <v>20151</v>
      </c>
      <c r="H1129" s="1" t="s">
        <v>20152</v>
      </c>
      <c r="I1129" s="1" t="s">
        <v>20153</v>
      </c>
      <c r="J1129" s="1">
        <v>9556521573</v>
      </c>
      <c r="K1129" s="1" t="s">
        <v>79</v>
      </c>
      <c r="L1129" s="1" t="s">
        <v>17255</v>
      </c>
      <c r="M1129" s="1" t="s">
        <v>81</v>
      </c>
      <c r="N1129" s="1" t="s">
        <v>1746</v>
      </c>
      <c r="O1129" s="1"/>
      <c r="P1129" s="1" t="s">
        <v>1298</v>
      </c>
      <c r="Q1129" s="1" t="s">
        <v>20154</v>
      </c>
      <c r="R1129" s="1" t="s">
        <v>20155</v>
      </c>
      <c r="S1129" s="1">
        <v>9437158463</v>
      </c>
      <c r="T1129" s="1" t="s">
        <v>496</v>
      </c>
      <c r="U1129" s="1" t="s">
        <v>20156</v>
      </c>
      <c r="V1129" s="1">
        <v>7008316854</v>
      </c>
      <c r="W1129" s="1" t="s">
        <v>651</v>
      </c>
      <c r="X1129" s="1" t="s">
        <v>20157</v>
      </c>
      <c r="Y1129" s="1" t="s">
        <v>10242</v>
      </c>
      <c r="Z1129" s="1" t="s">
        <v>1731</v>
      </c>
      <c r="AA1129" s="1" t="s">
        <v>20157</v>
      </c>
      <c r="AB1129" s="1" t="s">
        <v>10242</v>
      </c>
      <c r="AC1129" s="1" t="s">
        <v>1731</v>
      </c>
      <c r="AD1129" s="1">
        <v>8.9</v>
      </c>
      <c r="AE1129" s="1" t="s">
        <v>93</v>
      </c>
      <c r="AF1129" s="1" t="s">
        <v>20158</v>
      </c>
      <c r="AG1129" s="1" t="s">
        <v>20159</v>
      </c>
      <c r="AH1129" s="1" t="s">
        <v>162</v>
      </c>
      <c r="AI1129" s="1" t="s">
        <v>383</v>
      </c>
      <c r="AJ1129" s="1">
        <v>95</v>
      </c>
      <c r="AK1129" s="1">
        <v>10</v>
      </c>
      <c r="AL1129" s="1" t="s">
        <v>20160</v>
      </c>
      <c r="AM1129" s="1" t="s">
        <v>20161</v>
      </c>
      <c r="AN1129" s="1" t="s">
        <v>169</v>
      </c>
      <c r="AO1129" s="1" t="s">
        <v>433</v>
      </c>
      <c r="AP1129" s="1">
        <v>69</v>
      </c>
      <c r="AQ1129" s="1"/>
      <c r="AR1129" s="1"/>
      <c r="AS1129" s="1"/>
      <c r="AT1129" s="1"/>
      <c r="AU1129" s="1"/>
      <c r="AV1129" s="1"/>
      <c r="AW1129" s="1"/>
      <c r="AX1129" s="1" t="s">
        <v>15548</v>
      </c>
      <c r="AY1129" s="1" t="s">
        <v>15548</v>
      </c>
      <c r="AZ1129" s="1" t="s">
        <v>201</v>
      </c>
      <c r="BA1129" s="1" t="s">
        <v>413</v>
      </c>
      <c r="BB1129" s="1">
        <v>81.98</v>
      </c>
      <c r="BC1129" s="1">
        <v>8.19</v>
      </c>
      <c r="BD1129" s="1"/>
      <c r="BE1129" s="1"/>
      <c r="BF1129" s="1"/>
      <c r="BG1129" s="1"/>
      <c r="BH1129" s="1"/>
      <c r="BI1129" s="1"/>
      <c r="BJ1129" s="1" t="s">
        <v>20162</v>
      </c>
      <c r="BK1129" s="1" t="s">
        <v>20163</v>
      </c>
      <c r="BL1129" s="1" t="s">
        <v>1896</v>
      </c>
      <c r="BM1129" s="1" t="s">
        <v>20164</v>
      </c>
      <c r="BN1129" s="1">
        <v>41</v>
      </c>
      <c r="BO1129" s="1"/>
      <c r="BP1129" s="1" t="str">
        <f>HYPERLINK("https://nconnect.nicmar.ac.in/storage/profile/ProfilePhoto_P25701063_213945.jpg","Download")</f>
        <v>0</v>
      </c>
      <c r="BQ1129" s="3"/>
      <c r="BR1129" s="3"/>
    </row>
    <row r="1130" spans="1:70">
      <c r="A1130" s="1" t="s">
        <v>1563</v>
      </c>
      <c r="B1130" s="1" t="s">
        <v>1269</v>
      </c>
      <c r="C1130" s="1" t="s">
        <v>20165</v>
      </c>
      <c r="D1130" s="1" t="s">
        <v>20166</v>
      </c>
      <c r="E1130" s="1" t="s">
        <v>1039</v>
      </c>
      <c r="F1130" s="1" t="s">
        <v>20167</v>
      </c>
      <c r="G1130" s="1" t="s">
        <v>20168</v>
      </c>
      <c r="H1130" s="1" t="s">
        <v>20169</v>
      </c>
      <c r="I1130" s="1" t="s">
        <v>20170</v>
      </c>
      <c r="J1130" s="1">
        <v>7507154125</v>
      </c>
      <c r="K1130" s="1" t="s">
        <v>148</v>
      </c>
      <c r="L1130" s="1" t="s">
        <v>20171</v>
      </c>
      <c r="M1130" s="1" t="s">
        <v>81</v>
      </c>
      <c r="N1130" s="1" t="s">
        <v>20172</v>
      </c>
      <c r="O1130" s="1"/>
      <c r="P1130" s="1" t="s">
        <v>1278</v>
      </c>
      <c r="Q1130" s="1" t="s">
        <v>20173</v>
      </c>
      <c r="R1130" s="1" t="s">
        <v>20174</v>
      </c>
      <c r="S1130" s="1">
        <v>9823178125</v>
      </c>
      <c r="T1130" s="1" t="s">
        <v>763</v>
      </c>
      <c r="U1130" s="1" t="s">
        <v>20175</v>
      </c>
      <c r="V1130" s="1">
        <v>9422113125</v>
      </c>
      <c r="W1130" s="1" t="s">
        <v>496</v>
      </c>
      <c r="X1130" s="1" t="s">
        <v>20176</v>
      </c>
      <c r="Y1130" s="1" t="s">
        <v>191</v>
      </c>
      <c r="Z1130" s="1" t="s">
        <v>92</v>
      </c>
      <c r="AA1130" s="1" t="s">
        <v>20177</v>
      </c>
      <c r="AB1130" s="1" t="s">
        <v>405</v>
      </c>
      <c r="AC1130" s="1" t="s">
        <v>92</v>
      </c>
      <c r="AD1130" s="1">
        <v>9.59</v>
      </c>
      <c r="AE1130" s="1" t="s">
        <v>93</v>
      </c>
      <c r="AF1130" s="1" t="s">
        <v>20178</v>
      </c>
      <c r="AG1130" s="1" t="s">
        <v>8066</v>
      </c>
      <c r="AH1130" s="1" t="s">
        <v>162</v>
      </c>
      <c r="AI1130" s="1" t="s">
        <v>195</v>
      </c>
      <c r="AJ1130" s="1">
        <v>96.2</v>
      </c>
      <c r="AK1130" s="1"/>
      <c r="AL1130" s="1" t="s">
        <v>20179</v>
      </c>
      <c r="AM1130" s="1" t="s">
        <v>8066</v>
      </c>
      <c r="AN1130" s="1" t="s">
        <v>101</v>
      </c>
      <c r="AO1130" s="1" t="s">
        <v>198</v>
      </c>
      <c r="AP1130" s="1">
        <v>79.23</v>
      </c>
      <c r="AQ1130" s="1"/>
      <c r="AR1130" s="1"/>
      <c r="AS1130" s="1"/>
      <c r="AT1130" s="1"/>
      <c r="AU1130" s="1"/>
      <c r="AV1130" s="1"/>
      <c r="AW1130" s="1"/>
      <c r="AX1130" s="1" t="s">
        <v>361</v>
      </c>
      <c r="AY1130" s="1" t="s">
        <v>20180</v>
      </c>
      <c r="AZ1130" s="1" t="s">
        <v>201</v>
      </c>
      <c r="BA1130" s="1" t="s">
        <v>702</v>
      </c>
      <c r="BB1130" s="1">
        <v>72.96</v>
      </c>
      <c r="BC1130" s="1">
        <v>7.68</v>
      </c>
      <c r="BD1130" s="1"/>
      <c r="BE1130" s="1"/>
      <c r="BF1130" s="1"/>
      <c r="BG1130" s="1"/>
      <c r="BH1130" s="1"/>
      <c r="BI1130" s="1"/>
      <c r="BJ1130" s="1" t="s">
        <v>20181</v>
      </c>
      <c r="BK1130" s="1" t="s">
        <v>20182</v>
      </c>
      <c r="BL1130" s="1" t="s">
        <v>1920</v>
      </c>
      <c r="BM1130" s="1" t="s">
        <v>20183</v>
      </c>
      <c r="BN1130" s="1">
        <v>76</v>
      </c>
      <c r="BO1130" s="1" t="s">
        <v>20184</v>
      </c>
      <c r="BP1130" s="1" t="str">
        <f>HYPERLINK("https://nconnect.nicmar.ac.in/storage/profile/ProfilePhoto_P25701064_689127.jpg","Download")</f>
        <v>0</v>
      </c>
      <c r="BQ1130" s="3"/>
      <c r="BR1130" s="3"/>
    </row>
    <row r="1131" spans="1:70">
      <c r="A1131" s="1" t="s">
        <v>1563</v>
      </c>
      <c r="B1131" s="1" t="s">
        <v>1269</v>
      </c>
      <c r="C1131" s="1" t="s">
        <v>20185</v>
      </c>
      <c r="D1131" s="1" t="s">
        <v>19421</v>
      </c>
      <c r="E1131" s="1" t="s">
        <v>20186</v>
      </c>
      <c r="F1131" s="1" t="s">
        <v>20187</v>
      </c>
      <c r="G1131" s="1" t="s">
        <v>20188</v>
      </c>
      <c r="H1131" s="1" t="s">
        <v>20189</v>
      </c>
      <c r="I1131" s="1" t="s">
        <v>20190</v>
      </c>
      <c r="J1131" s="1">
        <v>9447200447</v>
      </c>
      <c r="K1131" s="1" t="s">
        <v>148</v>
      </c>
      <c r="L1131" s="1" t="s">
        <v>20191</v>
      </c>
      <c r="M1131" s="1" t="s">
        <v>81</v>
      </c>
      <c r="N1131" s="1" t="s">
        <v>2134</v>
      </c>
      <c r="O1131" s="1"/>
      <c r="P1131" s="1" t="s">
        <v>1298</v>
      </c>
      <c r="Q1131" s="1" t="s">
        <v>20192</v>
      </c>
      <c r="R1131" s="1" t="s">
        <v>20193</v>
      </c>
      <c r="S1131" s="1">
        <v>7510866844</v>
      </c>
      <c r="T1131" s="1" t="s">
        <v>20194</v>
      </c>
      <c r="U1131" s="1" t="s">
        <v>20195</v>
      </c>
      <c r="V1131" s="1">
        <v>7510866844</v>
      </c>
      <c r="W1131" s="1" t="s">
        <v>271</v>
      </c>
      <c r="X1131" s="1" t="s">
        <v>20196</v>
      </c>
      <c r="Y1131" s="1" t="s">
        <v>3998</v>
      </c>
      <c r="Z1131" s="1" t="s">
        <v>125</v>
      </c>
      <c r="AA1131" s="1" t="s">
        <v>20197</v>
      </c>
      <c r="AB1131" s="1" t="s">
        <v>20198</v>
      </c>
      <c r="AC1131" s="1" t="s">
        <v>125</v>
      </c>
      <c r="AD1131" s="1">
        <v>9.33</v>
      </c>
      <c r="AE1131" s="1" t="s">
        <v>93</v>
      </c>
      <c r="AF1131" s="1" t="s">
        <v>20199</v>
      </c>
      <c r="AG1131" s="1" t="s">
        <v>3963</v>
      </c>
      <c r="AH1131" s="1" t="s">
        <v>101</v>
      </c>
      <c r="AI1131" s="1" t="s">
        <v>308</v>
      </c>
      <c r="AJ1131" s="1">
        <v>96.2</v>
      </c>
      <c r="AK1131" s="1">
        <v>0</v>
      </c>
      <c r="AL1131" s="1" t="s">
        <v>20200</v>
      </c>
      <c r="AM1131" s="1" t="s">
        <v>3963</v>
      </c>
      <c r="AN1131" s="1" t="s">
        <v>699</v>
      </c>
      <c r="AO1131" s="1" t="s">
        <v>506</v>
      </c>
      <c r="AP1131" s="1">
        <v>89.6</v>
      </c>
      <c r="AQ1131" s="1">
        <v>0</v>
      </c>
      <c r="AR1131" s="1"/>
      <c r="AS1131" s="1"/>
      <c r="AT1131" s="1"/>
      <c r="AU1131" s="1"/>
      <c r="AV1131" s="1"/>
      <c r="AW1131" s="1"/>
      <c r="AX1131" s="1" t="s">
        <v>132</v>
      </c>
      <c r="AY1131" s="1" t="s">
        <v>20201</v>
      </c>
      <c r="AZ1131" s="1" t="s">
        <v>135</v>
      </c>
      <c r="BA1131" s="1" t="s">
        <v>1408</v>
      </c>
      <c r="BB1131" s="1">
        <v>93.3</v>
      </c>
      <c r="BC1131" s="1">
        <v>9.33</v>
      </c>
      <c r="BD1131" s="1"/>
      <c r="BE1131" s="1"/>
      <c r="BF1131" s="1"/>
      <c r="BG1131" s="1"/>
      <c r="BH1131" s="1"/>
      <c r="BI1131" s="1"/>
      <c r="BJ1131" s="1" t="s">
        <v>20202</v>
      </c>
      <c r="BK1131" s="1"/>
      <c r="BL1131" s="1"/>
      <c r="BM1131" s="1" t="s">
        <v>20203</v>
      </c>
      <c r="BN1131" s="1">
        <v>18</v>
      </c>
      <c r="BO1131" s="1"/>
      <c r="BP1131" s="1" t="str">
        <f>HYPERLINK("https://nconnect.nicmar.ac.in/storage/profile/ProfilePhoto_P25701065_158739.jpg","Download")</f>
        <v>0</v>
      </c>
      <c r="BQ1131" s="3"/>
      <c r="BR1131" s="3"/>
    </row>
    <row r="1132" spans="1:70">
      <c r="A1132" s="1" t="s">
        <v>1563</v>
      </c>
      <c r="B1132" s="1" t="s">
        <v>1269</v>
      </c>
      <c r="C1132" s="1" t="s">
        <v>20204</v>
      </c>
      <c r="D1132" s="1" t="s">
        <v>16785</v>
      </c>
      <c r="E1132" s="1"/>
      <c r="F1132" s="1" t="s">
        <v>4805</v>
      </c>
      <c r="G1132" s="1" t="s">
        <v>20205</v>
      </c>
      <c r="H1132" s="1" t="s">
        <v>20206</v>
      </c>
      <c r="I1132" s="1" t="s">
        <v>20207</v>
      </c>
      <c r="J1132" s="1">
        <v>9004390493</v>
      </c>
      <c r="K1132" s="1" t="s">
        <v>148</v>
      </c>
      <c r="L1132" s="1" t="s">
        <v>5871</v>
      </c>
      <c r="M1132" s="1" t="s">
        <v>81</v>
      </c>
      <c r="N1132" s="1" t="s">
        <v>7887</v>
      </c>
      <c r="O1132" s="1"/>
      <c r="P1132" s="1" t="s">
        <v>1323</v>
      </c>
      <c r="Q1132" s="1" t="s">
        <v>20208</v>
      </c>
      <c r="R1132" s="1" t="s">
        <v>20209</v>
      </c>
      <c r="S1132" s="1">
        <v>9821529199</v>
      </c>
      <c r="T1132" s="1" t="s">
        <v>763</v>
      </c>
      <c r="U1132" s="1" t="s">
        <v>20210</v>
      </c>
      <c r="V1132" s="1">
        <v>9321149199</v>
      </c>
      <c r="W1132" s="1" t="s">
        <v>651</v>
      </c>
      <c r="X1132" s="1" t="s">
        <v>20211</v>
      </c>
      <c r="Y1132" s="1" t="s">
        <v>766</v>
      </c>
      <c r="Z1132" s="1" t="s">
        <v>92</v>
      </c>
      <c r="AA1132" s="1" t="s">
        <v>20211</v>
      </c>
      <c r="AB1132" s="1" t="s">
        <v>766</v>
      </c>
      <c r="AC1132" s="1" t="s">
        <v>92</v>
      </c>
      <c r="AD1132" s="1">
        <v>8.68</v>
      </c>
      <c r="AE1132" s="1" t="s">
        <v>93</v>
      </c>
      <c r="AF1132" s="1" t="s">
        <v>20212</v>
      </c>
      <c r="AG1132" s="1" t="s">
        <v>10171</v>
      </c>
      <c r="AH1132" s="1" t="s">
        <v>162</v>
      </c>
      <c r="AI1132" s="1" t="s">
        <v>165</v>
      </c>
      <c r="AJ1132" s="1">
        <v>85.5</v>
      </c>
      <c r="AK1132" s="1">
        <v>9</v>
      </c>
      <c r="AL1132" s="1" t="s">
        <v>20212</v>
      </c>
      <c r="AM1132" s="1" t="s">
        <v>10171</v>
      </c>
      <c r="AN1132" s="1" t="s">
        <v>101</v>
      </c>
      <c r="AO1132" s="1" t="s">
        <v>308</v>
      </c>
      <c r="AP1132" s="1">
        <v>71.6</v>
      </c>
      <c r="AQ1132" s="1"/>
      <c r="AR1132" s="1"/>
      <c r="AS1132" s="1"/>
      <c r="AT1132" s="1"/>
      <c r="AU1132" s="1"/>
      <c r="AV1132" s="1"/>
      <c r="AW1132" s="1"/>
      <c r="AX1132" s="1" t="s">
        <v>253</v>
      </c>
      <c r="AY1132" s="1" t="s">
        <v>20213</v>
      </c>
      <c r="AZ1132" s="1" t="s">
        <v>310</v>
      </c>
      <c r="BA1132" s="1" t="s">
        <v>413</v>
      </c>
      <c r="BB1132" s="1">
        <v>70.68</v>
      </c>
      <c r="BC1132" s="1">
        <v>7.93</v>
      </c>
      <c r="BD1132" s="1"/>
      <c r="BE1132" s="1"/>
      <c r="BF1132" s="1"/>
      <c r="BG1132" s="1"/>
      <c r="BH1132" s="1"/>
      <c r="BI1132" s="1"/>
      <c r="BJ1132" s="1" t="s">
        <v>20214</v>
      </c>
      <c r="BK1132" s="1" t="s">
        <v>20215</v>
      </c>
      <c r="BL1132" s="1" t="s">
        <v>1220</v>
      </c>
      <c r="BM1132" s="1" t="s">
        <v>20216</v>
      </c>
      <c r="BN1132" s="1">
        <v>34</v>
      </c>
      <c r="BO1132" s="1" t="s">
        <v>20217</v>
      </c>
      <c r="BP1132" s="1" t="str">
        <f>HYPERLINK("https://nconnect.nicmar.ac.in/storage/profile/ProfilePhoto_P25701066_926834.jpg","Download")</f>
        <v>0</v>
      </c>
      <c r="BQ1132" s="3"/>
      <c r="BR1132" s="3"/>
    </row>
    <row r="1133" spans="1:70">
      <c r="A1133" s="1" t="s">
        <v>1563</v>
      </c>
      <c r="B1133" s="1" t="s">
        <v>1269</v>
      </c>
      <c r="C1133" s="1" t="s">
        <v>20218</v>
      </c>
      <c r="D1133" s="1" t="s">
        <v>985</v>
      </c>
      <c r="E1133" s="1" t="s">
        <v>17888</v>
      </c>
      <c r="F1133" s="1" t="s">
        <v>20219</v>
      </c>
      <c r="G1133" s="1" t="s">
        <v>20220</v>
      </c>
      <c r="H1133" s="1" t="s">
        <v>20221</v>
      </c>
      <c r="I1133" s="1" t="s">
        <v>20222</v>
      </c>
      <c r="J1133" s="1">
        <v>8766599124</v>
      </c>
      <c r="K1133" s="1" t="s">
        <v>148</v>
      </c>
      <c r="L1133" s="1" t="s">
        <v>20223</v>
      </c>
      <c r="M1133" s="1" t="s">
        <v>81</v>
      </c>
      <c r="N1133" s="1" t="s">
        <v>2008</v>
      </c>
      <c r="O1133" s="1"/>
      <c r="P1133" s="1" t="s">
        <v>1298</v>
      </c>
      <c r="Q1133" s="1" t="s">
        <v>20224</v>
      </c>
      <c r="R1133" s="1" t="s">
        <v>17888</v>
      </c>
      <c r="S1133" s="1">
        <v>9421874787</v>
      </c>
      <c r="T1133" s="1" t="s">
        <v>520</v>
      </c>
      <c r="U1133" s="1" t="s">
        <v>1641</v>
      </c>
      <c r="V1133" s="1">
        <v>9403840824</v>
      </c>
      <c r="W1133" s="1" t="s">
        <v>496</v>
      </c>
      <c r="X1133" s="1" t="s">
        <v>20225</v>
      </c>
      <c r="Y1133" s="1" t="s">
        <v>219</v>
      </c>
      <c r="Z1133" s="1" t="s">
        <v>92</v>
      </c>
      <c r="AA1133" s="1" t="s">
        <v>20225</v>
      </c>
      <c r="AB1133" s="1" t="s">
        <v>219</v>
      </c>
      <c r="AC1133" s="1" t="s">
        <v>92</v>
      </c>
      <c r="AD1133" s="1">
        <v>8.47</v>
      </c>
      <c r="AE1133" s="1" t="s">
        <v>93</v>
      </c>
      <c r="AF1133" s="1" t="s">
        <v>20226</v>
      </c>
      <c r="AG1133" s="1" t="s">
        <v>20227</v>
      </c>
      <c r="AH1133" s="1" t="s">
        <v>165</v>
      </c>
      <c r="AI1133" s="1" t="s">
        <v>281</v>
      </c>
      <c r="AJ1133" s="1">
        <v>86.6</v>
      </c>
      <c r="AK1133" s="1"/>
      <c r="AL1133" s="1" t="s">
        <v>20228</v>
      </c>
      <c r="AM1133" s="1" t="s">
        <v>20229</v>
      </c>
      <c r="AN1133" s="1" t="s">
        <v>308</v>
      </c>
      <c r="AO1133" s="1" t="s">
        <v>360</v>
      </c>
      <c r="AP1133" s="1">
        <v>62.92</v>
      </c>
      <c r="AQ1133" s="1"/>
      <c r="AR1133" s="1"/>
      <c r="AS1133" s="1"/>
      <c r="AT1133" s="1"/>
      <c r="AU1133" s="1"/>
      <c r="AV1133" s="1"/>
      <c r="AW1133" s="1"/>
      <c r="AX1133" s="1" t="s">
        <v>253</v>
      </c>
      <c r="AY1133" s="1" t="s">
        <v>19416</v>
      </c>
      <c r="AZ1133" s="1" t="s">
        <v>363</v>
      </c>
      <c r="BA1133" s="1" t="s">
        <v>1408</v>
      </c>
      <c r="BB1133" s="1">
        <v>74.23</v>
      </c>
      <c r="BC1133" s="1">
        <v>8.41</v>
      </c>
      <c r="BD1133" s="1"/>
      <c r="BE1133" s="1"/>
      <c r="BF1133" s="1"/>
      <c r="BG1133" s="1"/>
      <c r="BH1133" s="1"/>
      <c r="BI1133" s="1"/>
      <c r="BJ1133" s="1" t="s">
        <v>20230</v>
      </c>
      <c r="BK1133" s="1"/>
      <c r="BL1133" s="1"/>
      <c r="BM1133" s="1" t="s">
        <v>20231</v>
      </c>
      <c r="BN1133" s="1">
        <v>25</v>
      </c>
      <c r="BO1133" s="1" t="s">
        <v>20232</v>
      </c>
      <c r="BP1133" s="1" t="str">
        <f>HYPERLINK("https://nconnect.nicmar.ac.in/storage/profile/ProfilePhoto_P25701067_261389.jpg","Download")</f>
        <v>0</v>
      </c>
      <c r="BQ1133" s="3"/>
      <c r="BR1133" s="3"/>
    </row>
    <row r="1134" spans="1:70">
      <c r="A1134" s="1" t="s">
        <v>1563</v>
      </c>
      <c r="B1134" s="1" t="s">
        <v>1269</v>
      </c>
      <c r="C1134" s="1" t="s">
        <v>20233</v>
      </c>
      <c r="D1134" s="1" t="s">
        <v>7315</v>
      </c>
      <c r="E1134" s="1" t="s">
        <v>1546</v>
      </c>
      <c r="F1134" s="1" t="s">
        <v>903</v>
      </c>
      <c r="G1134" s="1" t="s">
        <v>20234</v>
      </c>
      <c r="H1134" s="1" t="s">
        <v>20235</v>
      </c>
      <c r="I1134" s="1" t="s">
        <v>20236</v>
      </c>
      <c r="J1134" s="1">
        <v>9011527399</v>
      </c>
      <c r="K1134" s="1" t="s">
        <v>79</v>
      </c>
      <c r="L1134" s="1" t="s">
        <v>6953</v>
      </c>
      <c r="M1134" s="1" t="s">
        <v>81</v>
      </c>
      <c r="N1134" s="1" t="s">
        <v>3236</v>
      </c>
      <c r="O1134" s="1" t="s">
        <v>20237</v>
      </c>
      <c r="P1134" s="1" t="s">
        <v>1323</v>
      </c>
      <c r="Q1134" s="1" t="s">
        <v>20238</v>
      </c>
      <c r="R1134" s="1" t="s">
        <v>20239</v>
      </c>
      <c r="S1134" s="1">
        <v>9921492794</v>
      </c>
      <c r="T1134" s="1" t="s">
        <v>20240</v>
      </c>
      <c r="U1134" s="1" t="s">
        <v>20241</v>
      </c>
      <c r="V1134" s="1">
        <v>8956941788</v>
      </c>
      <c r="W1134" s="1" t="s">
        <v>156</v>
      </c>
      <c r="X1134" s="1" t="s">
        <v>20242</v>
      </c>
      <c r="Y1134" s="1" t="s">
        <v>191</v>
      </c>
      <c r="Z1134" s="1" t="s">
        <v>92</v>
      </c>
      <c r="AA1134" s="1" t="s">
        <v>20243</v>
      </c>
      <c r="AB1134" s="1" t="s">
        <v>5937</v>
      </c>
      <c r="AC1134" s="1" t="s">
        <v>92</v>
      </c>
      <c r="AD1134" s="1">
        <v>7.24</v>
      </c>
      <c r="AE1134" s="1" t="s">
        <v>93</v>
      </c>
      <c r="AF1134" s="1" t="s">
        <v>20244</v>
      </c>
      <c r="AG1134" s="1" t="s">
        <v>20245</v>
      </c>
      <c r="AH1134" s="1" t="s">
        <v>433</v>
      </c>
      <c r="AI1134" s="1" t="s">
        <v>409</v>
      </c>
      <c r="AJ1134" s="1">
        <v>76.4</v>
      </c>
      <c r="AK1134" s="1">
        <v>0</v>
      </c>
      <c r="AL1134" s="1" t="s">
        <v>20246</v>
      </c>
      <c r="AM1134" s="1" t="s">
        <v>20247</v>
      </c>
      <c r="AN1134" s="1" t="s">
        <v>1131</v>
      </c>
      <c r="AO1134" s="1" t="s">
        <v>436</v>
      </c>
      <c r="AP1134" s="1">
        <v>83</v>
      </c>
      <c r="AQ1134" s="1">
        <v>0</v>
      </c>
      <c r="AR1134" s="1"/>
      <c r="AS1134" s="1"/>
      <c r="AT1134" s="1"/>
      <c r="AU1134" s="1"/>
      <c r="AV1134" s="1"/>
      <c r="AW1134" s="1"/>
      <c r="AX1134" s="1" t="s">
        <v>361</v>
      </c>
      <c r="AY1134" s="1" t="s">
        <v>20248</v>
      </c>
      <c r="AZ1134" s="1" t="s">
        <v>897</v>
      </c>
      <c r="BA1134" s="1" t="s">
        <v>1714</v>
      </c>
      <c r="BB1134" s="1">
        <v>61.4</v>
      </c>
      <c r="BC1134" s="1">
        <v>6.89</v>
      </c>
      <c r="BD1134" s="1"/>
      <c r="BE1134" s="1"/>
      <c r="BF1134" s="1"/>
      <c r="BG1134" s="1"/>
      <c r="BH1134" s="1"/>
      <c r="BI1134" s="1"/>
      <c r="BJ1134" s="1" t="s">
        <v>2146</v>
      </c>
      <c r="BK1134" s="1"/>
      <c r="BL1134" s="1"/>
      <c r="BM1134" s="1" t="s">
        <v>20249</v>
      </c>
      <c r="BN1134" s="1">
        <v>13</v>
      </c>
      <c r="BO1134" s="1" t="s">
        <v>20250</v>
      </c>
      <c r="BP1134" s="1" t="str">
        <f>HYPERLINK("https://nconnect.nicmar.ac.in/storage/profile/ProfilePhoto_P25701068_489276.jpg","Download")</f>
        <v>0</v>
      </c>
      <c r="BQ1134" s="3"/>
      <c r="BR1134" s="3"/>
    </row>
    <row r="1135" spans="1:70">
      <c r="A1135" s="1" t="s">
        <v>1563</v>
      </c>
      <c r="B1135" s="1" t="s">
        <v>1269</v>
      </c>
      <c r="C1135" s="1" t="s">
        <v>20251</v>
      </c>
      <c r="D1135" s="1" t="s">
        <v>20252</v>
      </c>
      <c r="E1135" s="1"/>
      <c r="F1135" s="1" t="s">
        <v>10552</v>
      </c>
      <c r="G1135" s="1" t="s">
        <v>20253</v>
      </c>
      <c r="H1135" s="1" t="s">
        <v>20254</v>
      </c>
      <c r="I1135" s="1" t="s">
        <v>20255</v>
      </c>
      <c r="J1135" s="1">
        <v>8260607704</v>
      </c>
      <c r="K1135" s="1" t="s">
        <v>148</v>
      </c>
      <c r="L1135" s="1" t="s">
        <v>20256</v>
      </c>
      <c r="M1135" s="1" t="s">
        <v>81</v>
      </c>
      <c r="N1135" s="1" t="s">
        <v>20257</v>
      </c>
      <c r="O1135" s="1"/>
      <c r="P1135" s="1" t="s">
        <v>1323</v>
      </c>
      <c r="Q1135" s="1" t="s">
        <v>20258</v>
      </c>
      <c r="R1135" s="1" t="s">
        <v>20259</v>
      </c>
      <c r="S1135" s="1">
        <v>7008363900</v>
      </c>
      <c r="T1135" s="1" t="s">
        <v>216</v>
      </c>
      <c r="U1135" s="1" t="s">
        <v>20260</v>
      </c>
      <c r="V1135" s="1">
        <v>8984478363</v>
      </c>
      <c r="W1135" s="1" t="s">
        <v>89</v>
      </c>
      <c r="X1135" s="1" t="s">
        <v>20261</v>
      </c>
      <c r="Y1135" s="1" t="s">
        <v>20262</v>
      </c>
      <c r="Z1135" s="1" t="s">
        <v>1731</v>
      </c>
      <c r="AA1135" s="1" t="s">
        <v>20261</v>
      </c>
      <c r="AB1135" s="1" t="s">
        <v>20262</v>
      </c>
      <c r="AC1135" s="1" t="s">
        <v>1731</v>
      </c>
      <c r="AD1135" s="1">
        <v>7.98</v>
      </c>
      <c r="AE1135" s="1" t="s">
        <v>93</v>
      </c>
      <c r="AF1135" s="1" t="s">
        <v>20263</v>
      </c>
      <c r="AG1135" s="1" t="s">
        <v>16647</v>
      </c>
      <c r="AH1135" s="1" t="s">
        <v>678</v>
      </c>
      <c r="AI1135" s="1" t="s">
        <v>166</v>
      </c>
      <c r="AJ1135" s="1">
        <v>75.17</v>
      </c>
      <c r="AK1135" s="1"/>
      <c r="AL1135" s="1" t="s">
        <v>20264</v>
      </c>
      <c r="AM1135" s="1" t="s">
        <v>20265</v>
      </c>
      <c r="AN1135" s="1" t="s">
        <v>165</v>
      </c>
      <c r="AO1135" s="1" t="s">
        <v>920</v>
      </c>
      <c r="AP1135" s="1">
        <v>72.17</v>
      </c>
      <c r="AQ1135" s="1"/>
      <c r="AR1135" s="1"/>
      <c r="AS1135" s="1"/>
      <c r="AT1135" s="1"/>
      <c r="AU1135" s="1"/>
      <c r="AV1135" s="1"/>
      <c r="AW1135" s="1"/>
      <c r="AX1135" s="1" t="s">
        <v>4911</v>
      </c>
      <c r="AY1135" s="1" t="s">
        <v>20266</v>
      </c>
      <c r="AZ1135" s="1" t="s">
        <v>228</v>
      </c>
      <c r="BA1135" s="1" t="s">
        <v>413</v>
      </c>
      <c r="BB1135" s="1">
        <v>76.4</v>
      </c>
      <c r="BC1135" s="1">
        <v>8.14</v>
      </c>
      <c r="BD1135" s="1"/>
      <c r="BE1135" s="1"/>
      <c r="BF1135" s="1"/>
      <c r="BG1135" s="1"/>
      <c r="BH1135" s="1"/>
      <c r="BI1135" s="1"/>
      <c r="BJ1135" s="1" t="s">
        <v>20267</v>
      </c>
      <c r="BK1135" s="1"/>
      <c r="BL1135" s="1"/>
      <c r="BM1135" s="1" t="s">
        <v>20268</v>
      </c>
      <c r="BN1135" s="1">
        <v>14</v>
      </c>
      <c r="BO1135" s="1" t="s">
        <v>20269</v>
      </c>
      <c r="BP1135" s="1" t="str">
        <f>HYPERLINK("https://nconnect.nicmar.ac.in/storage/profile/ProfilePhoto_P25701070_249536.jpg","Download")</f>
        <v>0</v>
      </c>
      <c r="BQ1135" s="3"/>
      <c r="BR1135" s="3"/>
    </row>
    <row r="1136" spans="1:70">
      <c r="A1136" s="1" t="s">
        <v>1563</v>
      </c>
      <c r="B1136" s="1" t="s">
        <v>1269</v>
      </c>
      <c r="C1136" s="1" t="s">
        <v>20270</v>
      </c>
      <c r="D1136" s="1" t="s">
        <v>417</v>
      </c>
      <c r="E1136" s="1" t="s">
        <v>4025</v>
      </c>
      <c r="F1136" s="1" t="s">
        <v>20271</v>
      </c>
      <c r="G1136" s="1" t="s">
        <v>20272</v>
      </c>
      <c r="H1136" s="1" t="s">
        <v>20273</v>
      </c>
      <c r="I1136" s="1" t="s">
        <v>20274</v>
      </c>
      <c r="J1136" s="1">
        <v>9820511536</v>
      </c>
      <c r="K1136" s="1" t="s">
        <v>148</v>
      </c>
      <c r="L1136" s="1" t="s">
        <v>10489</v>
      </c>
      <c r="M1136" s="1" t="s">
        <v>81</v>
      </c>
      <c r="N1136" s="1" t="s">
        <v>1418</v>
      </c>
      <c r="O1136" s="1"/>
      <c r="P1136" s="1" t="s">
        <v>1278</v>
      </c>
      <c r="Q1136" s="1" t="s">
        <v>20275</v>
      </c>
      <c r="R1136" s="1" t="s">
        <v>4025</v>
      </c>
      <c r="S1136" s="1">
        <v>8108106699</v>
      </c>
      <c r="T1136" s="1" t="s">
        <v>496</v>
      </c>
      <c r="U1136" s="1" t="s">
        <v>958</v>
      </c>
      <c r="V1136" s="1">
        <v>9930215114</v>
      </c>
      <c r="W1136" s="1" t="s">
        <v>496</v>
      </c>
      <c r="X1136" s="1" t="s">
        <v>20276</v>
      </c>
      <c r="Y1136" s="1" t="s">
        <v>766</v>
      </c>
      <c r="Z1136" s="1" t="s">
        <v>92</v>
      </c>
      <c r="AA1136" s="1" t="s">
        <v>20277</v>
      </c>
      <c r="AB1136" s="1" t="s">
        <v>766</v>
      </c>
      <c r="AC1136" s="1" t="s">
        <v>92</v>
      </c>
      <c r="AD1136" s="1">
        <v>8.23</v>
      </c>
      <c r="AE1136" s="1" t="s">
        <v>93</v>
      </c>
      <c r="AF1136" s="1" t="s">
        <v>20278</v>
      </c>
      <c r="AG1136" s="1" t="s">
        <v>20279</v>
      </c>
      <c r="AH1136" s="1" t="s">
        <v>165</v>
      </c>
      <c r="AI1136" s="1" t="s">
        <v>281</v>
      </c>
      <c r="AJ1136" s="1">
        <v>88.2</v>
      </c>
      <c r="AK1136" s="1">
        <v>0</v>
      </c>
      <c r="AL1136" s="1" t="s">
        <v>20278</v>
      </c>
      <c r="AM1136" s="1" t="s">
        <v>20279</v>
      </c>
      <c r="AN1136" s="1" t="s">
        <v>433</v>
      </c>
      <c r="AO1136" s="1" t="s">
        <v>360</v>
      </c>
      <c r="AP1136" s="1">
        <v>63.38</v>
      </c>
      <c r="AQ1136" s="1">
        <v>0</v>
      </c>
      <c r="AR1136" s="1"/>
      <c r="AS1136" s="1"/>
      <c r="AT1136" s="1"/>
      <c r="AU1136" s="1"/>
      <c r="AV1136" s="1"/>
      <c r="AW1136" s="1"/>
      <c r="AX1136" s="1" t="s">
        <v>253</v>
      </c>
      <c r="AY1136" s="1" t="s">
        <v>1626</v>
      </c>
      <c r="AZ1136" s="1" t="s">
        <v>363</v>
      </c>
      <c r="BA1136" s="1" t="s">
        <v>1361</v>
      </c>
      <c r="BB1136" s="1">
        <v>71.2</v>
      </c>
      <c r="BC1136" s="1">
        <v>8</v>
      </c>
      <c r="BD1136" s="1"/>
      <c r="BE1136" s="1"/>
      <c r="BF1136" s="1"/>
      <c r="BG1136" s="1"/>
      <c r="BH1136" s="1"/>
      <c r="BI1136" s="1"/>
      <c r="BJ1136" s="1" t="s">
        <v>20280</v>
      </c>
      <c r="BK1136" s="1"/>
      <c r="BL1136" s="1"/>
      <c r="BM1136" s="1" t="s">
        <v>20281</v>
      </c>
      <c r="BN1136" s="1">
        <v>20</v>
      </c>
      <c r="BO1136" s="1" t="s">
        <v>20282</v>
      </c>
      <c r="BP1136" s="1" t="str">
        <f>HYPERLINK("https://nconnect.nicmar.ac.in/storage/profile/ProfilePhoto_P25701071_961527.jpg","Download")</f>
        <v>0</v>
      </c>
      <c r="BQ1136" s="3"/>
      <c r="BR1136" s="3"/>
    </row>
    <row r="1137" spans="1:70">
      <c r="A1137" s="1" t="s">
        <v>1563</v>
      </c>
      <c r="B1137" s="1" t="s">
        <v>1269</v>
      </c>
      <c r="C1137" s="1" t="s">
        <v>20283</v>
      </c>
      <c r="D1137" s="1" t="s">
        <v>20284</v>
      </c>
      <c r="E1137" s="1" t="s">
        <v>1680</v>
      </c>
      <c r="F1137" s="1" t="s">
        <v>2797</v>
      </c>
      <c r="G1137" s="1" t="s">
        <v>20285</v>
      </c>
      <c r="H1137" s="1" t="s">
        <v>20286</v>
      </c>
      <c r="I1137" s="1" t="s">
        <v>20287</v>
      </c>
      <c r="J1137" s="1">
        <v>9481244339</v>
      </c>
      <c r="K1137" s="1" t="s">
        <v>79</v>
      </c>
      <c r="L1137" s="1" t="s">
        <v>20288</v>
      </c>
      <c r="M1137" s="1" t="s">
        <v>81</v>
      </c>
      <c r="N1137" s="1" t="s">
        <v>20289</v>
      </c>
      <c r="O1137" s="1"/>
      <c r="P1137" s="1" t="s">
        <v>1323</v>
      </c>
      <c r="Q1137" s="1" t="s">
        <v>20290</v>
      </c>
      <c r="R1137" s="1" t="s">
        <v>20291</v>
      </c>
      <c r="S1137" s="1">
        <v>9341252448</v>
      </c>
      <c r="T1137" s="1" t="s">
        <v>87</v>
      </c>
      <c r="U1137" s="1" t="s">
        <v>20292</v>
      </c>
      <c r="V1137" s="1">
        <v>9448950426</v>
      </c>
      <c r="W1137" s="1" t="s">
        <v>651</v>
      </c>
      <c r="X1137" s="1" t="s">
        <v>20293</v>
      </c>
      <c r="Y1137" s="1" t="s">
        <v>1083</v>
      </c>
      <c r="Z1137" s="1" t="s">
        <v>1084</v>
      </c>
      <c r="AA1137" s="1" t="s">
        <v>20293</v>
      </c>
      <c r="AB1137" s="1" t="s">
        <v>1083</v>
      </c>
      <c r="AC1137" s="1" t="s">
        <v>1084</v>
      </c>
      <c r="AD1137" s="1">
        <v>8.34</v>
      </c>
      <c r="AE1137" s="1" t="s">
        <v>93</v>
      </c>
      <c r="AF1137" s="1" t="s">
        <v>20294</v>
      </c>
      <c r="AG1137" s="1" t="s">
        <v>20295</v>
      </c>
      <c r="AH1137" s="1" t="s">
        <v>162</v>
      </c>
      <c r="AI1137" s="1" t="s">
        <v>165</v>
      </c>
      <c r="AJ1137" s="1">
        <v>72.2</v>
      </c>
      <c r="AK1137" s="1">
        <v>7.6</v>
      </c>
      <c r="AL1137" s="1"/>
      <c r="AM1137" s="1"/>
      <c r="AN1137" s="1"/>
      <c r="AO1137" s="1"/>
      <c r="AP1137" s="1"/>
      <c r="AQ1137" s="1"/>
      <c r="AR1137" s="1" t="s">
        <v>98</v>
      </c>
      <c r="AS1137" s="1" t="s">
        <v>20296</v>
      </c>
      <c r="AT1137" s="1" t="s">
        <v>101</v>
      </c>
      <c r="AU1137" s="1" t="s">
        <v>897</v>
      </c>
      <c r="AV1137" s="1">
        <v>72.28</v>
      </c>
      <c r="AW1137" s="1"/>
      <c r="AX1137" s="1" t="s">
        <v>1519</v>
      </c>
      <c r="AY1137" s="1" t="s">
        <v>20297</v>
      </c>
      <c r="AZ1137" s="1" t="s">
        <v>897</v>
      </c>
      <c r="BA1137" s="1" t="s">
        <v>1939</v>
      </c>
      <c r="BB1137" s="1">
        <v>69.2</v>
      </c>
      <c r="BC1137" s="1">
        <v>7.67</v>
      </c>
      <c r="BD1137" s="1"/>
      <c r="BE1137" s="1"/>
      <c r="BF1137" s="1"/>
      <c r="BG1137" s="1"/>
      <c r="BH1137" s="1"/>
      <c r="BI1137" s="1"/>
      <c r="BJ1137" s="1" t="s">
        <v>20298</v>
      </c>
      <c r="BK1137" s="1" t="s">
        <v>20299</v>
      </c>
      <c r="BL1137" s="1" t="s">
        <v>1289</v>
      </c>
      <c r="BM1137" s="1" t="s">
        <v>20300</v>
      </c>
      <c r="BN1137" s="1">
        <v>15</v>
      </c>
      <c r="BO1137" s="1"/>
      <c r="BP1137" s="1" t="str">
        <f>HYPERLINK("https://nconnect.nicmar.ac.in/storage/profile/ProfilePhoto_P25701073_431986.jpg","Download")</f>
        <v>0</v>
      </c>
      <c r="BQ1137" s="3"/>
      <c r="BR1137" s="3"/>
    </row>
    <row r="1138" spans="1:70">
      <c r="A1138" s="1" t="s">
        <v>1563</v>
      </c>
      <c r="B1138" s="1" t="s">
        <v>1269</v>
      </c>
      <c r="C1138" s="1" t="s">
        <v>20301</v>
      </c>
      <c r="D1138" s="1" t="s">
        <v>11027</v>
      </c>
      <c r="E1138" s="1" t="s">
        <v>835</v>
      </c>
      <c r="F1138" s="1" t="s">
        <v>2658</v>
      </c>
      <c r="G1138" s="1" t="s">
        <v>20302</v>
      </c>
      <c r="H1138" s="1" t="s">
        <v>20303</v>
      </c>
      <c r="I1138" s="1" t="s">
        <v>20304</v>
      </c>
      <c r="J1138" s="1">
        <v>9964579239</v>
      </c>
      <c r="K1138" s="1" t="s">
        <v>79</v>
      </c>
      <c r="L1138" s="1" t="s">
        <v>20305</v>
      </c>
      <c r="M1138" s="1" t="s">
        <v>81</v>
      </c>
      <c r="N1138" s="1" t="s">
        <v>20306</v>
      </c>
      <c r="O1138" s="1"/>
      <c r="P1138" s="1" t="s">
        <v>1298</v>
      </c>
      <c r="Q1138" s="1" t="s">
        <v>20307</v>
      </c>
      <c r="R1138" s="1" t="s">
        <v>20308</v>
      </c>
      <c r="S1138" s="1">
        <v>9980540888</v>
      </c>
      <c r="T1138" s="1" t="s">
        <v>16643</v>
      </c>
      <c r="U1138" s="1" t="s">
        <v>20309</v>
      </c>
      <c r="V1138" s="1">
        <v>9980866476</v>
      </c>
      <c r="W1138" s="1" t="s">
        <v>273</v>
      </c>
      <c r="X1138" s="1" t="s">
        <v>20310</v>
      </c>
      <c r="Y1138" s="1" t="s">
        <v>1083</v>
      </c>
      <c r="Z1138" s="1" t="s">
        <v>1084</v>
      </c>
      <c r="AA1138" s="1" t="s">
        <v>20310</v>
      </c>
      <c r="AB1138" s="1" t="s">
        <v>1083</v>
      </c>
      <c r="AC1138" s="1" t="s">
        <v>1084</v>
      </c>
      <c r="AD1138" s="1">
        <v>8.57</v>
      </c>
      <c r="AE1138" s="1" t="s">
        <v>93</v>
      </c>
      <c r="AF1138" s="1" t="s">
        <v>20311</v>
      </c>
      <c r="AG1138" s="1" t="s">
        <v>20312</v>
      </c>
      <c r="AH1138" s="1" t="s">
        <v>733</v>
      </c>
      <c r="AI1138" s="1" t="s">
        <v>479</v>
      </c>
      <c r="AJ1138" s="1">
        <v>68.8</v>
      </c>
      <c r="AK1138" s="1">
        <v>0</v>
      </c>
      <c r="AL1138" s="1"/>
      <c r="AM1138" s="1"/>
      <c r="AN1138" s="1"/>
      <c r="AO1138" s="1"/>
      <c r="AP1138" s="1"/>
      <c r="AQ1138" s="1"/>
      <c r="AR1138" s="1" t="s">
        <v>20313</v>
      </c>
      <c r="AS1138" s="1" t="s">
        <v>20314</v>
      </c>
      <c r="AT1138" s="1" t="s">
        <v>20315</v>
      </c>
      <c r="AU1138" s="1" t="s">
        <v>228</v>
      </c>
      <c r="AV1138" s="1">
        <v>75</v>
      </c>
      <c r="AW1138" s="1">
        <v>0</v>
      </c>
      <c r="AX1138" s="1" t="s">
        <v>1519</v>
      </c>
      <c r="AY1138" s="1" t="s">
        <v>20316</v>
      </c>
      <c r="AZ1138" s="1" t="s">
        <v>1131</v>
      </c>
      <c r="BA1138" s="1" t="s">
        <v>386</v>
      </c>
      <c r="BB1138" s="1">
        <v>61.3</v>
      </c>
      <c r="BC1138" s="1">
        <v>6.88</v>
      </c>
      <c r="BD1138" s="1"/>
      <c r="BE1138" s="1"/>
      <c r="BF1138" s="1"/>
      <c r="BG1138" s="1"/>
      <c r="BH1138" s="1"/>
      <c r="BI1138" s="1"/>
      <c r="BJ1138" s="1" t="s">
        <v>20317</v>
      </c>
      <c r="BK1138" s="1" t="s">
        <v>20318</v>
      </c>
      <c r="BL1138" s="1" t="s">
        <v>9536</v>
      </c>
      <c r="BM1138" s="1" t="s">
        <v>20319</v>
      </c>
      <c r="BN1138" s="1">
        <v>56</v>
      </c>
      <c r="BO1138" s="1" t="s">
        <v>20320</v>
      </c>
      <c r="BP1138" s="1" t="str">
        <f>HYPERLINK("https://nconnect.nicmar.ac.in/storage/profile/ProfilePhoto_P25701074_918327.jpg","Download")</f>
        <v>0</v>
      </c>
      <c r="BQ1138" s="3"/>
      <c r="BR1138" s="3"/>
    </row>
    <row r="1139" spans="1:70">
      <c r="A1139" s="1" t="s">
        <v>1563</v>
      </c>
      <c r="B1139" s="1" t="s">
        <v>1269</v>
      </c>
      <c r="C1139" s="1" t="s">
        <v>20321</v>
      </c>
      <c r="D1139" s="1" t="s">
        <v>11693</v>
      </c>
      <c r="E1139" s="1" t="s">
        <v>4936</v>
      </c>
      <c r="F1139" s="1" t="s">
        <v>20322</v>
      </c>
      <c r="G1139" s="1" t="s">
        <v>20323</v>
      </c>
      <c r="H1139" s="1" t="s">
        <v>20324</v>
      </c>
      <c r="I1139" s="1" t="s">
        <v>20325</v>
      </c>
      <c r="J1139" s="1">
        <v>9637489494</v>
      </c>
      <c r="K1139" s="1" t="s">
        <v>79</v>
      </c>
      <c r="L1139" s="1" t="s">
        <v>5969</v>
      </c>
      <c r="M1139" s="1" t="s">
        <v>81</v>
      </c>
      <c r="N1139" s="1" t="s">
        <v>20326</v>
      </c>
      <c r="O1139" s="1" t="s">
        <v>20327</v>
      </c>
      <c r="P1139" s="1" t="s">
        <v>1298</v>
      </c>
      <c r="Q1139" s="1" t="s">
        <v>20328</v>
      </c>
      <c r="R1139" s="1" t="s">
        <v>4936</v>
      </c>
      <c r="S1139" s="1">
        <v>9423363480</v>
      </c>
      <c r="T1139" s="1" t="s">
        <v>496</v>
      </c>
      <c r="U1139" s="1" t="s">
        <v>16959</v>
      </c>
      <c r="V1139" s="1">
        <v>8308722054</v>
      </c>
      <c r="W1139" s="1" t="s">
        <v>156</v>
      </c>
      <c r="X1139" s="1" t="s">
        <v>20329</v>
      </c>
      <c r="Y1139" s="1" t="s">
        <v>766</v>
      </c>
      <c r="Z1139" s="1" t="s">
        <v>92</v>
      </c>
      <c r="AA1139" s="1" t="s">
        <v>20329</v>
      </c>
      <c r="AB1139" s="1" t="s">
        <v>766</v>
      </c>
      <c r="AC1139" s="1" t="s">
        <v>92</v>
      </c>
      <c r="AD1139" s="1">
        <v>7.01</v>
      </c>
      <c r="AE1139" s="1" t="s">
        <v>93</v>
      </c>
      <c r="AF1139" s="1" t="s">
        <v>20330</v>
      </c>
      <c r="AG1139" s="1" t="s">
        <v>20331</v>
      </c>
      <c r="AH1139" s="1" t="s">
        <v>162</v>
      </c>
      <c r="AI1139" s="1" t="s">
        <v>165</v>
      </c>
      <c r="AJ1139" s="1">
        <v>83.4</v>
      </c>
      <c r="AK1139" s="1"/>
      <c r="AL1139" s="1" t="s">
        <v>20332</v>
      </c>
      <c r="AM1139" s="1" t="s">
        <v>20333</v>
      </c>
      <c r="AN1139" s="1" t="s">
        <v>636</v>
      </c>
      <c r="AO1139" s="1" t="s">
        <v>308</v>
      </c>
      <c r="AP1139" s="1">
        <v>60</v>
      </c>
      <c r="AQ1139" s="1">
        <v>6.31</v>
      </c>
      <c r="AR1139" s="1"/>
      <c r="AS1139" s="1"/>
      <c r="AT1139" s="1"/>
      <c r="AU1139" s="1"/>
      <c r="AV1139" s="1"/>
      <c r="AW1139" s="1"/>
      <c r="AX1139" s="1" t="s">
        <v>1024</v>
      </c>
      <c r="AY1139" s="1" t="s">
        <v>20334</v>
      </c>
      <c r="AZ1139" s="1" t="s">
        <v>1131</v>
      </c>
      <c r="BA1139" s="1" t="s">
        <v>1939</v>
      </c>
      <c r="BB1139" s="1">
        <v>60.22</v>
      </c>
      <c r="BC1139" s="1">
        <v>6.6</v>
      </c>
      <c r="BD1139" s="1"/>
      <c r="BE1139" s="1"/>
      <c r="BF1139" s="1"/>
      <c r="BG1139" s="1"/>
      <c r="BH1139" s="1"/>
      <c r="BI1139" s="1"/>
      <c r="BJ1139" s="1" t="s">
        <v>20335</v>
      </c>
      <c r="BK1139" s="1"/>
      <c r="BL1139" s="1"/>
      <c r="BM1139" s="1" t="s">
        <v>20336</v>
      </c>
      <c r="BN1139" s="1">
        <v>39</v>
      </c>
      <c r="BO1139" s="1" t="s">
        <v>20337</v>
      </c>
      <c r="BP1139" s="1" t="str">
        <f>HYPERLINK("https://nconnect.nicmar.ac.in/storage/profile/ProfilePhoto_P25701075_871349.jpg","Download")</f>
        <v>0</v>
      </c>
      <c r="BQ1139" s="3"/>
      <c r="BR1139" s="3"/>
    </row>
    <row r="1140" spans="1:70">
      <c r="A1140" s="1" t="s">
        <v>1563</v>
      </c>
      <c r="B1140" s="1" t="s">
        <v>1269</v>
      </c>
      <c r="C1140" s="1" t="s">
        <v>20338</v>
      </c>
      <c r="D1140" s="1" t="s">
        <v>20339</v>
      </c>
      <c r="E1140" s="1" t="s">
        <v>20340</v>
      </c>
      <c r="F1140" s="1" t="s">
        <v>20341</v>
      </c>
      <c r="G1140" s="1" t="s">
        <v>20342</v>
      </c>
      <c r="H1140" s="1" t="s">
        <v>20343</v>
      </c>
      <c r="I1140" s="1" t="s">
        <v>20344</v>
      </c>
      <c r="J1140" s="1">
        <v>7249773022</v>
      </c>
      <c r="K1140" s="1" t="s">
        <v>79</v>
      </c>
      <c r="L1140" s="1" t="s">
        <v>16201</v>
      </c>
      <c r="M1140" s="1" t="s">
        <v>81</v>
      </c>
      <c r="N1140" s="1" t="s">
        <v>15141</v>
      </c>
      <c r="O1140" s="1" t="s">
        <v>20345</v>
      </c>
      <c r="P1140" s="1" t="s">
        <v>1323</v>
      </c>
      <c r="Q1140" s="1" t="s">
        <v>20346</v>
      </c>
      <c r="R1140" s="1" t="s">
        <v>20347</v>
      </c>
      <c r="S1140" s="1">
        <v>9834795580</v>
      </c>
      <c r="T1140" s="1" t="s">
        <v>20348</v>
      </c>
      <c r="U1140" s="1" t="s">
        <v>20349</v>
      </c>
      <c r="V1140" s="1">
        <v>7249773022</v>
      </c>
      <c r="W1140" s="1" t="s">
        <v>20350</v>
      </c>
      <c r="X1140" s="1" t="s">
        <v>20351</v>
      </c>
      <c r="Y1140" s="1" t="s">
        <v>191</v>
      </c>
      <c r="Z1140" s="1" t="s">
        <v>92</v>
      </c>
      <c r="AA1140" s="1" t="s">
        <v>20351</v>
      </c>
      <c r="AB1140" s="1" t="s">
        <v>191</v>
      </c>
      <c r="AC1140" s="1" t="s">
        <v>92</v>
      </c>
      <c r="AD1140" s="1">
        <v>8.48</v>
      </c>
      <c r="AE1140" s="1" t="s">
        <v>93</v>
      </c>
      <c r="AF1140" s="1" t="s">
        <v>20352</v>
      </c>
      <c r="AG1140" s="1" t="s">
        <v>476</v>
      </c>
      <c r="AH1140" s="1" t="s">
        <v>3922</v>
      </c>
      <c r="AI1140" s="1" t="s">
        <v>409</v>
      </c>
      <c r="AJ1140" s="1">
        <v>85.2</v>
      </c>
      <c r="AK1140" s="1"/>
      <c r="AL1140" s="1" t="s">
        <v>20353</v>
      </c>
      <c r="AM1140" s="1" t="s">
        <v>476</v>
      </c>
      <c r="AN1140" s="1" t="s">
        <v>310</v>
      </c>
      <c r="AO1140" s="1" t="s">
        <v>504</v>
      </c>
      <c r="AP1140" s="1">
        <v>85.17</v>
      </c>
      <c r="AQ1140" s="1"/>
      <c r="AR1140" s="1"/>
      <c r="AS1140" s="1"/>
      <c r="AT1140" s="1"/>
      <c r="AU1140" s="1"/>
      <c r="AV1140" s="1"/>
      <c r="AW1140" s="1"/>
      <c r="AX1140" s="1" t="s">
        <v>361</v>
      </c>
      <c r="AY1140" s="1" t="s">
        <v>20354</v>
      </c>
      <c r="AZ1140" s="1" t="s">
        <v>506</v>
      </c>
      <c r="BA1140" s="1" t="s">
        <v>1714</v>
      </c>
      <c r="BB1140" s="1">
        <v>70.8</v>
      </c>
      <c r="BC1140" s="1">
        <v>7.83</v>
      </c>
      <c r="BD1140" s="1"/>
      <c r="BE1140" s="1"/>
      <c r="BF1140" s="1"/>
      <c r="BG1140" s="1"/>
      <c r="BH1140" s="1"/>
      <c r="BI1140" s="1"/>
      <c r="BJ1140" s="1" t="s">
        <v>20355</v>
      </c>
      <c r="BK1140" s="1"/>
      <c r="BL1140" s="1"/>
      <c r="BM1140" s="1" t="s">
        <v>20356</v>
      </c>
      <c r="BN1140" s="1">
        <v>6</v>
      </c>
      <c r="BO1140" s="1" t="s">
        <v>20357</v>
      </c>
      <c r="BP1140" s="1" t="str">
        <f>HYPERLINK("https://nconnect.nicmar.ac.in/storage/profile/ProfilePhoto_P25701076_837462.jpg","Download")</f>
        <v>0</v>
      </c>
      <c r="BQ1140" s="3"/>
      <c r="BR1140" s="3"/>
    </row>
    <row r="1141" spans="1:70">
      <c r="A1141" s="1" t="s">
        <v>1563</v>
      </c>
      <c r="B1141" s="1" t="s">
        <v>1269</v>
      </c>
      <c r="C1141" s="1" t="s">
        <v>20358</v>
      </c>
      <c r="D1141" s="1" t="s">
        <v>20359</v>
      </c>
      <c r="E1141" s="1"/>
      <c r="F1141" s="1" t="s">
        <v>835</v>
      </c>
      <c r="G1141" s="1" t="s">
        <v>20360</v>
      </c>
      <c r="H1141" s="1" t="s">
        <v>20361</v>
      </c>
      <c r="I1141" s="1" t="s">
        <v>20362</v>
      </c>
      <c r="J1141" s="1">
        <v>9873481483</v>
      </c>
      <c r="K1141" s="1" t="s">
        <v>148</v>
      </c>
      <c r="L1141" s="1" t="s">
        <v>20363</v>
      </c>
      <c r="M1141" s="1" t="s">
        <v>81</v>
      </c>
      <c r="N1141" s="1" t="s">
        <v>5056</v>
      </c>
      <c r="O1141" s="1"/>
      <c r="P1141" s="1" t="s">
        <v>1298</v>
      </c>
      <c r="Q1141" s="1" t="s">
        <v>20364</v>
      </c>
      <c r="R1141" s="1" t="s">
        <v>20365</v>
      </c>
      <c r="S1141" s="1">
        <v>9891545415</v>
      </c>
      <c r="T1141" s="1" t="s">
        <v>842</v>
      </c>
      <c r="U1141" s="1" t="s">
        <v>20366</v>
      </c>
      <c r="V1141" s="1">
        <v>8882100200</v>
      </c>
      <c r="W1141" s="1" t="s">
        <v>9493</v>
      </c>
      <c r="X1141" s="1" t="s">
        <v>20367</v>
      </c>
      <c r="Y1141" s="1" t="s">
        <v>721</v>
      </c>
      <c r="Z1141" s="1" t="s">
        <v>722</v>
      </c>
      <c r="AA1141" s="1" t="s">
        <v>20367</v>
      </c>
      <c r="AB1141" s="1" t="s">
        <v>721</v>
      </c>
      <c r="AC1141" s="1" t="s">
        <v>722</v>
      </c>
      <c r="AD1141" s="1">
        <v>8.35</v>
      </c>
      <c r="AE1141" s="1" t="s">
        <v>93</v>
      </c>
      <c r="AF1141" s="1" t="s">
        <v>20368</v>
      </c>
      <c r="AG1141" s="1" t="s">
        <v>894</v>
      </c>
      <c r="AH1141" s="1" t="s">
        <v>12104</v>
      </c>
      <c r="AI1141" s="1" t="s">
        <v>1001</v>
      </c>
      <c r="AJ1141" s="1">
        <v>85.5</v>
      </c>
      <c r="AK1141" s="1">
        <v>9</v>
      </c>
      <c r="AL1141" s="1" t="s">
        <v>20369</v>
      </c>
      <c r="AM1141" s="1" t="s">
        <v>894</v>
      </c>
      <c r="AN1141" s="1" t="s">
        <v>678</v>
      </c>
      <c r="AO1141" s="1" t="s">
        <v>281</v>
      </c>
      <c r="AP1141" s="1">
        <v>77.6</v>
      </c>
      <c r="AQ1141" s="1">
        <v>8.16</v>
      </c>
      <c r="AR1141" s="1"/>
      <c r="AS1141" s="1"/>
      <c r="AT1141" s="1"/>
      <c r="AU1141" s="1"/>
      <c r="AV1141" s="1"/>
      <c r="AW1141" s="1"/>
      <c r="AX1141" s="1" t="s">
        <v>20370</v>
      </c>
      <c r="AY1141" s="1" t="s">
        <v>17621</v>
      </c>
      <c r="AZ1141" s="1" t="s">
        <v>169</v>
      </c>
      <c r="BA1141" s="1" t="s">
        <v>481</v>
      </c>
      <c r="BB1141" s="1">
        <v>84</v>
      </c>
      <c r="BC1141" s="1">
        <v>8.9</v>
      </c>
      <c r="BD1141" s="1"/>
      <c r="BE1141" s="1"/>
      <c r="BF1141" s="1"/>
      <c r="BG1141" s="1"/>
      <c r="BH1141" s="1"/>
      <c r="BI1141" s="1"/>
      <c r="BJ1141" s="1" t="s">
        <v>17284</v>
      </c>
      <c r="BK1141" s="1" t="s">
        <v>20371</v>
      </c>
      <c r="BL1141" s="1" t="s">
        <v>1337</v>
      </c>
      <c r="BM1141" s="1" t="s">
        <v>20372</v>
      </c>
      <c r="BN1141" s="1">
        <v>14</v>
      </c>
      <c r="BO1141" s="1"/>
      <c r="BP1141" s="1" t="str">
        <f>HYPERLINK("https://nconnect.nicmar.ac.in/storage/profile/ProfilePhoto_P25701077_254678.jpg","Download")</f>
        <v>0</v>
      </c>
      <c r="BQ1141" s="3"/>
      <c r="BR1141" s="3"/>
    </row>
    <row r="1142" spans="1:70">
      <c r="A1142" s="1" t="s">
        <v>1563</v>
      </c>
      <c r="B1142" s="1" t="s">
        <v>1269</v>
      </c>
      <c r="C1142" s="1" t="s">
        <v>20373</v>
      </c>
      <c r="D1142" s="1" t="s">
        <v>4025</v>
      </c>
      <c r="E1142" s="1"/>
      <c r="F1142" s="1" t="s">
        <v>20374</v>
      </c>
      <c r="G1142" s="1" t="s">
        <v>20375</v>
      </c>
      <c r="H1142" s="1" t="s">
        <v>20376</v>
      </c>
      <c r="I1142" s="1" t="s">
        <v>20377</v>
      </c>
      <c r="J1142" s="1">
        <v>9566144140</v>
      </c>
      <c r="K1142" s="1" t="s">
        <v>79</v>
      </c>
      <c r="L1142" s="1" t="s">
        <v>20378</v>
      </c>
      <c r="M1142" s="1" t="s">
        <v>81</v>
      </c>
      <c r="N1142" s="1" t="s">
        <v>6514</v>
      </c>
      <c r="O1142" s="1"/>
      <c r="P1142" s="1" t="s">
        <v>1766</v>
      </c>
      <c r="Q1142" s="1" t="s">
        <v>20379</v>
      </c>
      <c r="R1142" s="1" t="s">
        <v>20374</v>
      </c>
      <c r="S1142" s="1">
        <v>9840084140</v>
      </c>
      <c r="T1142" s="1" t="s">
        <v>496</v>
      </c>
      <c r="U1142" s="1" t="s">
        <v>20380</v>
      </c>
      <c r="V1142" s="1">
        <v>9790888140</v>
      </c>
      <c r="W1142" s="1" t="s">
        <v>273</v>
      </c>
      <c r="X1142" s="1" t="s">
        <v>20381</v>
      </c>
      <c r="Y1142" s="1" t="s">
        <v>2320</v>
      </c>
      <c r="Z1142" s="1" t="s">
        <v>1377</v>
      </c>
      <c r="AA1142" s="1" t="s">
        <v>20381</v>
      </c>
      <c r="AB1142" s="1" t="s">
        <v>2320</v>
      </c>
      <c r="AC1142" s="1" t="s">
        <v>1377</v>
      </c>
      <c r="AD1142" s="1">
        <v>8.56</v>
      </c>
      <c r="AE1142" s="1" t="s">
        <v>93</v>
      </c>
      <c r="AF1142" s="1" t="s">
        <v>20382</v>
      </c>
      <c r="AG1142" s="1" t="s">
        <v>20383</v>
      </c>
      <c r="AH1142" s="1" t="s">
        <v>97</v>
      </c>
      <c r="AI1142" s="1" t="s">
        <v>456</v>
      </c>
      <c r="AJ1142" s="1">
        <v>91.2</v>
      </c>
      <c r="AK1142" s="1"/>
      <c r="AL1142" s="1" t="s">
        <v>20382</v>
      </c>
      <c r="AM1142" s="1" t="s">
        <v>20383</v>
      </c>
      <c r="AN1142" s="1" t="s">
        <v>195</v>
      </c>
      <c r="AO1142" s="1" t="s">
        <v>281</v>
      </c>
      <c r="AP1142" s="1">
        <v>73.91</v>
      </c>
      <c r="AQ1142" s="1"/>
      <c r="AR1142" s="1"/>
      <c r="AS1142" s="1"/>
      <c r="AT1142" s="1"/>
      <c r="AU1142" s="1"/>
      <c r="AV1142" s="1"/>
      <c r="AW1142" s="1"/>
      <c r="AX1142" s="1" t="s">
        <v>18866</v>
      </c>
      <c r="AY1142" s="1" t="s">
        <v>20384</v>
      </c>
      <c r="AZ1142" s="1" t="s">
        <v>101</v>
      </c>
      <c r="BA1142" s="1" t="s">
        <v>174</v>
      </c>
      <c r="BB1142" s="1">
        <v>87.5</v>
      </c>
      <c r="BC1142" s="1">
        <v>8.75</v>
      </c>
      <c r="BD1142" s="1"/>
      <c r="BE1142" s="1"/>
      <c r="BF1142" s="1"/>
      <c r="BG1142" s="1"/>
      <c r="BH1142" s="1"/>
      <c r="BI1142" s="1"/>
      <c r="BJ1142" s="1" t="s">
        <v>20385</v>
      </c>
      <c r="BK1142" s="1" t="s">
        <v>20386</v>
      </c>
      <c r="BL1142" s="1" t="s">
        <v>1543</v>
      </c>
      <c r="BM1142" s="1" t="s">
        <v>20387</v>
      </c>
      <c r="BN1142" s="1">
        <v>36</v>
      </c>
      <c r="BO1142" s="1"/>
      <c r="BP1142" s="1" t="str">
        <f>HYPERLINK("https://nconnect.nicmar.ac.in/storage/profile/ProfilePhoto_P25701078_946752.jpg","Download")</f>
        <v>0</v>
      </c>
      <c r="BQ1142" s="3"/>
      <c r="BR1142" s="3"/>
    </row>
    <row r="1143" spans="1:70">
      <c r="A1143" s="1" t="s">
        <v>1563</v>
      </c>
      <c r="B1143" s="1" t="s">
        <v>1269</v>
      </c>
      <c r="C1143" s="1" t="s">
        <v>20388</v>
      </c>
      <c r="D1143" s="1" t="s">
        <v>4153</v>
      </c>
      <c r="E1143" s="1" t="s">
        <v>3304</v>
      </c>
      <c r="F1143" s="1" t="s">
        <v>20026</v>
      </c>
      <c r="G1143" s="1" t="s">
        <v>20389</v>
      </c>
      <c r="H1143" s="1" t="s">
        <v>20390</v>
      </c>
      <c r="I1143" s="1" t="s">
        <v>20391</v>
      </c>
      <c r="J1143" s="1">
        <v>9004509282</v>
      </c>
      <c r="K1143" s="1" t="s">
        <v>79</v>
      </c>
      <c r="L1143" s="1" t="s">
        <v>9932</v>
      </c>
      <c r="M1143" s="1" t="s">
        <v>81</v>
      </c>
      <c r="N1143" s="1" t="s">
        <v>3236</v>
      </c>
      <c r="O1143" s="1"/>
      <c r="P1143" s="1" t="s">
        <v>1278</v>
      </c>
      <c r="Q1143" s="1" t="s">
        <v>20392</v>
      </c>
      <c r="R1143" s="1" t="s">
        <v>20393</v>
      </c>
      <c r="S1143" s="1">
        <v>9867932157</v>
      </c>
      <c r="T1143" s="1" t="s">
        <v>20394</v>
      </c>
      <c r="U1143" s="1" t="s">
        <v>20395</v>
      </c>
      <c r="V1143" s="1">
        <v>9969227556</v>
      </c>
      <c r="W1143" s="1" t="s">
        <v>89</v>
      </c>
      <c r="X1143" s="1" t="s">
        <v>20396</v>
      </c>
      <c r="Y1143" s="1" t="s">
        <v>1623</v>
      </c>
      <c r="Z1143" s="1" t="s">
        <v>92</v>
      </c>
      <c r="AA1143" s="1" t="s">
        <v>20396</v>
      </c>
      <c r="AB1143" s="1" t="s">
        <v>1623</v>
      </c>
      <c r="AC1143" s="1" t="s">
        <v>92</v>
      </c>
      <c r="AD1143" s="1">
        <v>8.87</v>
      </c>
      <c r="AE1143" s="1" t="s">
        <v>93</v>
      </c>
      <c r="AF1143" s="1" t="s">
        <v>20397</v>
      </c>
      <c r="AG1143" s="1" t="s">
        <v>1152</v>
      </c>
      <c r="AH1143" s="1" t="s">
        <v>503</v>
      </c>
      <c r="AI1143" s="1" t="s">
        <v>527</v>
      </c>
      <c r="AJ1143" s="1">
        <v>88.33</v>
      </c>
      <c r="AK1143" s="1">
        <v>0</v>
      </c>
      <c r="AL1143" s="1" t="s">
        <v>20398</v>
      </c>
      <c r="AM1143" s="1" t="s">
        <v>160</v>
      </c>
      <c r="AN1143" s="1" t="s">
        <v>165</v>
      </c>
      <c r="AO1143" s="1" t="s">
        <v>457</v>
      </c>
      <c r="AP1143" s="1">
        <v>81.54</v>
      </c>
      <c r="AQ1143" s="1">
        <v>0</v>
      </c>
      <c r="AR1143" s="1"/>
      <c r="AS1143" s="1"/>
      <c r="AT1143" s="1"/>
      <c r="AU1143" s="1"/>
      <c r="AV1143" s="1"/>
      <c r="AW1143" s="1"/>
      <c r="AX1143" s="1" t="s">
        <v>253</v>
      </c>
      <c r="AY1143" s="1" t="s">
        <v>20399</v>
      </c>
      <c r="AZ1143" s="1" t="s">
        <v>636</v>
      </c>
      <c r="BA1143" s="1" t="s">
        <v>229</v>
      </c>
      <c r="BB1143" s="1">
        <v>78.08</v>
      </c>
      <c r="BC1143" s="1">
        <v>8.93</v>
      </c>
      <c r="BD1143" s="1"/>
      <c r="BE1143" s="1"/>
      <c r="BF1143" s="1"/>
      <c r="BG1143" s="1"/>
      <c r="BH1143" s="1"/>
      <c r="BI1143" s="1"/>
      <c r="BJ1143" s="1" t="s">
        <v>20400</v>
      </c>
      <c r="BK1143" s="1" t="s">
        <v>20401</v>
      </c>
      <c r="BL1143" s="1" t="s">
        <v>4933</v>
      </c>
      <c r="BM1143" s="1" t="s">
        <v>20402</v>
      </c>
      <c r="BN1143" s="1">
        <v>29</v>
      </c>
      <c r="BO1143" s="1" t="s">
        <v>20403</v>
      </c>
      <c r="BP1143" s="1" t="str">
        <f>HYPERLINK("https://nconnect.nicmar.ac.in/storage/profile/ProfilePhoto_P25701080_291384.jpg","Download")</f>
        <v>0</v>
      </c>
      <c r="BQ1143" s="3"/>
      <c r="BR1143" s="3"/>
    </row>
    <row r="1144" spans="1:70">
      <c r="A1144" s="1" t="s">
        <v>1563</v>
      </c>
      <c r="B1144" s="1" t="s">
        <v>1269</v>
      </c>
      <c r="C1144" s="1" t="s">
        <v>20404</v>
      </c>
      <c r="D1144" s="1" t="s">
        <v>596</v>
      </c>
      <c r="E1144" s="1"/>
      <c r="F1144" s="1" t="s">
        <v>20405</v>
      </c>
      <c r="G1144" s="1" t="s">
        <v>20406</v>
      </c>
      <c r="H1144" s="1" t="s">
        <v>20407</v>
      </c>
      <c r="I1144" s="1" t="s">
        <v>20408</v>
      </c>
      <c r="J1144" s="1">
        <v>8979187316</v>
      </c>
      <c r="K1144" s="1" t="s">
        <v>79</v>
      </c>
      <c r="L1144" s="1" t="s">
        <v>15697</v>
      </c>
      <c r="M1144" s="1" t="s">
        <v>81</v>
      </c>
      <c r="N1144" s="1" t="s">
        <v>11963</v>
      </c>
      <c r="O1144" s="1"/>
      <c r="P1144" s="1" t="s">
        <v>1323</v>
      </c>
      <c r="Q1144" s="1" t="s">
        <v>20409</v>
      </c>
      <c r="R1144" s="1" t="s">
        <v>20410</v>
      </c>
      <c r="S1144" s="1">
        <v>8171585158</v>
      </c>
      <c r="T1144" s="1" t="s">
        <v>9454</v>
      </c>
      <c r="U1144" s="1" t="s">
        <v>20411</v>
      </c>
      <c r="V1144" s="1">
        <v>9927449224</v>
      </c>
      <c r="W1144" s="1" t="s">
        <v>273</v>
      </c>
      <c r="X1144" s="1" t="s">
        <v>20412</v>
      </c>
      <c r="Y1144" s="1" t="s">
        <v>191</v>
      </c>
      <c r="Z1144" s="1" t="s">
        <v>92</v>
      </c>
      <c r="AA1144" s="1" t="s">
        <v>20413</v>
      </c>
      <c r="AB1144" s="1" t="s">
        <v>20414</v>
      </c>
      <c r="AC1144" s="1" t="s">
        <v>8621</v>
      </c>
      <c r="AD1144" s="1">
        <v>6.65</v>
      </c>
      <c r="AE1144" s="1" t="s">
        <v>93</v>
      </c>
      <c r="AF1144" s="1" t="s">
        <v>20415</v>
      </c>
      <c r="AG1144" s="1" t="s">
        <v>307</v>
      </c>
      <c r="AH1144" s="1" t="s">
        <v>503</v>
      </c>
      <c r="AI1144" s="1" t="s">
        <v>134</v>
      </c>
      <c r="AJ1144" s="1">
        <v>60.8</v>
      </c>
      <c r="AK1144" s="1">
        <v>6.4</v>
      </c>
      <c r="AL1144" s="1" t="s">
        <v>20416</v>
      </c>
      <c r="AM1144" s="1" t="s">
        <v>307</v>
      </c>
      <c r="AN1144" s="1" t="s">
        <v>165</v>
      </c>
      <c r="AO1144" s="1" t="s">
        <v>166</v>
      </c>
      <c r="AP1144" s="1">
        <v>46.16</v>
      </c>
      <c r="AQ1144" s="1">
        <v>5.4</v>
      </c>
      <c r="AR1144" s="1" t="s">
        <v>20417</v>
      </c>
      <c r="AS1144" s="1" t="s">
        <v>20418</v>
      </c>
      <c r="AT1144" s="1" t="s">
        <v>574</v>
      </c>
      <c r="AU1144" s="1" t="s">
        <v>1131</v>
      </c>
      <c r="AV1144" s="1">
        <v>67.6</v>
      </c>
      <c r="AW1144" s="1"/>
      <c r="AX1144" s="1" t="s">
        <v>1835</v>
      </c>
      <c r="AY1144" s="1" t="s">
        <v>20419</v>
      </c>
      <c r="AZ1144" s="1" t="s">
        <v>1051</v>
      </c>
      <c r="BA1144" s="1" t="s">
        <v>507</v>
      </c>
      <c r="BB1144" s="1">
        <v>67.9</v>
      </c>
      <c r="BC1144" s="1">
        <v>6.79</v>
      </c>
      <c r="BD1144" s="1"/>
      <c r="BE1144" s="1"/>
      <c r="BF1144" s="1"/>
      <c r="BG1144" s="1"/>
      <c r="BH1144" s="1"/>
      <c r="BI1144" s="1"/>
      <c r="BJ1144" s="1" t="s">
        <v>20420</v>
      </c>
      <c r="BK1144" s="1"/>
      <c r="BL1144" s="1"/>
      <c r="BM1144" s="1" t="s">
        <v>20421</v>
      </c>
      <c r="BN1144" s="1">
        <v>89</v>
      </c>
      <c r="BO1144" s="1" t="s">
        <v>20422</v>
      </c>
      <c r="BP1144" s="1" t="str">
        <f>HYPERLINK("https://nconnect.nicmar.ac.in/storage/profile/ProfilePhoto_P25701082_517926.jpg","Download")</f>
        <v>0</v>
      </c>
      <c r="BQ1144" s="3"/>
      <c r="BR1144" s="3"/>
    </row>
    <row r="1145" spans="1:70">
      <c r="A1145" s="1" t="s">
        <v>1563</v>
      </c>
      <c r="B1145" s="1" t="s">
        <v>1269</v>
      </c>
      <c r="C1145" s="1" t="s">
        <v>20423</v>
      </c>
      <c r="D1145" s="1" t="s">
        <v>20424</v>
      </c>
      <c r="E1145" s="1"/>
      <c r="F1145" s="1" t="s">
        <v>20425</v>
      </c>
      <c r="G1145" s="1" t="s">
        <v>20426</v>
      </c>
      <c r="H1145" s="1" t="s">
        <v>20427</v>
      </c>
      <c r="I1145" s="1" t="s">
        <v>20428</v>
      </c>
      <c r="J1145" s="1">
        <v>7024089723</v>
      </c>
      <c r="K1145" s="1" t="s">
        <v>79</v>
      </c>
      <c r="L1145" s="1" t="s">
        <v>3040</v>
      </c>
      <c r="M1145" s="1" t="s">
        <v>81</v>
      </c>
      <c r="N1145" s="1" t="s">
        <v>241</v>
      </c>
      <c r="O1145" s="1"/>
      <c r="P1145" s="1" t="s">
        <v>1278</v>
      </c>
      <c r="Q1145" s="1" t="s">
        <v>20429</v>
      </c>
      <c r="R1145" s="1" t="s">
        <v>20430</v>
      </c>
      <c r="S1145" s="1">
        <v>9893401711</v>
      </c>
      <c r="T1145" s="1" t="s">
        <v>6854</v>
      </c>
      <c r="U1145" s="1" t="s">
        <v>20431</v>
      </c>
      <c r="V1145" s="1">
        <v>9589041741</v>
      </c>
      <c r="W1145" s="1" t="s">
        <v>156</v>
      </c>
      <c r="X1145" s="1" t="s">
        <v>20432</v>
      </c>
      <c r="Y1145" s="1" t="s">
        <v>191</v>
      </c>
      <c r="Z1145" s="1" t="s">
        <v>92</v>
      </c>
      <c r="AA1145" s="1" t="s">
        <v>20433</v>
      </c>
      <c r="AB1145" s="1" t="s">
        <v>6382</v>
      </c>
      <c r="AC1145" s="1" t="s">
        <v>936</v>
      </c>
      <c r="AD1145" s="1">
        <v>7.99</v>
      </c>
      <c r="AE1145" s="1" t="s">
        <v>93</v>
      </c>
      <c r="AF1145" s="1" t="s">
        <v>20434</v>
      </c>
      <c r="AG1145" s="1" t="s">
        <v>20435</v>
      </c>
      <c r="AH1145" s="1" t="s">
        <v>279</v>
      </c>
      <c r="AI1145" s="1" t="s">
        <v>1332</v>
      </c>
      <c r="AJ1145" s="1">
        <v>77.7</v>
      </c>
      <c r="AK1145" s="1">
        <v>8.2</v>
      </c>
      <c r="AL1145" s="1" t="s">
        <v>20434</v>
      </c>
      <c r="AM1145" s="1" t="s">
        <v>20435</v>
      </c>
      <c r="AN1145" s="1" t="s">
        <v>1307</v>
      </c>
      <c r="AO1145" s="1" t="s">
        <v>1065</v>
      </c>
      <c r="AP1145" s="1">
        <v>77.8</v>
      </c>
      <c r="AQ1145" s="1">
        <v>8.2</v>
      </c>
      <c r="AR1145" s="1"/>
      <c r="AS1145" s="1"/>
      <c r="AT1145" s="1"/>
      <c r="AU1145" s="1"/>
      <c r="AV1145" s="1"/>
      <c r="AW1145" s="1"/>
      <c r="AX1145" s="1" t="s">
        <v>20436</v>
      </c>
      <c r="AY1145" s="1" t="s">
        <v>20435</v>
      </c>
      <c r="AZ1145" s="1" t="s">
        <v>310</v>
      </c>
      <c r="BA1145" s="1" t="s">
        <v>202</v>
      </c>
      <c r="BB1145" s="1">
        <v>67</v>
      </c>
      <c r="BC1145" s="1">
        <v>6.76</v>
      </c>
      <c r="BD1145" s="1"/>
      <c r="BE1145" s="1"/>
      <c r="BF1145" s="1"/>
      <c r="BG1145" s="1"/>
      <c r="BH1145" s="1"/>
      <c r="BI1145" s="1"/>
      <c r="BJ1145" s="1" t="s">
        <v>20437</v>
      </c>
      <c r="BK1145" s="1"/>
      <c r="BL1145" s="1"/>
      <c r="BM1145" s="1" t="s">
        <v>20438</v>
      </c>
      <c r="BN1145" s="1">
        <v>26</v>
      </c>
      <c r="BO1145" s="1"/>
      <c r="BP1145" s="1" t="str">
        <f>HYPERLINK("https://nconnect.nicmar.ac.in/storage/profile/ProfilePhoto_P25701083_263178.jpg","Download")</f>
        <v>0</v>
      </c>
      <c r="BQ1145" s="3"/>
      <c r="BR1145" s="3"/>
    </row>
    <row r="1146" spans="1:70">
      <c r="A1146" s="1" t="s">
        <v>1563</v>
      </c>
      <c r="B1146" s="1" t="s">
        <v>1269</v>
      </c>
      <c r="C1146" s="1" t="s">
        <v>20439</v>
      </c>
      <c r="D1146" s="1" t="s">
        <v>2696</v>
      </c>
      <c r="E1146" s="1"/>
      <c r="F1146" s="1" t="s">
        <v>596</v>
      </c>
      <c r="G1146" s="1" t="s">
        <v>20440</v>
      </c>
      <c r="H1146" s="1" t="s">
        <v>20441</v>
      </c>
      <c r="I1146" s="1" t="s">
        <v>20442</v>
      </c>
      <c r="J1146" s="1">
        <v>6296086996</v>
      </c>
      <c r="K1146" s="1" t="s">
        <v>79</v>
      </c>
      <c r="L1146" s="1" t="s">
        <v>8992</v>
      </c>
      <c r="M1146" s="1" t="s">
        <v>81</v>
      </c>
      <c r="N1146" s="1" t="s">
        <v>14662</v>
      </c>
      <c r="O1146" s="1"/>
      <c r="P1146" s="1" t="s">
        <v>1323</v>
      </c>
      <c r="Q1146" s="1" t="s">
        <v>20443</v>
      </c>
      <c r="R1146" s="1" t="s">
        <v>20444</v>
      </c>
      <c r="S1146" s="1">
        <v>9800112285</v>
      </c>
      <c r="T1146" s="1" t="s">
        <v>1351</v>
      </c>
      <c r="U1146" s="1" t="s">
        <v>20445</v>
      </c>
      <c r="V1146" s="1">
        <v>9574448041</v>
      </c>
      <c r="W1146" s="1" t="s">
        <v>156</v>
      </c>
      <c r="X1146" s="1" t="s">
        <v>20446</v>
      </c>
      <c r="Y1146" s="1" t="s">
        <v>11916</v>
      </c>
      <c r="Z1146" s="1" t="s">
        <v>783</v>
      </c>
      <c r="AA1146" s="1" t="s">
        <v>20447</v>
      </c>
      <c r="AB1146" s="1" t="s">
        <v>20448</v>
      </c>
      <c r="AC1146" s="1" t="s">
        <v>846</v>
      </c>
      <c r="AD1146" s="1">
        <v>8.7</v>
      </c>
      <c r="AE1146" s="1" t="s">
        <v>93</v>
      </c>
      <c r="AF1146" s="1" t="s">
        <v>20449</v>
      </c>
      <c r="AG1146" s="1" t="s">
        <v>307</v>
      </c>
      <c r="AH1146" s="1" t="s">
        <v>678</v>
      </c>
      <c r="AI1146" s="1" t="s">
        <v>166</v>
      </c>
      <c r="AJ1146" s="1">
        <v>72.4</v>
      </c>
      <c r="AK1146" s="1"/>
      <c r="AL1146" s="1" t="s">
        <v>20449</v>
      </c>
      <c r="AM1146" s="1" t="s">
        <v>307</v>
      </c>
      <c r="AN1146" s="1" t="s">
        <v>1065</v>
      </c>
      <c r="AO1146" s="1" t="s">
        <v>173</v>
      </c>
      <c r="AP1146" s="1">
        <v>76.4</v>
      </c>
      <c r="AQ1146" s="1"/>
      <c r="AR1146" s="1"/>
      <c r="AS1146" s="1"/>
      <c r="AT1146" s="1"/>
      <c r="AU1146" s="1"/>
      <c r="AV1146" s="1"/>
      <c r="AW1146" s="1"/>
      <c r="AX1146" s="1" t="s">
        <v>2078</v>
      </c>
      <c r="AY1146" s="1" t="s">
        <v>20450</v>
      </c>
      <c r="AZ1146" s="1" t="s">
        <v>920</v>
      </c>
      <c r="BA1146" s="1" t="s">
        <v>1939</v>
      </c>
      <c r="BB1146" s="1">
        <v>73.2</v>
      </c>
      <c r="BC1146" s="1">
        <v>8.07</v>
      </c>
      <c r="BD1146" s="1"/>
      <c r="BE1146" s="1"/>
      <c r="BF1146" s="1"/>
      <c r="BG1146" s="1"/>
      <c r="BH1146" s="1"/>
      <c r="BI1146" s="1"/>
      <c r="BJ1146" s="1" t="s">
        <v>20451</v>
      </c>
      <c r="BK1146" s="1"/>
      <c r="BL1146" s="1"/>
      <c r="BM1146" s="1" t="s">
        <v>20452</v>
      </c>
      <c r="BN1146" s="1">
        <v>38</v>
      </c>
      <c r="BO1146" s="1" t="s">
        <v>20453</v>
      </c>
      <c r="BP1146" s="1" t="str">
        <f>HYPERLINK("https://nconnect.nicmar.ac.in/storage/profile/ProfilePhoto_P25701084_612374.jpg","Download")</f>
        <v>0</v>
      </c>
      <c r="BQ1146" s="3"/>
      <c r="BR1146" s="3"/>
    </row>
    <row r="1147" spans="1:70">
      <c r="A1147" s="1" t="s">
        <v>1563</v>
      </c>
      <c r="B1147" s="1" t="s">
        <v>1269</v>
      </c>
      <c r="C1147" s="1" t="s">
        <v>20454</v>
      </c>
      <c r="D1147" s="1" t="s">
        <v>13498</v>
      </c>
      <c r="E1147" s="1" t="s">
        <v>20455</v>
      </c>
      <c r="F1147" s="1" t="s">
        <v>2760</v>
      </c>
      <c r="G1147" s="1" t="s">
        <v>20456</v>
      </c>
      <c r="H1147" s="1" t="s">
        <v>20457</v>
      </c>
      <c r="I1147" s="1" t="s">
        <v>20458</v>
      </c>
      <c r="J1147" s="1">
        <v>9028389684</v>
      </c>
      <c r="K1147" s="1" t="s">
        <v>79</v>
      </c>
      <c r="L1147" s="1" t="s">
        <v>20459</v>
      </c>
      <c r="M1147" s="1" t="s">
        <v>81</v>
      </c>
      <c r="N1147" s="1" t="s">
        <v>4300</v>
      </c>
      <c r="O1147" s="1"/>
      <c r="P1147" s="1" t="s">
        <v>1298</v>
      </c>
      <c r="Q1147" s="1" t="s">
        <v>20460</v>
      </c>
      <c r="R1147" s="1" t="s">
        <v>20455</v>
      </c>
      <c r="S1147" s="1">
        <v>8237153681</v>
      </c>
      <c r="T1147" s="1" t="s">
        <v>842</v>
      </c>
      <c r="U1147" s="1" t="s">
        <v>7899</v>
      </c>
      <c r="V1147" s="1">
        <v>9420058704</v>
      </c>
      <c r="W1147" s="1" t="s">
        <v>156</v>
      </c>
      <c r="X1147" s="1" t="s">
        <v>20461</v>
      </c>
      <c r="Y1147" s="1" t="s">
        <v>1018</v>
      </c>
      <c r="Z1147" s="1" t="s">
        <v>92</v>
      </c>
      <c r="AA1147" s="1" t="s">
        <v>20461</v>
      </c>
      <c r="AB1147" s="1" t="s">
        <v>1018</v>
      </c>
      <c r="AC1147" s="1" t="s">
        <v>92</v>
      </c>
      <c r="AD1147" s="1">
        <v>7.66</v>
      </c>
      <c r="AE1147" s="1" t="s">
        <v>93</v>
      </c>
      <c r="AF1147" s="1" t="s">
        <v>20462</v>
      </c>
      <c r="AG1147" s="1" t="s">
        <v>20463</v>
      </c>
      <c r="AH1147" s="1" t="s">
        <v>678</v>
      </c>
      <c r="AI1147" s="1" t="s">
        <v>1361</v>
      </c>
      <c r="AJ1147" s="1">
        <v>60.04</v>
      </c>
      <c r="AK1147" s="1"/>
      <c r="AL1147" s="1"/>
      <c r="AM1147" s="1"/>
      <c r="AN1147" s="1"/>
      <c r="AO1147" s="1"/>
      <c r="AP1147" s="1"/>
      <c r="AQ1147" s="1"/>
      <c r="AR1147" s="1" t="s">
        <v>98</v>
      </c>
      <c r="AS1147" s="1" t="s">
        <v>20464</v>
      </c>
      <c r="AT1147" s="1" t="s">
        <v>169</v>
      </c>
      <c r="AU1147" s="1" t="s">
        <v>436</v>
      </c>
      <c r="AV1147" s="1">
        <v>87.11</v>
      </c>
      <c r="AW1147" s="1"/>
      <c r="AX1147" s="1" t="s">
        <v>10208</v>
      </c>
      <c r="AY1147" s="1" t="s">
        <v>20465</v>
      </c>
      <c r="AZ1147" s="1" t="s">
        <v>1407</v>
      </c>
      <c r="BA1147" s="1" t="s">
        <v>1939</v>
      </c>
      <c r="BB1147" s="1">
        <v>66.2</v>
      </c>
      <c r="BC1147" s="1">
        <v>7.37</v>
      </c>
      <c r="BD1147" s="1"/>
      <c r="BE1147" s="1"/>
      <c r="BF1147" s="1"/>
      <c r="BG1147" s="1"/>
      <c r="BH1147" s="1"/>
      <c r="BI1147" s="1"/>
      <c r="BJ1147" s="1" t="s">
        <v>20466</v>
      </c>
      <c r="BK1147" s="1"/>
      <c r="BL1147" s="1"/>
      <c r="BM1147" s="1" t="s">
        <v>20467</v>
      </c>
      <c r="BN1147" s="1">
        <v>13</v>
      </c>
      <c r="BO1147" s="1" t="s">
        <v>20468</v>
      </c>
      <c r="BP1147" s="1" t="str">
        <f>HYPERLINK("https://nconnect.nicmar.ac.in/storage/profile/ProfilePhoto_P25701085_372584.jpg","Download")</f>
        <v>0</v>
      </c>
      <c r="BQ1147" s="3"/>
      <c r="BR1147" s="3"/>
    </row>
    <row r="1148" spans="1:70">
      <c r="A1148" s="1" t="s">
        <v>1563</v>
      </c>
      <c r="B1148" s="1" t="s">
        <v>1269</v>
      </c>
      <c r="C1148" s="1" t="s">
        <v>20469</v>
      </c>
      <c r="D1148" s="1" t="s">
        <v>20470</v>
      </c>
      <c r="E1148" s="1"/>
      <c r="F1148" s="1" t="s">
        <v>16617</v>
      </c>
      <c r="G1148" s="1" t="s">
        <v>20471</v>
      </c>
      <c r="H1148" s="1" t="s">
        <v>20472</v>
      </c>
      <c r="I1148" s="1" t="s">
        <v>20473</v>
      </c>
      <c r="J1148" s="1">
        <v>8867909058</v>
      </c>
      <c r="K1148" s="1" t="s">
        <v>79</v>
      </c>
      <c r="L1148" s="1" t="s">
        <v>20474</v>
      </c>
      <c r="M1148" s="1" t="s">
        <v>81</v>
      </c>
      <c r="N1148" s="1" t="s">
        <v>20475</v>
      </c>
      <c r="O1148" s="1"/>
      <c r="P1148" s="1" t="s">
        <v>1278</v>
      </c>
      <c r="Q1148" s="1" t="s">
        <v>20476</v>
      </c>
      <c r="R1148" s="1" t="s">
        <v>20477</v>
      </c>
      <c r="S1148" s="1">
        <v>9448285654</v>
      </c>
      <c r="T1148" s="1" t="s">
        <v>87</v>
      </c>
      <c r="U1148" s="1" t="s">
        <v>20478</v>
      </c>
      <c r="V1148" s="1">
        <v>9448282634</v>
      </c>
      <c r="W1148" s="1" t="s">
        <v>651</v>
      </c>
      <c r="X1148" s="1" t="s">
        <v>20479</v>
      </c>
      <c r="Y1148" s="1" t="s">
        <v>2052</v>
      </c>
      <c r="Z1148" s="1" t="s">
        <v>1084</v>
      </c>
      <c r="AA1148" s="1" t="s">
        <v>20479</v>
      </c>
      <c r="AB1148" s="1" t="s">
        <v>2052</v>
      </c>
      <c r="AC1148" s="1" t="s">
        <v>1084</v>
      </c>
      <c r="AD1148" s="1">
        <v>8.42</v>
      </c>
      <c r="AE1148" s="1" t="s">
        <v>93</v>
      </c>
      <c r="AF1148" s="1" t="s">
        <v>20480</v>
      </c>
      <c r="AG1148" s="1" t="s">
        <v>307</v>
      </c>
      <c r="AH1148" s="1" t="s">
        <v>162</v>
      </c>
      <c r="AI1148" s="1" t="s">
        <v>165</v>
      </c>
      <c r="AJ1148" s="1">
        <v>83.6</v>
      </c>
      <c r="AK1148" s="1">
        <v>8.8</v>
      </c>
      <c r="AL1148" s="1" t="s">
        <v>20481</v>
      </c>
      <c r="AM1148" s="1" t="s">
        <v>20482</v>
      </c>
      <c r="AN1148" s="1" t="s">
        <v>169</v>
      </c>
      <c r="AO1148" s="1" t="s">
        <v>1065</v>
      </c>
      <c r="AP1148" s="1">
        <v>80.16</v>
      </c>
      <c r="AQ1148" s="1"/>
      <c r="AR1148" s="1"/>
      <c r="AS1148" s="1"/>
      <c r="AT1148" s="1"/>
      <c r="AU1148" s="1"/>
      <c r="AV1148" s="1"/>
      <c r="AW1148" s="1"/>
      <c r="AX1148" s="1" t="s">
        <v>20483</v>
      </c>
      <c r="AY1148" s="1" t="s">
        <v>20483</v>
      </c>
      <c r="AZ1148" s="1" t="s">
        <v>201</v>
      </c>
      <c r="BA1148" s="1" t="s">
        <v>1134</v>
      </c>
      <c r="BB1148" s="1">
        <v>80.6</v>
      </c>
      <c r="BC1148" s="1">
        <v>8.81</v>
      </c>
      <c r="BD1148" s="1"/>
      <c r="BE1148" s="1"/>
      <c r="BF1148" s="1"/>
      <c r="BG1148" s="1"/>
      <c r="BH1148" s="1"/>
      <c r="BI1148" s="1"/>
      <c r="BJ1148" s="1" t="s">
        <v>20484</v>
      </c>
      <c r="BK1148" s="1" t="s">
        <v>20485</v>
      </c>
      <c r="BL1148" s="1" t="s">
        <v>1629</v>
      </c>
      <c r="BM1148" s="1" t="s">
        <v>20486</v>
      </c>
      <c r="BN1148" s="1">
        <v>13</v>
      </c>
      <c r="BO1148" s="1"/>
      <c r="BP1148" s="1" t="str">
        <f>HYPERLINK("https://nconnect.nicmar.ac.in/storage/profile/ProfilePhoto_P25701087_365981.jpg","Download")</f>
        <v>0</v>
      </c>
      <c r="BQ1148" s="3"/>
      <c r="BR1148" s="3"/>
    </row>
    <row r="1149" spans="1:70">
      <c r="A1149" s="1" t="s">
        <v>1563</v>
      </c>
      <c r="B1149" s="1" t="s">
        <v>1269</v>
      </c>
      <c r="C1149" s="1" t="s">
        <v>20487</v>
      </c>
      <c r="D1149" s="1" t="s">
        <v>19663</v>
      </c>
      <c r="E1149" s="1" t="s">
        <v>668</v>
      </c>
      <c r="F1149" s="1" t="s">
        <v>20488</v>
      </c>
      <c r="G1149" s="1" t="s">
        <v>20489</v>
      </c>
      <c r="H1149" s="1" t="s">
        <v>20490</v>
      </c>
      <c r="I1149" s="1" t="s">
        <v>20491</v>
      </c>
      <c r="J1149" s="1">
        <v>8788891256</v>
      </c>
      <c r="K1149" s="1" t="s">
        <v>79</v>
      </c>
      <c r="L1149" s="1" t="s">
        <v>7837</v>
      </c>
      <c r="M1149" s="1" t="s">
        <v>81</v>
      </c>
      <c r="N1149" s="1" t="s">
        <v>1765</v>
      </c>
      <c r="O1149" s="1"/>
      <c r="P1149" s="1" t="s">
        <v>1298</v>
      </c>
      <c r="Q1149" s="1" t="s">
        <v>20492</v>
      </c>
      <c r="R1149" s="1" t="s">
        <v>668</v>
      </c>
      <c r="S1149" s="1">
        <v>9326183951</v>
      </c>
      <c r="T1149" s="1" t="s">
        <v>93</v>
      </c>
      <c r="U1149" s="1" t="s">
        <v>6026</v>
      </c>
      <c r="V1149" s="1">
        <v>9326183951</v>
      </c>
      <c r="W1149" s="1" t="s">
        <v>89</v>
      </c>
      <c r="X1149" s="1" t="s">
        <v>20493</v>
      </c>
      <c r="Y1149" s="1" t="s">
        <v>91</v>
      </c>
      <c r="Z1149" s="1" t="s">
        <v>92</v>
      </c>
      <c r="AA1149" s="1" t="s">
        <v>20493</v>
      </c>
      <c r="AB1149" s="1" t="s">
        <v>91</v>
      </c>
      <c r="AC1149" s="1" t="s">
        <v>92</v>
      </c>
      <c r="AD1149" s="1">
        <v>7.86</v>
      </c>
      <c r="AE1149" s="1" t="s">
        <v>93</v>
      </c>
      <c r="AF1149" s="1" t="s">
        <v>20494</v>
      </c>
      <c r="AG1149" s="1" t="s">
        <v>160</v>
      </c>
      <c r="AH1149" s="1" t="s">
        <v>161</v>
      </c>
      <c r="AI1149" s="1" t="s">
        <v>456</v>
      </c>
      <c r="AJ1149" s="1">
        <v>79.4</v>
      </c>
      <c r="AK1149" s="1"/>
      <c r="AL1149" s="1" t="s">
        <v>20495</v>
      </c>
      <c r="AM1149" s="1" t="s">
        <v>160</v>
      </c>
      <c r="AN1149" s="1" t="s">
        <v>165</v>
      </c>
      <c r="AO1149" s="1" t="s">
        <v>457</v>
      </c>
      <c r="AP1149" s="1">
        <v>75.23</v>
      </c>
      <c r="AQ1149" s="1"/>
      <c r="AR1149" s="1"/>
      <c r="AS1149" s="1"/>
      <c r="AT1149" s="1"/>
      <c r="AU1149" s="1"/>
      <c r="AV1149" s="1"/>
      <c r="AW1149" s="1"/>
      <c r="AX1149" s="1" t="s">
        <v>20496</v>
      </c>
      <c r="AY1149" s="1" t="s">
        <v>5665</v>
      </c>
      <c r="AZ1149" s="1" t="s">
        <v>169</v>
      </c>
      <c r="BA1149" s="1" t="s">
        <v>229</v>
      </c>
      <c r="BB1149" s="1">
        <v>82.2</v>
      </c>
      <c r="BC1149" s="1">
        <v>8.72</v>
      </c>
      <c r="BD1149" s="1"/>
      <c r="BE1149" s="1"/>
      <c r="BF1149" s="1"/>
      <c r="BG1149" s="1"/>
      <c r="BH1149" s="1"/>
      <c r="BI1149" s="1"/>
      <c r="BJ1149" s="1" t="s">
        <v>20497</v>
      </c>
      <c r="BK1149" s="1" t="s">
        <v>20498</v>
      </c>
      <c r="BL1149" s="1" t="s">
        <v>4933</v>
      </c>
      <c r="BM1149" s="1" t="s">
        <v>20499</v>
      </c>
      <c r="BN1149" s="1">
        <v>33</v>
      </c>
      <c r="BO1149" s="1" t="s">
        <v>20500</v>
      </c>
      <c r="BP1149" s="1" t="str">
        <f>HYPERLINK("https://nconnect.nicmar.ac.in/storage/profile/ProfilePhoto_P25701088_378519.jpg","Download")</f>
        <v>0</v>
      </c>
      <c r="BQ1149" s="3"/>
      <c r="BR1149" s="3"/>
    </row>
    <row r="1150" spans="1:70">
      <c r="A1150" s="1" t="s">
        <v>1563</v>
      </c>
      <c r="B1150" s="1" t="s">
        <v>1269</v>
      </c>
      <c r="C1150" s="1" t="s">
        <v>20501</v>
      </c>
      <c r="D1150" s="1" t="s">
        <v>1800</v>
      </c>
      <c r="E1150" s="1" t="s">
        <v>1566</v>
      </c>
      <c r="F1150" s="1" t="s">
        <v>4026</v>
      </c>
      <c r="G1150" s="1" t="s">
        <v>20502</v>
      </c>
      <c r="H1150" s="1" t="s">
        <v>20503</v>
      </c>
      <c r="I1150" s="1" t="s">
        <v>20504</v>
      </c>
      <c r="J1150" s="1">
        <v>7410544726</v>
      </c>
      <c r="K1150" s="1" t="s">
        <v>79</v>
      </c>
      <c r="L1150" s="1" t="s">
        <v>20505</v>
      </c>
      <c r="M1150" s="1" t="s">
        <v>81</v>
      </c>
      <c r="N1150" s="1" t="s">
        <v>20506</v>
      </c>
      <c r="O1150" s="1"/>
      <c r="P1150" s="1" t="s">
        <v>1278</v>
      </c>
      <c r="Q1150" s="1" t="s">
        <v>20507</v>
      </c>
      <c r="R1150" s="1" t="s">
        <v>20508</v>
      </c>
      <c r="S1150" s="1">
        <v>7767889890</v>
      </c>
      <c r="T1150" s="1" t="s">
        <v>216</v>
      </c>
      <c r="U1150" s="1" t="s">
        <v>20509</v>
      </c>
      <c r="V1150" s="1">
        <v>8421622695</v>
      </c>
      <c r="W1150" s="1" t="s">
        <v>156</v>
      </c>
      <c r="X1150" s="1" t="s">
        <v>20510</v>
      </c>
      <c r="Y1150" s="1" t="s">
        <v>191</v>
      </c>
      <c r="Z1150" s="1" t="s">
        <v>92</v>
      </c>
      <c r="AA1150" s="1" t="s">
        <v>20510</v>
      </c>
      <c r="AB1150" s="1" t="s">
        <v>191</v>
      </c>
      <c r="AC1150" s="1" t="s">
        <v>92</v>
      </c>
      <c r="AD1150" s="1">
        <v>7.25</v>
      </c>
      <c r="AE1150" s="1" t="s">
        <v>93</v>
      </c>
      <c r="AF1150" s="1" t="s">
        <v>20511</v>
      </c>
      <c r="AG1150" s="1" t="s">
        <v>307</v>
      </c>
      <c r="AH1150" s="1" t="s">
        <v>1307</v>
      </c>
      <c r="AI1150" s="1" t="s">
        <v>308</v>
      </c>
      <c r="AJ1150" s="1">
        <v>82.8</v>
      </c>
      <c r="AK1150" s="1"/>
      <c r="AL1150" s="1" t="s">
        <v>20511</v>
      </c>
      <c r="AM1150" s="1" t="s">
        <v>307</v>
      </c>
      <c r="AN1150" s="1" t="s">
        <v>1834</v>
      </c>
      <c r="AO1150" s="1" t="s">
        <v>506</v>
      </c>
      <c r="AP1150" s="1">
        <v>80</v>
      </c>
      <c r="AQ1150" s="1"/>
      <c r="AR1150" s="1"/>
      <c r="AS1150" s="1"/>
      <c r="AT1150" s="1"/>
      <c r="AU1150" s="1"/>
      <c r="AV1150" s="1"/>
      <c r="AW1150" s="1"/>
      <c r="AX1150" s="1" t="s">
        <v>361</v>
      </c>
      <c r="AY1150" s="1" t="s">
        <v>20512</v>
      </c>
      <c r="AZ1150" s="1" t="s">
        <v>897</v>
      </c>
      <c r="BA1150" s="1" t="s">
        <v>1714</v>
      </c>
      <c r="BB1150" s="1">
        <v>66.7</v>
      </c>
      <c r="BC1150" s="1">
        <v>7.42</v>
      </c>
      <c r="BD1150" s="1"/>
      <c r="BE1150" s="1"/>
      <c r="BF1150" s="1"/>
      <c r="BG1150" s="1"/>
      <c r="BH1150" s="1"/>
      <c r="BI1150" s="1"/>
      <c r="BJ1150" s="1" t="s">
        <v>1383</v>
      </c>
      <c r="BK1150" s="1"/>
      <c r="BL1150" s="1"/>
      <c r="BM1150" s="1" t="s">
        <v>20513</v>
      </c>
      <c r="BN1150" s="1">
        <v>47</v>
      </c>
      <c r="BO1150" s="1"/>
      <c r="BP1150" s="1" t="str">
        <f>HYPERLINK("https://nconnect.nicmar.ac.in/storage/profile/ProfilePhoto_P25701089_251937.jpg","Download")</f>
        <v>0</v>
      </c>
      <c r="BQ1150" s="3"/>
      <c r="BR1150" s="3"/>
    </row>
    <row r="1151" spans="1:70">
      <c r="A1151" s="1" t="s">
        <v>1563</v>
      </c>
      <c r="B1151" s="1" t="s">
        <v>1269</v>
      </c>
      <c r="C1151" s="1" t="s">
        <v>20514</v>
      </c>
      <c r="D1151" s="1" t="s">
        <v>20515</v>
      </c>
      <c r="E1151" s="1" t="s">
        <v>1390</v>
      </c>
      <c r="F1151" s="1" t="s">
        <v>12044</v>
      </c>
      <c r="G1151" s="1" t="s">
        <v>20516</v>
      </c>
      <c r="H1151" s="1" t="s">
        <v>20517</v>
      </c>
      <c r="I1151" s="1" t="s">
        <v>20518</v>
      </c>
      <c r="J1151" s="1">
        <v>9744966172</v>
      </c>
      <c r="K1151" s="1" t="s">
        <v>79</v>
      </c>
      <c r="L1151" s="1" t="s">
        <v>20519</v>
      </c>
      <c r="M1151" s="1" t="s">
        <v>81</v>
      </c>
      <c r="N1151" s="1" t="s">
        <v>12398</v>
      </c>
      <c r="O1151" s="1"/>
      <c r="P1151" s="1" t="s">
        <v>1323</v>
      </c>
      <c r="Q1151" s="1" t="s">
        <v>20520</v>
      </c>
      <c r="R1151" s="1" t="s">
        <v>20521</v>
      </c>
      <c r="S1151" s="1">
        <v>9188391930</v>
      </c>
      <c r="T1151" s="1" t="s">
        <v>120</v>
      </c>
      <c r="U1151" s="1" t="s">
        <v>20522</v>
      </c>
      <c r="V1151" s="1">
        <v>9747870930</v>
      </c>
      <c r="W1151" s="1" t="s">
        <v>156</v>
      </c>
      <c r="X1151" s="1" t="s">
        <v>20523</v>
      </c>
      <c r="Y1151" s="1" t="s">
        <v>20198</v>
      </c>
      <c r="Z1151" s="1" t="s">
        <v>125</v>
      </c>
      <c r="AA1151" s="1" t="s">
        <v>20523</v>
      </c>
      <c r="AB1151" s="1" t="s">
        <v>20198</v>
      </c>
      <c r="AC1151" s="1" t="s">
        <v>125</v>
      </c>
      <c r="AD1151" s="1">
        <v>6.51</v>
      </c>
      <c r="AE1151" s="1" t="s">
        <v>93</v>
      </c>
      <c r="AF1151" s="1" t="s">
        <v>20524</v>
      </c>
      <c r="AG1151" s="1" t="s">
        <v>20525</v>
      </c>
      <c r="AH1151" s="1" t="s">
        <v>998</v>
      </c>
      <c r="AI1151" s="1" t="s">
        <v>96</v>
      </c>
      <c r="AJ1151" s="1">
        <v>66.5</v>
      </c>
      <c r="AK1151" s="1"/>
      <c r="AL1151" s="1" t="s">
        <v>20526</v>
      </c>
      <c r="AM1151" s="1" t="s">
        <v>20527</v>
      </c>
      <c r="AN1151" s="1" t="s">
        <v>161</v>
      </c>
      <c r="AO1151" s="1" t="s">
        <v>162</v>
      </c>
      <c r="AP1151" s="1">
        <v>68</v>
      </c>
      <c r="AQ1151" s="1"/>
      <c r="AR1151" s="1"/>
      <c r="AS1151" s="1"/>
      <c r="AT1151" s="1"/>
      <c r="AU1151" s="1"/>
      <c r="AV1151" s="1"/>
      <c r="AW1151" s="1"/>
      <c r="AX1151" s="1" t="s">
        <v>20528</v>
      </c>
      <c r="AY1151" s="1" t="s">
        <v>20529</v>
      </c>
      <c r="AZ1151" s="1" t="s">
        <v>733</v>
      </c>
      <c r="BA1151" s="1" t="s">
        <v>506</v>
      </c>
      <c r="BB1151" s="1">
        <v>74.94</v>
      </c>
      <c r="BC1151" s="1"/>
      <c r="BD1151" s="1"/>
      <c r="BE1151" s="1"/>
      <c r="BF1151" s="1"/>
      <c r="BG1151" s="1"/>
      <c r="BH1151" s="1"/>
      <c r="BI1151" s="1"/>
      <c r="BJ1151" s="1" t="s">
        <v>20530</v>
      </c>
      <c r="BK1151" s="1" t="s">
        <v>20531</v>
      </c>
      <c r="BL1151" s="1" t="s">
        <v>3110</v>
      </c>
      <c r="BM1151" s="1" t="s">
        <v>20532</v>
      </c>
      <c r="BN1151" s="1">
        <v>33</v>
      </c>
      <c r="BO1151" s="1" t="s">
        <v>20533</v>
      </c>
      <c r="BP1151" s="1" t="str">
        <f>HYPERLINK("https://nconnect.nicmar.ac.in/storage/profile/ProfilePhoto_P25701090_859126.jpg","Download")</f>
        <v>0</v>
      </c>
      <c r="BQ1151" s="3"/>
      <c r="BR1151" s="3"/>
    </row>
    <row r="1152" spans="1:70">
      <c r="A1152" s="1" t="s">
        <v>1563</v>
      </c>
      <c r="B1152" s="1" t="s">
        <v>1269</v>
      </c>
      <c r="C1152" s="1" t="s">
        <v>20534</v>
      </c>
      <c r="D1152" s="1" t="s">
        <v>4302</v>
      </c>
      <c r="E1152" s="1" t="s">
        <v>20535</v>
      </c>
      <c r="F1152" s="1" t="s">
        <v>20536</v>
      </c>
      <c r="G1152" s="1" t="s">
        <v>20537</v>
      </c>
      <c r="H1152" s="1" t="s">
        <v>20538</v>
      </c>
      <c r="I1152" s="1" t="s">
        <v>20539</v>
      </c>
      <c r="J1152" s="1">
        <v>9348687343</v>
      </c>
      <c r="K1152" s="1" t="s">
        <v>148</v>
      </c>
      <c r="L1152" s="1" t="s">
        <v>20540</v>
      </c>
      <c r="M1152" s="1" t="s">
        <v>81</v>
      </c>
      <c r="N1152" s="1" t="s">
        <v>1746</v>
      </c>
      <c r="O1152" s="1"/>
      <c r="P1152" s="1" t="s">
        <v>2507</v>
      </c>
      <c r="Q1152" s="1" t="s">
        <v>20541</v>
      </c>
      <c r="R1152" s="1" t="s">
        <v>20542</v>
      </c>
      <c r="S1152" s="1">
        <v>9556702907</v>
      </c>
      <c r="T1152" s="1" t="s">
        <v>20543</v>
      </c>
      <c r="U1152" s="1" t="s">
        <v>20544</v>
      </c>
      <c r="V1152" s="1">
        <v>7735563982</v>
      </c>
      <c r="W1152" s="1" t="s">
        <v>18085</v>
      </c>
      <c r="X1152" s="1" t="s">
        <v>20545</v>
      </c>
      <c r="Y1152" s="1" t="s">
        <v>20546</v>
      </c>
      <c r="Z1152" s="1" t="s">
        <v>1731</v>
      </c>
      <c r="AA1152" s="1" t="s">
        <v>20545</v>
      </c>
      <c r="AB1152" s="1" t="s">
        <v>20546</v>
      </c>
      <c r="AC1152" s="1" t="s">
        <v>1731</v>
      </c>
      <c r="AD1152" s="1">
        <v>8.29</v>
      </c>
      <c r="AE1152" s="1" t="s">
        <v>93</v>
      </c>
      <c r="AF1152" s="1" t="s">
        <v>20547</v>
      </c>
      <c r="AG1152" s="1" t="s">
        <v>16647</v>
      </c>
      <c r="AH1152" s="1" t="s">
        <v>1197</v>
      </c>
      <c r="AI1152" s="1" t="s">
        <v>131</v>
      </c>
      <c r="AJ1152" s="1">
        <v>81.33</v>
      </c>
      <c r="AK1152" s="1"/>
      <c r="AL1152" s="1" t="s">
        <v>20548</v>
      </c>
      <c r="AM1152" s="1" t="s">
        <v>2402</v>
      </c>
      <c r="AN1152" s="1" t="s">
        <v>131</v>
      </c>
      <c r="AO1152" s="1" t="s">
        <v>479</v>
      </c>
      <c r="AP1152" s="1">
        <v>64.16</v>
      </c>
      <c r="AQ1152" s="1"/>
      <c r="AR1152" s="1"/>
      <c r="AS1152" s="1"/>
      <c r="AT1152" s="1"/>
      <c r="AU1152" s="1"/>
      <c r="AV1152" s="1"/>
      <c r="AW1152" s="1"/>
      <c r="AX1152" s="1" t="s">
        <v>16241</v>
      </c>
      <c r="AY1152" s="1" t="s">
        <v>19574</v>
      </c>
      <c r="AZ1152" s="1" t="s">
        <v>101</v>
      </c>
      <c r="BA1152" s="1" t="s">
        <v>682</v>
      </c>
      <c r="BB1152" s="1">
        <v>70.6</v>
      </c>
      <c r="BC1152" s="1">
        <v>7.56</v>
      </c>
      <c r="BD1152" s="1"/>
      <c r="BE1152" s="1"/>
      <c r="BF1152" s="1"/>
      <c r="BG1152" s="1"/>
      <c r="BH1152" s="1"/>
      <c r="BI1152" s="1"/>
      <c r="BJ1152" s="1" t="s">
        <v>20549</v>
      </c>
      <c r="BK1152" s="1" t="s">
        <v>20550</v>
      </c>
      <c r="BL1152" s="1" t="s">
        <v>4933</v>
      </c>
      <c r="BM1152" s="1" t="s">
        <v>20551</v>
      </c>
      <c r="BN1152" s="1">
        <v>27</v>
      </c>
      <c r="BO1152" s="1"/>
      <c r="BP1152" s="1" t="str">
        <f>HYPERLINK("https://nconnect.nicmar.ac.in/storage/profile/ProfilePhoto_P25701091_628517.jpg","Download")</f>
        <v>0</v>
      </c>
      <c r="BQ1152" s="3"/>
      <c r="BR1152" s="3"/>
    </row>
    <row r="1153" spans="1:70">
      <c r="A1153" s="1" t="s">
        <v>1563</v>
      </c>
      <c r="B1153" s="1" t="s">
        <v>1269</v>
      </c>
      <c r="C1153" s="1" t="s">
        <v>20552</v>
      </c>
      <c r="D1153" s="1" t="s">
        <v>20553</v>
      </c>
      <c r="E1153" s="1"/>
      <c r="F1153" s="1" t="s">
        <v>835</v>
      </c>
      <c r="G1153" s="1" t="s">
        <v>20554</v>
      </c>
      <c r="H1153" s="1" t="s">
        <v>20555</v>
      </c>
      <c r="I1153" s="1" t="s">
        <v>20556</v>
      </c>
      <c r="J1153" s="1">
        <v>9466906697</v>
      </c>
      <c r="K1153" s="1" t="s">
        <v>148</v>
      </c>
      <c r="L1153" s="1" t="s">
        <v>20557</v>
      </c>
      <c r="M1153" s="1" t="s">
        <v>81</v>
      </c>
      <c r="N1153" s="1" t="s">
        <v>13681</v>
      </c>
      <c r="O1153" s="1"/>
      <c r="P1153" s="1" t="s">
        <v>1323</v>
      </c>
      <c r="Q1153" s="1" t="s">
        <v>20558</v>
      </c>
      <c r="R1153" s="1" t="s">
        <v>444</v>
      </c>
      <c r="S1153" s="1">
        <v>9973081111</v>
      </c>
      <c r="T1153" s="1" t="s">
        <v>496</v>
      </c>
      <c r="U1153" s="1" t="s">
        <v>20559</v>
      </c>
      <c r="V1153" s="1">
        <v>9835627621</v>
      </c>
      <c r="W1153" s="1" t="s">
        <v>89</v>
      </c>
      <c r="X1153" s="1" t="s">
        <v>20560</v>
      </c>
      <c r="Y1153" s="1" t="s">
        <v>5975</v>
      </c>
      <c r="Z1153" s="1" t="s">
        <v>936</v>
      </c>
      <c r="AA1153" s="1" t="s">
        <v>20560</v>
      </c>
      <c r="AB1153" s="1" t="s">
        <v>5975</v>
      </c>
      <c r="AC1153" s="1" t="s">
        <v>936</v>
      </c>
      <c r="AD1153" s="1">
        <v>7.45</v>
      </c>
      <c r="AE1153" s="1" t="s">
        <v>93</v>
      </c>
      <c r="AF1153" s="1" t="s">
        <v>20561</v>
      </c>
      <c r="AG1153" s="1" t="s">
        <v>307</v>
      </c>
      <c r="AH1153" s="1" t="s">
        <v>4564</v>
      </c>
      <c r="AI1153" s="1" t="s">
        <v>4223</v>
      </c>
      <c r="AJ1153" s="1">
        <v>66.5</v>
      </c>
      <c r="AK1153" s="1">
        <v>7</v>
      </c>
      <c r="AL1153" s="1" t="s">
        <v>20561</v>
      </c>
      <c r="AM1153" s="1" t="s">
        <v>307</v>
      </c>
      <c r="AN1153" s="1" t="s">
        <v>477</v>
      </c>
      <c r="AO1153" s="1" t="s">
        <v>503</v>
      </c>
      <c r="AP1153" s="1">
        <v>72.8</v>
      </c>
      <c r="AQ1153" s="1"/>
      <c r="AR1153" s="1"/>
      <c r="AS1153" s="1"/>
      <c r="AT1153" s="1"/>
      <c r="AU1153" s="1"/>
      <c r="AV1153" s="1"/>
      <c r="AW1153" s="1"/>
      <c r="AX1153" s="1" t="s">
        <v>20562</v>
      </c>
      <c r="AY1153" s="1" t="s">
        <v>20563</v>
      </c>
      <c r="AZ1153" s="1" t="s">
        <v>337</v>
      </c>
      <c r="BA1153" s="1" t="s">
        <v>636</v>
      </c>
      <c r="BB1153" s="1">
        <v>84.2</v>
      </c>
      <c r="BC1153" s="1">
        <v>8.42</v>
      </c>
      <c r="BD1153" s="1"/>
      <c r="BE1153" s="1"/>
      <c r="BF1153" s="1"/>
      <c r="BG1153" s="1"/>
      <c r="BH1153" s="1"/>
      <c r="BI1153" s="1"/>
      <c r="BJ1153" s="1" t="s">
        <v>20564</v>
      </c>
      <c r="BK1153" s="1" t="s">
        <v>20565</v>
      </c>
      <c r="BL1153" s="1" t="s">
        <v>7811</v>
      </c>
      <c r="BM1153" s="1"/>
      <c r="BN1153" s="1"/>
      <c r="BO1153" s="1" t="s">
        <v>17806</v>
      </c>
      <c r="BP1153" s="1" t="str">
        <f>HYPERLINK("https://nconnect.nicmar.ac.in/storage/profile/ProfilePhoto_P25701092_936487.jpg","Download")</f>
        <v>0</v>
      </c>
      <c r="BQ1153" s="3"/>
      <c r="BR1153" s="3"/>
    </row>
    <row r="1154" spans="1:70">
      <c r="A1154" s="1" t="s">
        <v>1563</v>
      </c>
      <c r="B1154" s="1" t="s">
        <v>1269</v>
      </c>
      <c r="C1154" s="1" t="s">
        <v>20566</v>
      </c>
      <c r="D1154" s="1" t="s">
        <v>20567</v>
      </c>
      <c r="E1154" s="1" t="s">
        <v>3584</v>
      </c>
      <c r="F1154" s="1" t="s">
        <v>2658</v>
      </c>
      <c r="G1154" s="1" t="s">
        <v>20568</v>
      </c>
      <c r="H1154" s="1" t="s">
        <v>20569</v>
      </c>
      <c r="I1154" s="1" t="s">
        <v>20570</v>
      </c>
      <c r="J1154" s="1">
        <v>8086277999</v>
      </c>
      <c r="K1154" s="1" t="s">
        <v>148</v>
      </c>
      <c r="L1154" s="1" t="s">
        <v>20571</v>
      </c>
      <c r="M1154" s="1" t="s">
        <v>81</v>
      </c>
      <c r="N1154" s="1" t="s">
        <v>20572</v>
      </c>
      <c r="O1154" s="1"/>
      <c r="P1154" s="1" t="s">
        <v>1323</v>
      </c>
      <c r="Q1154" s="1" t="s">
        <v>20573</v>
      </c>
      <c r="R1154" s="1" t="s">
        <v>20574</v>
      </c>
      <c r="S1154" s="1">
        <v>8086777999</v>
      </c>
      <c r="T1154" s="1" t="s">
        <v>5657</v>
      </c>
      <c r="U1154" s="1" t="s">
        <v>20575</v>
      </c>
      <c r="V1154" s="1">
        <v>9946086565</v>
      </c>
      <c r="W1154" s="1" t="s">
        <v>273</v>
      </c>
      <c r="X1154" s="1" t="s">
        <v>20576</v>
      </c>
      <c r="Y1154" s="1" t="s">
        <v>1260</v>
      </c>
      <c r="Z1154" s="1" t="s">
        <v>125</v>
      </c>
      <c r="AA1154" s="1" t="s">
        <v>20576</v>
      </c>
      <c r="AB1154" s="1" t="s">
        <v>1260</v>
      </c>
      <c r="AC1154" s="1" t="s">
        <v>125</v>
      </c>
      <c r="AD1154" s="1">
        <v>8.97</v>
      </c>
      <c r="AE1154" s="1" t="s">
        <v>93</v>
      </c>
      <c r="AF1154" s="1" t="s">
        <v>20577</v>
      </c>
      <c r="AG1154" s="1" t="s">
        <v>19249</v>
      </c>
      <c r="AH1154" s="1" t="s">
        <v>162</v>
      </c>
      <c r="AI1154" s="1" t="s">
        <v>479</v>
      </c>
      <c r="AJ1154" s="1">
        <v>90.83</v>
      </c>
      <c r="AK1154" s="1"/>
      <c r="AL1154" s="1" t="s">
        <v>20578</v>
      </c>
      <c r="AM1154" s="1" t="s">
        <v>894</v>
      </c>
      <c r="AN1154" s="1" t="s">
        <v>101</v>
      </c>
      <c r="AO1154" s="1" t="s">
        <v>308</v>
      </c>
      <c r="AP1154" s="1">
        <v>81.4</v>
      </c>
      <c r="AQ1154" s="1"/>
      <c r="AR1154" s="1"/>
      <c r="AS1154" s="1"/>
      <c r="AT1154" s="1"/>
      <c r="AU1154" s="1"/>
      <c r="AV1154" s="1"/>
      <c r="AW1154" s="1"/>
      <c r="AX1154" s="1" t="s">
        <v>7909</v>
      </c>
      <c r="AY1154" s="1" t="s">
        <v>20579</v>
      </c>
      <c r="AZ1154" s="1" t="s">
        <v>310</v>
      </c>
      <c r="BA1154" s="1" t="s">
        <v>1939</v>
      </c>
      <c r="BB1154" s="1">
        <v>71.6</v>
      </c>
      <c r="BC1154" s="1">
        <v>7.66</v>
      </c>
      <c r="BD1154" s="1"/>
      <c r="BE1154" s="1"/>
      <c r="BF1154" s="1"/>
      <c r="BG1154" s="1"/>
      <c r="BH1154" s="1"/>
      <c r="BI1154" s="1"/>
      <c r="BJ1154" s="1" t="s">
        <v>20580</v>
      </c>
      <c r="BK1154" s="1" t="s">
        <v>20581</v>
      </c>
      <c r="BL1154" s="1" t="s">
        <v>2187</v>
      </c>
      <c r="BM1154" s="1" t="s">
        <v>20582</v>
      </c>
      <c r="BN1154" s="1">
        <v>23</v>
      </c>
      <c r="BO1154" s="1" t="s">
        <v>20583</v>
      </c>
      <c r="BP1154" s="1" t="str">
        <f>HYPERLINK("https://nconnect.nicmar.ac.in/storage/profile/ProfilePhoto_P25701093_486973.jpg","Download")</f>
        <v>0</v>
      </c>
      <c r="BQ1154" s="3"/>
      <c r="BR1154" s="3"/>
    </row>
    <row r="1155" spans="1:70">
      <c r="A1155" s="1" t="s">
        <v>1563</v>
      </c>
      <c r="B1155" s="1" t="s">
        <v>1269</v>
      </c>
      <c r="C1155" s="1" t="s">
        <v>20584</v>
      </c>
      <c r="D1155" s="1" t="s">
        <v>533</v>
      </c>
      <c r="E1155" s="1" t="s">
        <v>7571</v>
      </c>
      <c r="F1155" s="1" t="s">
        <v>20585</v>
      </c>
      <c r="G1155" s="1" t="s">
        <v>20586</v>
      </c>
      <c r="H1155" s="1" t="s">
        <v>20587</v>
      </c>
      <c r="I1155" s="1" t="s">
        <v>20588</v>
      </c>
      <c r="J1155" s="1">
        <v>9730973919</v>
      </c>
      <c r="K1155" s="1" t="s">
        <v>79</v>
      </c>
      <c r="L1155" s="1" t="s">
        <v>17437</v>
      </c>
      <c r="M1155" s="1" t="s">
        <v>81</v>
      </c>
      <c r="N1155" s="1" t="s">
        <v>14033</v>
      </c>
      <c r="O1155" s="1"/>
      <c r="P1155" s="1" t="s">
        <v>1323</v>
      </c>
      <c r="Q1155" s="1" t="s">
        <v>20589</v>
      </c>
      <c r="R1155" s="1" t="s">
        <v>7571</v>
      </c>
      <c r="S1155" s="1">
        <v>9096805125</v>
      </c>
      <c r="T1155" s="1" t="s">
        <v>20590</v>
      </c>
      <c r="U1155" s="1" t="s">
        <v>16307</v>
      </c>
      <c r="V1155" s="1">
        <v>8788885048</v>
      </c>
      <c r="W1155" s="1" t="s">
        <v>156</v>
      </c>
      <c r="X1155" s="1" t="s">
        <v>20591</v>
      </c>
      <c r="Y1155" s="1" t="s">
        <v>219</v>
      </c>
      <c r="Z1155" s="1" t="s">
        <v>92</v>
      </c>
      <c r="AA1155" s="1" t="s">
        <v>20591</v>
      </c>
      <c r="AB1155" s="1" t="s">
        <v>219</v>
      </c>
      <c r="AC1155" s="1" t="s">
        <v>92</v>
      </c>
      <c r="AD1155" s="1">
        <v>8.28</v>
      </c>
      <c r="AE1155" s="1" t="s">
        <v>93</v>
      </c>
      <c r="AF1155" s="1" t="s">
        <v>20592</v>
      </c>
      <c r="AG1155" s="1" t="s">
        <v>3484</v>
      </c>
      <c r="AH1155" s="1" t="s">
        <v>161</v>
      </c>
      <c r="AI1155" s="1" t="s">
        <v>527</v>
      </c>
      <c r="AJ1155" s="1">
        <v>83.6</v>
      </c>
      <c r="AK1155" s="1"/>
      <c r="AL1155" s="1" t="s">
        <v>20593</v>
      </c>
      <c r="AM1155" s="1" t="s">
        <v>3484</v>
      </c>
      <c r="AN1155" s="1" t="s">
        <v>165</v>
      </c>
      <c r="AO1155" s="1" t="s">
        <v>166</v>
      </c>
      <c r="AP1155" s="1">
        <v>65.08</v>
      </c>
      <c r="AQ1155" s="1"/>
      <c r="AR1155" s="1"/>
      <c r="AS1155" s="1"/>
      <c r="AT1155" s="1"/>
      <c r="AU1155" s="1"/>
      <c r="AV1155" s="1"/>
      <c r="AW1155" s="1"/>
      <c r="AX1155" s="1" t="s">
        <v>20594</v>
      </c>
      <c r="AY1155" s="1" t="s">
        <v>20595</v>
      </c>
      <c r="AZ1155" s="1" t="s">
        <v>636</v>
      </c>
      <c r="BA1155" s="1" t="s">
        <v>284</v>
      </c>
      <c r="BB1155" s="1">
        <v>89.58</v>
      </c>
      <c r="BC1155" s="1">
        <v>9.43</v>
      </c>
      <c r="BD1155" s="1"/>
      <c r="BE1155" s="1"/>
      <c r="BF1155" s="1"/>
      <c r="BG1155" s="1"/>
      <c r="BH1155" s="1"/>
      <c r="BI1155" s="1"/>
      <c r="BJ1155" s="1" t="s">
        <v>20596</v>
      </c>
      <c r="BK1155" s="1"/>
      <c r="BL1155" s="1"/>
      <c r="BM1155" s="1" t="s">
        <v>20597</v>
      </c>
      <c r="BN1155" s="1">
        <v>21</v>
      </c>
      <c r="BO1155" s="1" t="s">
        <v>20598</v>
      </c>
      <c r="BP1155" s="1" t="str">
        <f>HYPERLINK("https://nconnect.nicmar.ac.in/storage/profile/ProfilePhoto_P25701094_546218.jpg","Download")</f>
        <v>0</v>
      </c>
      <c r="BQ1155" s="3"/>
      <c r="BR1155" s="3"/>
    </row>
    <row r="1156" spans="1:70">
      <c r="A1156" s="1" t="s">
        <v>1563</v>
      </c>
      <c r="B1156" s="1" t="s">
        <v>1269</v>
      </c>
      <c r="C1156" s="1" t="s">
        <v>20599</v>
      </c>
      <c r="D1156" s="1" t="s">
        <v>20600</v>
      </c>
      <c r="E1156" s="1"/>
      <c r="F1156" s="1" t="s">
        <v>1875</v>
      </c>
      <c r="G1156" s="1" t="s">
        <v>20601</v>
      </c>
      <c r="H1156" s="1" t="s">
        <v>20602</v>
      </c>
      <c r="I1156" s="1" t="s">
        <v>20603</v>
      </c>
      <c r="J1156" s="1">
        <v>9400878285</v>
      </c>
      <c r="K1156" s="1" t="s">
        <v>79</v>
      </c>
      <c r="L1156" s="1" t="s">
        <v>1531</v>
      </c>
      <c r="M1156" s="1" t="s">
        <v>81</v>
      </c>
      <c r="N1156" s="1" t="s">
        <v>116</v>
      </c>
      <c r="O1156" s="1"/>
      <c r="P1156" s="1" t="s">
        <v>1278</v>
      </c>
      <c r="Q1156" s="1" t="s">
        <v>20604</v>
      </c>
      <c r="R1156" s="1" t="s">
        <v>20605</v>
      </c>
      <c r="S1156" s="1">
        <v>9495282885</v>
      </c>
      <c r="T1156" s="1" t="s">
        <v>20606</v>
      </c>
      <c r="U1156" s="1" t="s">
        <v>20607</v>
      </c>
      <c r="V1156" s="1">
        <v>9778750339</v>
      </c>
      <c r="W1156" s="1" t="s">
        <v>273</v>
      </c>
      <c r="X1156" s="1" t="s">
        <v>20608</v>
      </c>
      <c r="Y1156" s="1" t="s">
        <v>1401</v>
      </c>
      <c r="Z1156" s="1" t="s">
        <v>125</v>
      </c>
      <c r="AA1156" s="1" t="s">
        <v>20608</v>
      </c>
      <c r="AB1156" s="1" t="s">
        <v>1401</v>
      </c>
      <c r="AC1156" s="1" t="s">
        <v>125</v>
      </c>
      <c r="AD1156" s="1">
        <v>8.63</v>
      </c>
      <c r="AE1156" s="1" t="s">
        <v>93</v>
      </c>
      <c r="AF1156" s="1" t="s">
        <v>7767</v>
      </c>
      <c r="AG1156" s="1" t="s">
        <v>894</v>
      </c>
      <c r="AH1156" s="1" t="s">
        <v>165</v>
      </c>
      <c r="AI1156" s="1" t="s">
        <v>166</v>
      </c>
      <c r="AJ1156" s="1">
        <v>69.8</v>
      </c>
      <c r="AK1156" s="1"/>
      <c r="AL1156" s="1" t="s">
        <v>20609</v>
      </c>
      <c r="AM1156" s="1" t="s">
        <v>20527</v>
      </c>
      <c r="AN1156" s="1" t="s">
        <v>433</v>
      </c>
      <c r="AO1156" s="1" t="s">
        <v>173</v>
      </c>
      <c r="AP1156" s="1">
        <v>77.1</v>
      </c>
      <c r="AQ1156" s="1"/>
      <c r="AR1156" s="1"/>
      <c r="AS1156" s="1"/>
      <c r="AT1156" s="1"/>
      <c r="AU1156" s="1"/>
      <c r="AV1156" s="1"/>
      <c r="AW1156" s="1"/>
      <c r="AX1156" s="1" t="s">
        <v>20610</v>
      </c>
      <c r="AY1156" s="1" t="s">
        <v>20611</v>
      </c>
      <c r="AZ1156" s="1" t="s">
        <v>2463</v>
      </c>
      <c r="BA1156" s="1" t="s">
        <v>413</v>
      </c>
      <c r="BB1156" s="1">
        <v>69.3</v>
      </c>
      <c r="BC1156" s="1">
        <v>6.93</v>
      </c>
      <c r="BD1156" s="1"/>
      <c r="BE1156" s="1"/>
      <c r="BF1156" s="1"/>
      <c r="BG1156" s="1"/>
      <c r="BH1156" s="1"/>
      <c r="BI1156" s="1"/>
      <c r="BJ1156" s="1" t="s">
        <v>10047</v>
      </c>
      <c r="BK1156" s="1"/>
      <c r="BL1156" s="1"/>
      <c r="BM1156" s="1" t="s">
        <v>20612</v>
      </c>
      <c r="BN1156" s="1">
        <v>56</v>
      </c>
      <c r="BO1156" s="1" t="s">
        <v>20613</v>
      </c>
      <c r="BP1156" s="1" t="str">
        <f>HYPERLINK("https://nconnect.nicmar.ac.in/storage/profile/ProfilePhoto_P25701095_712486.jpg","Download")</f>
        <v>0</v>
      </c>
      <c r="BQ1156" s="3"/>
      <c r="BR1156" s="3"/>
    </row>
    <row r="1157" spans="1:70">
      <c r="A1157" s="1" t="s">
        <v>1563</v>
      </c>
      <c r="B1157" s="1" t="s">
        <v>1269</v>
      </c>
      <c r="C1157" s="1" t="s">
        <v>20614</v>
      </c>
      <c r="D1157" s="1" t="s">
        <v>20615</v>
      </c>
      <c r="E1157" s="1" t="s">
        <v>6490</v>
      </c>
      <c r="F1157" s="1" t="s">
        <v>20616</v>
      </c>
      <c r="G1157" s="1" t="s">
        <v>20617</v>
      </c>
      <c r="H1157" s="1" t="s">
        <v>20618</v>
      </c>
      <c r="I1157" s="1" t="s">
        <v>20619</v>
      </c>
      <c r="J1157" s="1">
        <v>9890631803</v>
      </c>
      <c r="K1157" s="1" t="s">
        <v>148</v>
      </c>
      <c r="L1157" s="1" t="s">
        <v>20620</v>
      </c>
      <c r="M1157" s="1" t="s">
        <v>81</v>
      </c>
      <c r="N1157" s="1" t="s">
        <v>3856</v>
      </c>
      <c r="O1157" s="1"/>
      <c r="P1157" s="1" t="s">
        <v>1323</v>
      </c>
      <c r="Q1157" s="1" t="s">
        <v>20621</v>
      </c>
      <c r="R1157" s="1" t="s">
        <v>20622</v>
      </c>
      <c r="S1157" s="1">
        <v>9890631803</v>
      </c>
      <c r="T1157" s="1" t="s">
        <v>122</v>
      </c>
      <c r="U1157" s="1" t="s">
        <v>20623</v>
      </c>
      <c r="V1157" s="1">
        <v>9890631803</v>
      </c>
      <c r="W1157" s="1" t="s">
        <v>273</v>
      </c>
      <c r="X1157" s="1" t="s">
        <v>20624</v>
      </c>
      <c r="Y1157" s="1" t="s">
        <v>1174</v>
      </c>
      <c r="Z1157" s="1" t="s">
        <v>92</v>
      </c>
      <c r="AA1157" s="1" t="s">
        <v>20624</v>
      </c>
      <c r="AB1157" s="1" t="s">
        <v>1174</v>
      </c>
      <c r="AC1157" s="1" t="s">
        <v>92</v>
      </c>
      <c r="AD1157" s="1">
        <v>8.28</v>
      </c>
      <c r="AE1157" s="1" t="s">
        <v>93</v>
      </c>
      <c r="AF1157" s="1" t="s">
        <v>20625</v>
      </c>
      <c r="AG1157" s="1" t="s">
        <v>544</v>
      </c>
      <c r="AH1157" s="1" t="s">
        <v>1307</v>
      </c>
      <c r="AI1157" s="1" t="s">
        <v>409</v>
      </c>
      <c r="AJ1157" s="1">
        <v>75.6</v>
      </c>
      <c r="AK1157" s="1">
        <v>0</v>
      </c>
      <c r="AL1157" s="1" t="s">
        <v>20626</v>
      </c>
      <c r="AM1157" s="1" t="s">
        <v>5877</v>
      </c>
      <c r="AN1157" s="1" t="s">
        <v>1834</v>
      </c>
      <c r="AO1157" s="1" t="s">
        <v>1712</v>
      </c>
      <c r="AP1157" s="1">
        <v>81.83</v>
      </c>
      <c r="AQ1157" s="1">
        <v>0</v>
      </c>
      <c r="AR1157" s="1"/>
      <c r="AS1157" s="1"/>
      <c r="AT1157" s="1"/>
      <c r="AU1157" s="1"/>
      <c r="AV1157" s="1"/>
      <c r="AW1157" s="1"/>
      <c r="AX1157" s="1" t="s">
        <v>361</v>
      </c>
      <c r="AY1157" s="1" t="s">
        <v>20627</v>
      </c>
      <c r="AZ1157" s="1" t="s">
        <v>436</v>
      </c>
      <c r="BA1157" s="1" t="s">
        <v>1361</v>
      </c>
      <c r="BB1157" s="1">
        <v>68.7</v>
      </c>
      <c r="BC1157" s="1">
        <v>7.62</v>
      </c>
      <c r="BD1157" s="1"/>
      <c r="BE1157" s="1"/>
      <c r="BF1157" s="1"/>
      <c r="BG1157" s="1"/>
      <c r="BH1157" s="1"/>
      <c r="BI1157" s="1"/>
      <c r="BJ1157" s="1" t="s">
        <v>20628</v>
      </c>
      <c r="BK1157" s="1"/>
      <c r="BL1157" s="1"/>
      <c r="BM1157" s="1" t="s">
        <v>20629</v>
      </c>
      <c r="BN1157" s="1">
        <v>11</v>
      </c>
      <c r="BO1157" s="1"/>
      <c r="BP1157" s="1" t="str">
        <f>HYPERLINK("https://nconnect.nicmar.ac.in/storage/profile/ProfilePhoto_P25701097_691845.jpg","Download")</f>
        <v>0</v>
      </c>
      <c r="BQ1157" s="3"/>
      <c r="BR1157" s="3"/>
    </row>
    <row r="1158" spans="1:70">
      <c r="A1158" s="1" t="s">
        <v>1563</v>
      </c>
      <c r="B1158" s="1" t="s">
        <v>1269</v>
      </c>
      <c r="C1158" s="1" t="s">
        <v>20630</v>
      </c>
      <c r="D1158" s="1" t="s">
        <v>20631</v>
      </c>
      <c r="E1158" s="1" t="s">
        <v>6490</v>
      </c>
      <c r="F1158" s="1" t="s">
        <v>20632</v>
      </c>
      <c r="G1158" s="1" t="s">
        <v>20633</v>
      </c>
      <c r="H1158" s="1" t="s">
        <v>20634</v>
      </c>
      <c r="I1158" s="1" t="s">
        <v>20635</v>
      </c>
      <c r="J1158" s="1">
        <v>9152324205</v>
      </c>
      <c r="K1158" s="1" t="s">
        <v>148</v>
      </c>
      <c r="L1158" s="1" t="s">
        <v>20636</v>
      </c>
      <c r="M1158" s="1" t="s">
        <v>81</v>
      </c>
      <c r="N1158" s="1" t="s">
        <v>13681</v>
      </c>
      <c r="O1158" s="1"/>
      <c r="P1158" s="1" t="s">
        <v>1766</v>
      </c>
      <c r="Q1158" s="1" t="s">
        <v>20637</v>
      </c>
      <c r="R1158" s="1" t="s">
        <v>6490</v>
      </c>
      <c r="S1158" s="1">
        <v>9819448052</v>
      </c>
      <c r="T1158" s="1" t="s">
        <v>4687</v>
      </c>
      <c r="U1158" s="1" t="s">
        <v>20638</v>
      </c>
      <c r="V1158" s="1">
        <v>9819448052</v>
      </c>
      <c r="W1158" s="1" t="s">
        <v>156</v>
      </c>
      <c r="X1158" s="1" t="s">
        <v>20639</v>
      </c>
      <c r="Y1158" s="1" t="s">
        <v>995</v>
      </c>
      <c r="Z1158" s="1" t="s">
        <v>92</v>
      </c>
      <c r="AA1158" s="1" t="s">
        <v>20639</v>
      </c>
      <c r="AB1158" s="1" t="s">
        <v>995</v>
      </c>
      <c r="AC1158" s="1" t="s">
        <v>92</v>
      </c>
      <c r="AD1158" s="1">
        <v>9.19</v>
      </c>
      <c r="AE1158" s="1" t="s">
        <v>93</v>
      </c>
      <c r="AF1158" s="1" t="s">
        <v>20640</v>
      </c>
      <c r="AG1158" s="1" t="s">
        <v>5102</v>
      </c>
      <c r="AH1158" s="1" t="s">
        <v>998</v>
      </c>
      <c r="AI1158" s="1" t="s">
        <v>999</v>
      </c>
      <c r="AJ1158" s="1">
        <v>93</v>
      </c>
      <c r="AK1158" s="1">
        <v>0</v>
      </c>
      <c r="AL1158" s="1" t="s">
        <v>20641</v>
      </c>
      <c r="AM1158" s="1" t="s">
        <v>5102</v>
      </c>
      <c r="AN1158" s="1" t="s">
        <v>161</v>
      </c>
      <c r="AO1158" s="1" t="s">
        <v>1001</v>
      </c>
      <c r="AP1158" s="1">
        <v>82.31</v>
      </c>
      <c r="AQ1158" s="1">
        <v>0</v>
      </c>
      <c r="AR1158" s="1"/>
      <c r="AS1158" s="1"/>
      <c r="AT1158" s="1"/>
      <c r="AU1158" s="1"/>
      <c r="AV1158" s="1"/>
      <c r="AW1158" s="1"/>
      <c r="AX1158" s="1" t="s">
        <v>1024</v>
      </c>
      <c r="AY1158" s="1" t="s">
        <v>20642</v>
      </c>
      <c r="AZ1158" s="1" t="s">
        <v>162</v>
      </c>
      <c r="BA1158" s="1" t="s">
        <v>1131</v>
      </c>
      <c r="BB1158" s="1">
        <v>67.72</v>
      </c>
      <c r="BC1158" s="1">
        <v>7.78</v>
      </c>
      <c r="BD1158" s="1"/>
      <c r="BE1158" s="1"/>
      <c r="BF1158" s="1"/>
      <c r="BG1158" s="1"/>
      <c r="BH1158" s="1"/>
      <c r="BI1158" s="1"/>
      <c r="BJ1158" s="1" t="s">
        <v>364</v>
      </c>
      <c r="BK1158" s="1" t="s">
        <v>20643</v>
      </c>
      <c r="BL1158" s="1" t="s">
        <v>1202</v>
      </c>
      <c r="BM1158" s="1" t="s">
        <v>20644</v>
      </c>
      <c r="BN1158" s="1">
        <v>27</v>
      </c>
      <c r="BO1158" s="1" t="s">
        <v>20645</v>
      </c>
      <c r="BP1158" s="1" t="str">
        <f>HYPERLINK("https://nconnect.nicmar.ac.in/storage/profile/ProfilePhoto_P25701098_726394.jpg","Download")</f>
        <v>0</v>
      </c>
      <c r="BQ1158" s="3"/>
      <c r="BR1158" s="3"/>
    </row>
    <row r="1159" spans="1:70">
      <c r="A1159" s="1" t="s">
        <v>1563</v>
      </c>
      <c r="B1159" s="1" t="s">
        <v>1269</v>
      </c>
      <c r="C1159" s="1" t="s">
        <v>20646</v>
      </c>
      <c r="D1159" s="1" t="s">
        <v>2347</v>
      </c>
      <c r="E1159" s="1" t="s">
        <v>8725</v>
      </c>
      <c r="F1159" s="1" t="s">
        <v>17083</v>
      </c>
      <c r="G1159" s="1" t="s">
        <v>20647</v>
      </c>
      <c r="H1159" s="1" t="s">
        <v>20648</v>
      </c>
      <c r="I1159" s="1" t="s">
        <v>20649</v>
      </c>
      <c r="J1159" s="1">
        <v>9405938803</v>
      </c>
      <c r="K1159" s="1" t="s">
        <v>79</v>
      </c>
      <c r="L1159" s="1" t="s">
        <v>4030</v>
      </c>
      <c r="M1159" s="1" t="s">
        <v>81</v>
      </c>
      <c r="N1159" s="1" t="s">
        <v>2008</v>
      </c>
      <c r="O1159" s="1"/>
      <c r="P1159" s="1" t="s">
        <v>1766</v>
      </c>
      <c r="Q1159" s="1" t="s">
        <v>20650</v>
      </c>
      <c r="R1159" s="1" t="s">
        <v>20651</v>
      </c>
      <c r="S1159" s="1">
        <v>9822658872</v>
      </c>
      <c r="T1159" s="1" t="s">
        <v>472</v>
      </c>
      <c r="U1159" s="1" t="s">
        <v>20652</v>
      </c>
      <c r="V1159" s="1">
        <v>9404464961</v>
      </c>
      <c r="W1159" s="1" t="s">
        <v>472</v>
      </c>
      <c r="X1159" s="1" t="s">
        <v>20653</v>
      </c>
      <c r="Y1159" s="1" t="s">
        <v>191</v>
      </c>
      <c r="Z1159" s="1" t="s">
        <v>92</v>
      </c>
      <c r="AA1159" s="1" t="s">
        <v>20654</v>
      </c>
      <c r="AB1159" s="1" t="s">
        <v>5788</v>
      </c>
      <c r="AC1159" s="1" t="s">
        <v>92</v>
      </c>
      <c r="AD1159" s="1">
        <v>8.43</v>
      </c>
      <c r="AE1159" s="1" t="s">
        <v>93</v>
      </c>
      <c r="AF1159" s="1" t="s">
        <v>20655</v>
      </c>
      <c r="AG1159" s="1" t="s">
        <v>544</v>
      </c>
      <c r="AH1159" s="1" t="s">
        <v>279</v>
      </c>
      <c r="AI1159" s="1" t="s">
        <v>195</v>
      </c>
      <c r="AJ1159" s="1">
        <v>88</v>
      </c>
      <c r="AK1159" s="1"/>
      <c r="AL1159" s="1" t="s">
        <v>20656</v>
      </c>
      <c r="AM1159" s="1" t="s">
        <v>544</v>
      </c>
      <c r="AN1159" s="1" t="s">
        <v>281</v>
      </c>
      <c r="AO1159" s="1" t="s">
        <v>198</v>
      </c>
      <c r="AP1159" s="1">
        <v>60.62</v>
      </c>
      <c r="AQ1159" s="1"/>
      <c r="AR1159" s="1"/>
      <c r="AS1159" s="1"/>
      <c r="AT1159" s="1"/>
      <c r="AU1159" s="1"/>
      <c r="AV1159" s="1"/>
      <c r="AW1159" s="1"/>
      <c r="AX1159" s="1" t="s">
        <v>3070</v>
      </c>
      <c r="AY1159" s="1" t="s">
        <v>20657</v>
      </c>
      <c r="AZ1159" s="1" t="s">
        <v>201</v>
      </c>
      <c r="BA1159" s="1" t="s">
        <v>682</v>
      </c>
      <c r="BB1159" s="1">
        <v>79</v>
      </c>
      <c r="BC1159" s="1">
        <v>8.25</v>
      </c>
      <c r="BD1159" s="1"/>
      <c r="BE1159" s="1"/>
      <c r="BF1159" s="1"/>
      <c r="BG1159" s="1"/>
      <c r="BH1159" s="1"/>
      <c r="BI1159" s="1"/>
      <c r="BJ1159" s="1" t="s">
        <v>20658</v>
      </c>
      <c r="BK1159" s="1" t="s">
        <v>20659</v>
      </c>
      <c r="BL1159" s="1" t="s">
        <v>4933</v>
      </c>
      <c r="BM1159" s="1"/>
      <c r="BN1159" s="1"/>
      <c r="BO1159" s="1" t="s">
        <v>20660</v>
      </c>
      <c r="BP1159" s="1" t="str">
        <f>HYPERLINK("https://nconnect.nicmar.ac.in/storage/profile/ProfilePhoto_P25701099_675183.jpg","Download")</f>
        <v>0</v>
      </c>
      <c r="BQ1159" s="3"/>
      <c r="BR1159" s="3"/>
    </row>
    <row r="1160" spans="1:70">
      <c r="A1160" s="1" t="s">
        <v>1563</v>
      </c>
      <c r="B1160" s="1" t="s">
        <v>1269</v>
      </c>
      <c r="C1160" s="1" t="s">
        <v>20661</v>
      </c>
      <c r="D1160" s="1" t="s">
        <v>5799</v>
      </c>
      <c r="E1160" s="1"/>
      <c r="F1160" s="1" t="s">
        <v>20662</v>
      </c>
      <c r="G1160" s="1" t="s">
        <v>20663</v>
      </c>
      <c r="H1160" s="1" t="s">
        <v>20664</v>
      </c>
      <c r="I1160" s="1" t="s">
        <v>20665</v>
      </c>
      <c r="J1160" s="1">
        <v>8744008487</v>
      </c>
      <c r="K1160" s="1" t="s">
        <v>148</v>
      </c>
      <c r="L1160" s="1" t="s">
        <v>20666</v>
      </c>
      <c r="M1160" s="1" t="s">
        <v>81</v>
      </c>
      <c r="N1160" s="1" t="s">
        <v>1951</v>
      </c>
      <c r="O1160" s="1" t="s">
        <v>20667</v>
      </c>
      <c r="P1160" s="1" t="s">
        <v>1323</v>
      </c>
      <c r="Q1160" s="1" t="s">
        <v>20668</v>
      </c>
      <c r="R1160" s="1" t="s">
        <v>20669</v>
      </c>
      <c r="S1160" s="1">
        <v>8527696836</v>
      </c>
      <c r="T1160" s="1" t="s">
        <v>4687</v>
      </c>
      <c r="U1160" s="1" t="s">
        <v>20670</v>
      </c>
      <c r="V1160" s="1">
        <v>9811513381</v>
      </c>
      <c r="W1160" s="1" t="s">
        <v>89</v>
      </c>
      <c r="X1160" s="1" t="s">
        <v>20671</v>
      </c>
      <c r="Y1160" s="1" t="s">
        <v>19778</v>
      </c>
      <c r="Z1160" s="1" t="s">
        <v>722</v>
      </c>
      <c r="AA1160" s="1" t="s">
        <v>20671</v>
      </c>
      <c r="AB1160" s="1" t="s">
        <v>19778</v>
      </c>
      <c r="AC1160" s="1" t="s">
        <v>722</v>
      </c>
      <c r="AD1160" s="1">
        <v>9.11</v>
      </c>
      <c r="AE1160" s="1" t="s">
        <v>93</v>
      </c>
      <c r="AF1160" s="1" t="s">
        <v>20672</v>
      </c>
      <c r="AG1160" s="1" t="s">
        <v>9727</v>
      </c>
      <c r="AH1160" s="1" t="s">
        <v>503</v>
      </c>
      <c r="AI1160" s="1" t="s">
        <v>456</v>
      </c>
      <c r="AJ1160" s="1">
        <v>95</v>
      </c>
      <c r="AK1160" s="1">
        <v>10</v>
      </c>
      <c r="AL1160" s="1" t="s">
        <v>20672</v>
      </c>
      <c r="AM1160" s="1" t="s">
        <v>9727</v>
      </c>
      <c r="AN1160" s="1" t="s">
        <v>678</v>
      </c>
      <c r="AO1160" s="1" t="s">
        <v>281</v>
      </c>
      <c r="AP1160" s="1">
        <v>91.2</v>
      </c>
      <c r="AQ1160" s="1">
        <v>0</v>
      </c>
      <c r="AR1160" s="1"/>
      <c r="AS1160" s="1"/>
      <c r="AT1160" s="1"/>
      <c r="AU1160" s="1"/>
      <c r="AV1160" s="1"/>
      <c r="AW1160" s="1"/>
      <c r="AX1160" s="1" t="s">
        <v>3356</v>
      </c>
      <c r="AY1160" s="1" t="s">
        <v>20673</v>
      </c>
      <c r="AZ1160" s="1" t="s">
        <v>636</v>
      </c>
      <c r="BA1160" s="1" t="s">
        <v>1003</v>
      </c>
      <c r="BB1160" s="1">
        <v>84.3</v>
      </c>
      <c r="BC1160" s="1">
        <v>8.43</v>
      </c>
      <c r="BD1160" s="1"/>
      <c r="BE1160" s="1"/>
      <c r="BF1160" s="1"/>
      <c r="BG1160" s="1"/>
      <c r="BH1160" s="1"/>
      <c r="BI1160" s="1"/>
      <c r="BJ1160" s="1" t="s">
        <v>20674</v>
      </c>
      <c r="BK1160" s="1" t="s">
        <v>20675</v>
      </c>
      <c r="BL1160" s="1" t="s">
        <v>340</v>
      </c>
      <c r="BM1160" s="1" t="s">
        <v>20676</v>
      </c>
      <c r="BN1160" s="1">
        <v>5</v>
      </c>
      <c r="BO1160" s="1"/>
      <c r="BP1160" s="1" t="str">
        <f>HYPERLINK("https://nconnect.nicmar.ac.in/storage/profile/ProfilePhoto_P25701100_954627.jpg","Download")</f>
        <v>0</v>
      </c>
      <c r="BQ1160" s="3"/>
      <c r="BR1160" s="3"/>
    </row>
    <row r="1161" spans="1:70">
      <c r="A1161" s="1" t="s">
        <v>1563</v>
      </c>
      <c r="B1161" s="1" t="s">
        <v>1269</v>
      </c>
      <c r="C1161" s="1" t="s">
        <v>20677</v>
      </c>
      <c r="D1161" s="1" t="s">
        <v>3187</v>
      </c>
      <c r="E1161" s="1" t="s">
        <v>368</v>
      </c>
      <c r="F1161" s="1" t="s">
        <v>20678</v>
      </c>
      <c r="G1161" s="1" t="s">
        <v>20679</v>
      </c>
      <c r="H1161" s="1" t="s">
        <v>20680</v>
      </c>
      <c r="I1161" s="1" t="s">
        <v>20681</v>
      </c>
      <c r="J1161" s="1">
        <v>8693861231</v>
      </c>
      <c r="K1161" s="1" t="s">
        <v>79</v>
      </c>
      <c r="L1161" s="1" t="s">
        <v>20682</v>
      </c>
      <c r="M1161" s="1" t="s">
        <v>81</v>
      </c>
      <c r="N1161" s="1" t="s">
        <v>860</v>
      </c>
      <c r="O1161" s="1"/>
      <c r="P1161" s="1" t="s">
        <v>1323</v>
      </c>
      <c r="Q1161" s="1" t="s">
        <v>20683</v>
      </c>
      <c r="R1161" s="1" t="s">
        <v>20684</v>
      </c>
      <c r="S1161" s="1">
        <v>9833531682</v>
      </c>
      <c r="T1161" s="1" t="s">
        <v>7444</v>
      </c>
      <c r="U1161" s="1" t="s">
        <v>20685</v>
      </c>
      <c r="V1161" s="1">
        <v>9833545101</v>
      </c>
      <c r="W1161" s="1" t="s">
        <v>651</v>
      </c>
      <c r="X1161" s="1" t="s">
        <v>20686</v>
      </c>
      <c r="Y1161" s="1" t="s">
        <v>766</v>
      </c>
      <c r="Z1161" s="1" t="s">
        <v>92</v>
      </c>
      <c r="AA1161" s="1" t="s">
        <v>20686</v>
      </c>
      <c r="AB1161" s="1" t="s">
        <v>766</v>
      </c>
      <c r="AC1161" s="1" t="s">
        <v>92</v>
      </c>
      <c r="AD1161" s="1" t="s">
        <v>93</v>
      </c>
      <c r="AE1161" s="1" t="s">
        <v>93</v>
      </c>
      <c r="AF1161" s="1" t="s">
        <v>20687</v>
      </c>
      <c r="AG1161" s="1" t="s">
        <v>3862</v>
      </c>
      <c r="AH1161" s="1" t="s">
        <v>162</v>
      </c>
      <c r="AI1161" s="1" t="s">
        <v>195</v>
      </c>
      <c r="AJ1161" s="1">
        <v>76.8</v>
      </c>
      <c r="AK1161" s="1">
        <v>0</v>
      </c>
      <c r="AL1161" s="1"/>
      <c r="AM1161" s="1"/>
      <c r="AN1161" s="1"/>
      <c r="AO1161" s="1"/>
      <c r="AP1161" s="1"/>
      <c r="AQ1161" s="1"/>
      <c r="AR1161" s="1" t="s">
        <v>98</v>
      </c>
      <c r="AS1161" s="1" t="s">
        <v>20688</v>
      </c>
      <c r="AT1161" s="1" t="s">
        <v>383</v>
      </c>
      <c r="AU1161" s="1" t="s">
        <v>1834</v>
      </c>
      <c r="AV1161" s="1">
        <v>70.68</v>
      </c>
      <c r="AW1161" s="1">
        <v>0</v>
      </c>
      <c r="AX1161" s="1" t="s">
        <v>253</v>
      </c>
      <c r="AY1161" s="1" t="s">
        <v>20689</v>
      </c>
      <c r="AZ1161" s="1" t="s">
        <v>681</v>
      </c>
      <c r="BA1161" s="1" t="s">
        <v>944</v>
      </c>
      <c r="BB1161" s="1">
        <v>67.18</v>
      </c>
      <c r="BC1161" s="1">
        <v>7.54</v>
      </c>
      <c r="BD1161" s="1"/>
      <c r="BE1161" s="1"/>
      <c r="BF1161" s="1"/>
      <c r="BG1161" s="1"/>
      <c r="BH1161" s="1"/>
      <c r="BI1161" s="1"/>
      <c r="BJ1161" s="1" t="s">
        <v>2633</v>
      </c>
      <c r="BK1161" s="1" t="s">
        <v>20690</v>
      </c>
      <c r="BL1161" s="1" t="s">
        <v>8345</v>
      </c>
      <c r="BM1161" s="1" t="s">
        <v>20691</v>
      </c>
      <c r="BN1161" s="1">
        <v>5</v>
      </c>
      <c r="BO1161" s="1" t="s">
        <v>20692</v>
      </c>
      <c r="BP1161" s="1" t="str">
        <f>HYPERLINK("https://nconnect.nicmar.ac.in/storage/profile/ProfilePhoto_P25701101_637518.jpg","Download")</f>
        <v>0</v>
      </c>
      <c r="BQ1161" s="3"/>
      <c r="BR1161" s="3"/>
    </row>
    <row r="1162" spans="1:70">
      <c r="A1162" s="1" t="s">
        <v>1563</v>
      </c>
      <c r="B1162" s="1" t="s">
        <v>1269</v>
      </c>
      <c r="C1162" s="1" t="s">
        <v>20693</v>
      </c>
      <c r="D1162" s="1" t="s">
        <v>707</v>
      </c>
      <c r="E1162" s="1" t="s">
        <v>8336</v>
      </c>
      <c r="F1162" s="1" t="s">
        <v>20694</v>
      </c>
      <c r="G1162" s="1" t="s">
        <v>20695</v>
      </c>
      <c r="H1162" s="1" t="s">
        <v>20696</v>
      </c>
      <c r="I1162" s="1" t="s">
        <v>20697</v>
      </c>
      <c r="J1162" s="1">
        <v>7218656369</v>
      </c>
      <c r="K1162" s="1" t="s">
        <v>79</v>
      </c>
      <c r="L1162" s="1" t="s">
        <v>20698</v>
      </c>
      <c r="M1162" s="1" t="s">
        <v>81</v>
      </c>
      <c r="N1162" s="1" t="s">
        <v>20699</v>
      </c>
      <c r="O1162" s="1" t="s">
        <v>20700</v>
      </c>
      <c r="P1162" s="1" t="s">
        <v>1766</v>
      </c>
      <c r="Q1162" s="1" t="s">
        <v>20701</v>
      </c>
      <c r="R1162" s="1" t="s">
        <v>20702</v>
      </c>
      <c r="S1162" s="1">
        <v>9922404837</v>
      </c>
      <c r="T1162" s="1" t="s">
        <v>496</v>
      </c>
      <c r="U1162" s="1" t="s">
        <v>20703</v>
      </c>
      <c r="V1162" s="1">
        <v>8669241127</v>
      </c>
      <c r="W1162" s="1" t="s">
        <v>273</v>
      </c>
      <c r="X1162" s="1" t="s">
        <v>20704</v>
      </c>
      <c r="Y1162" s="1" t="s">
        <v>191</v>
      </c>
      <c r="Z1162" s="1" t="s">
        <v>92</v>
      </c>
      <c r="AA1162" s="1" t="s">
        <v>20704</v>
      </c>
      <c r="AB1162" s="1" t="s">
        <v>191</v>
      </c>
      <c r="AC1162" s="1" t="s">
        <v>92</v>
      </c>
      <c r="AD1162" s="1" t="s">
        <v>93</v>
      </c>
      <c r="AE1162" s="1" t="s">
        <v>93</v>
      </c>
      <c r="AF1162" s="1" t="s">
        <v>20705</v>
      </c>
      <c r="AG1162" s="1" t="s">
        <v>4453</v>
      </c>
      <c r="AH1162" s="1" t="s">
        <v>97</v>
      </c>
      <c r="AI1162" s="1" t="s">
        <v>456</v>
      </c>
      <c r="AJ1162" s="1">
        <v>80.6</v>
      </c>
      <c r="AK1162" s="1">
        <v>0</v>
      </c>
      <c r="AL1162" s="1" t="s">
        <v>20706</v>
      </c>
      <c r="AM1162" s="1" t="s">
        <v>4453</v>
      </c>
      <c r="AN1162" s="1" t="s">
        <v>134</v>
      </c>
      <c r="AO1162" s="1" t="s">
        <v>166</v>
      </c>
      <c r="AP1162" s="1">
        <v>61.23</v>
      </c>
      <c r="AQ1162" s="1">
        <v>0</v>
      </c>
      <c r="AR1162" s="1"/>
      <c r="AS1162" s="1"/>
      <c r="AT1162" s="1"/>
      <c r="AU1162" s="1"/>
      <c r="AV1162" s="1"/>
      <c r="AW1162" s="1"/>
      <c r="AX1162" s="1" t="s">
        <v>361</v>
      </c>
      <c r="AY1162" s="1" t="s">
        <v>20707</v>
      </c>
      <c r="AZ1162" s="1" t="s">
        <v>101</v>
      </c>
      <c r="BA1162" s="1" t="s">
        <v>590</v>
      </c>
      <c r="BB1162" s="1">
        <v>79.36</v>
      </c>
      <c r="BC1162" s="1">
        <v>8.68</v>
      </c>
      <c r="BD1162" s="1"/>
      <c r="BE1162" s="1"/>
      <c r="BF1162" s="1"/>
      <c r="BG1162" s="1"/>
      <c r="BH1162" s="1"/>
      <c r="BI1162" s="1"/>
      <c r="BJ1162" s="1" t="s">
        <v>20708</v>
      </c>
      <c r="BK1162" s="1" t="s">
        <v>20709</v>
      </c>
      <c r="BL1162" s="1" t="s">
        <v>4933</v>
      </c>
      <c r="BM1162" s="1" t="s">
        <v>20710</v>
      </c>
      <c r="BN1162" s="1">
        <v>29</v>
      </c>
      <c r="BO1162" s="1"/>
      <c r="BP1162" s="1" t="str">
        <f>HYPERLINK("https://nconnect.nicmar.ac.in/storage/profile/ProfilePhoto_P25701102_496235.jpg","Download")</f>
        <v>0</v>
      </c>
      <c r="BQ1162" s="3"/>
      <c r="BR1162" s="3"/>
    </row>
    <row r="1163" spans="1:70">
      <c r="A1163" s="1" t="s">
        <v>1563</v>
      </c>
      <c r="B1163" s="1" t="s">
        <v>1269</v>
      </c>
      <c r="C1163" s="1" t="s">
        <v>20711</v>
      </c>
      <c r="D1163" s="1" t="s">
        <v>20712</v>
      </c>
      <c r="E1163" s="1"/>
      <c r="F1163" s="1" t="s">
        <v>10001</v>
      </c>
      <c r="G1163" s="1" t="s">
        <v>20713</v>
      </c>
      <c r="H1163" s="1" t="s">
        <v>20714</v>
      </c>
      <c r="I1163" s="1" t="s">
        <v>20715</v>
      </c>
      <c r="J1163" s="1">
        <v>8075609422</v>
      </c>
      <c r="K1163" s="1" t="s">
        <v>148</v>
      </c>
      <c r="L1163" s="1" t="s">
        <v>6868</v>
      </c>
      <c r="M1163" s="1" t="s">
        <v>81</v>
      </c>
      <c r="N1163" s="1" t="s">
        <v>20716</v>
      </c>
      <c r="O1163" s="1"/>
      <c r="P1163" s="1" t="s">
        <v>1323</v>
      </c>
      <c r="Q1163" s="1" t="s">
        <v>20717</v>
      </c>
      <c r="R1163" s="1" t="s">
        <v>20718</v>
      </c>
      <c r="S1163" s="1">
        <v>9895392174</v>
      </c>
      <c r="T1163" s="1" t="s">
        <v>20719</v>
      </c>
      <c r="U1163" s="1" t="s">
        <v>20720</v>
      </c>
      <c r="V1163" s="1">
        <v>9497780012</v>
      </c>
      <c r="W1163" s="1" t="s">
        <v>20721</v>
      </c>
      <c r="X1163" s="1" t="s">
        <v>20722</v>
      </c>
      <c r="Y1163" s="1" t="s">
        <v>6067</v>
      </c>
      <c r="Z1163" s="1" t="s">
        <v>125</v>
      </c>
      <c r="AA1163" s="1" t="s">
        <v>20722</v>
      </c>
      <c r="AB1163" s="1" t="s">
        <v>6067</v>
      </c>
      <c r="AC1163" s="1" t="s">
        <v>125</v>
      </c>
      <c r="AD1163" s="1">
        <v>8.79</v>
      </c>
      <c r="AE1163" s="1" t="s">
        <v>93</v>
      </c>
      <c r="AF1163" s="1" t="s">
        <v>20723</v>
      </c>
      <c r="AG1163" s="1" t="s">
        <v>19744</v>
      </c>
      <c r="AH1163" s="1" t="s">
        <v>1714</v>
      </c>
      <c r="AI1163" s="1" t="s">
        <v>308</v>
      </c>
      <c r="AJ1163" s="1">
        <v>93.8</v>
      </c>
      <c r="AK1163" s="1"/>
      <c r="AL1163" s="1" t="s">
        <v>20724</v>
      </c>
      <c r="AM1163" s="1" t="s">
        <v>19744</v>
      </c>
      <c r="AN1163" s="1" t="s">
        <v>699</v>
      </c>
      <c r="AO1163" s="1" t="s">
        <v>506</v>
      </c>
      <c r="AP1163" s="1">
        <v>94.2</v>
      </c>
      <c r="AQ1163" s="1"/>
      <c r="AR1163" s="1"/>
      <c r="AS1163" s="1"/>
      <c r="AT1163" s="1"/>
      <c r="AU1163" s="1"/>
      <c r="AV1163" s="1"/>
      <c r="AW1163" s="1"/>
      <c r="AX1163" s="1" t="s">
        <v>132</v>
      </c>
      <c r="AY1163" s="1" t="s">
        <v>20725</v>
      </c>
      <c r="AZ1163" s="1" t="s">
        <v>135</v>
      </c>
      <c r="BA1163" s="1" t="s">
        <v>1408</v>
      </c>
      <c r="BB1163" s="1">
        <v>81</v>
      </c>
      <c r="BC1163" s="1">
        <v>8.1</v>
      </c>
      <c r="BD1163" s="1"/>
      <c r="BE1163" s="1"/>
      <c r="BF1163" s="1"/>
      <c r="BG1163" s="1"/>
      <c r="BH1163" s="1"/>
      <c r="BI1163" s="1"/>
      <c r="BJ1163" s="1" t="s">
        <v>364</v>
      </c>
      <c r="BK1163" s="1"/>
      <c r="BL1163" s="1"/>
      <c r="BM1163" s="1" t="s">
        <v>20726</v>
      </c>
      <c r="BN1163" s="1">
        <v>5</v>
      </c>
      <c r="BO1163" s="1"/>
      <c r="BP1163" s="1" t="str">
        <f>HYPERLINK("https://nconnect.nicmar.ac.in/storage/profile/ProfilePhoto_P25701106_756483.jpg","Download")</f>
        <v>0</v>
      </c>
      <c r="BQ1163" s="3"/>
      <c r="BR1163" s="3"/>
    </row>
    <row r="1164" spans="1:70">
      <c r="A1164" s="1" t="s">
        <v>1563</v>
      </c>
      <c r="B1164" s="1" t="s">
        <v>1269</v>
      </c>
      <c r="C1164" s="1" t="s">
        <v>20727</v>
      </c>
      <c r="D1164" s="1" t="s">
        <v>20728</v>
      </c>
      <c r="E1164" s="1"/>
      <c r="F1164" s="1" t="s">
        <v>4045</v>
      </c>
      <c r="G1164" s="1" t="s">
        <v>20729</v>
      </c>
      <c r="H1164" s="1" t="s">
        <v>20730</v>
      </c>
      <c r="I1164" s="1" t="s">
        <v>20731</v>
      </c>
      <c r="J1164" s="1">
        <v>8075544038</v>
      </c>
      <c r="K1164" s="1" t="s">
        <v>148</v>
      </c>
      <c r="L1164" s="1" t="s">
        <v>20732</v>
      </c>
      <c r="M1164" s="1" t="s">
        <v>81</v>
      </c>
      <c r="N1164" s="1" t="s">
        <v>2134</v>
      </c>
      <c r="O1164" s="1"/>
      <c r="P1164" s="1" t="s">
        <v>1298</v>
      </c>
      <c r="Q1164" s="1" t="s">
        <v>20733</v>
      </c>
      <c r="R1164" s="1" t="s">
        <v>20734</v>
      </c>
      <c r="S1164" s="1">
        <v>9497002922</v>
      </c>
      <c r="T1164" s="1" t="s">
        <v>20735</v>
      </c>
      <c r="U1164" s="1" t="s">
        <v>20736</v>
      </c>
      <c r="V1164" s="1">
        <v>9497002921</v>
      </c>
      <c r="W1164" s="1" t="s">
        <v>20737</v>
      </c>
      <c r="X1164" s="1" t="s">
        <v>20738</v>
      </c>
      <c r="Y1164" s="1" t="s">
        <v>3998</v>
      </c>
      <c r="Z1164" s="1" t="s">
        <v>125</v>
      </c>
      <c r="AA1164" s="1" t="s">
        <v>20738</v>
      </c>
      <c r="AB1164" s="1" t="s">
        <v>3998</v>
      </c>
      <c r="AC1164" s="1" t="s">
        <v>125</v>
      </c>
      <c r="AD1164" s="1">
        <v>8.43</v>
      </c>
      <c r="AE1164" s="1" t="s">
        <v>93</v>
      </c>
      <c r="AF1164" s="1" t="s">
        <v>20739</v>
      </c>
      <c r="AG1164" s="1" t="s">
        <v>3963</v>
      </c>
      <c r="AH1164" s="1" t="s">
        <v>101</v>
      </c>
      <c r="AI1164" s="1" t="s">
        <v>308</v>
      </c>
      <c r="AJ1164" s="1">
        <v>94</v>
      </c>
      <c r="AK1164" s="1"/>
      <c r="AL1164" s="1" t="s">
        <v>20739</v>
      </c>
      <c r="AM1164" s="1" t="s">
        <v>3963</v>
      </c>
      <c r="AN1164" s="1" t="s">
        <v>699</v>
      </c>
      <c r="AO1164" s="1" t="s">
        <v>506</v>
      </c>
      <c r="AP1164" s="1">
        <v>91.8</v>
      </c>
      <c r="AQ1164" s="1"/>
      <c r="AR1164" s="1"/>
      <c r="AS1164" s="1"/>
      <c r="AT1164" s="1"/>
      <c r="AU1164" s="1"/>
      <c r="AV1164" s="1"/>
      <c r="AW1164" s="1"/>
      <c r="AX1164" s="1" t="s">
        <v>132</v>
      </c>
      <c r="AY1164" s="1" t="s">
        <v>20740</v>
      </c>
      <c r="AZ1164" s="1" t="s">
        <v>135</v>
      </c>
      <c r="BA1164" s="1" t="s">
        <v>1408</v>
      </c>
      <c r="BB1164" s="1">
        <v>79</v>
      </c>
      <c r="BC1164" s="1">
        <v>7.9</v>
      </c>
      <c r="BD1164" s="1"/>
      <c r="BE1164" s="1"/>
      <c r="BF1164" s="1"/>
      <c r="BG1164" s="1"/>
      <c r="BH1164" s="1"/>
      <c r="BI1164" s="1"/>
      <c r="BJ1164" s="1" t="s">
        <v>20741</v>
      </c>
      <c r="BK1164" s="1"/>
      <c r="BL1164" s="1"/>
      <c r="BM1164" s="1" t="s">
        <v>20742</v>
      </c>
      <c r="BN1164" s="1">
        <v>15</v>
      </c>
      <c r="BO1164" s="1"/>
      <c r="BP1164" s="1" t="str">
        <f>HYPERLINK("https://nconnect.nicmar.ac.in/storage/profile/ProfilePhoto_P25701107_574683.jpg","Download")</f>
        <v>0</v>
      </c>
      <c r="BQ1164" s="3"/>
      <c r="BR1164" s="3"/>
    </row>
    <row r="1165" spans="1:70">
      <c r="A1165" s="1" t="s">
        <v>1563</v>
      </c>
      <c r="B1165" s="1" t="s">
        <v>1269</v>
      </c>
      <c r="C1165" s="1" t="s">
        <v>20743</v>
      </c>
      <c r="D1165" s="1" t="s">
        <v>20744</v>
      </c>
      <c r="E1165" s="1"/>
      <c r="F1165" s="1" t="s">
        <v>1072</v>
      </c>
      <c r="G1165" s="1" t="s">
        <v>20745</v>
      </c>
      <c r="H1165" s="1" t="s">
        <v>20746</v>
      </c>
      <c r="I1165" s="1" t="s">
        <v>20747</v>
      </c>
      <c r="J1165" s="1">
        <v>9032895270</v>
      </c>
      <c r="K1165" s="1" t="s">
        <v>148</v>
      </c>
      <c r="L1165" s="1" t="s">
        <v>20748</v>
      </c>
      <c r="M1165" s="1" t="s">
        <v>81</v>
      </c>
      <c r="N1165" s="1" t="s">
        <v>20749</v>
      </c>
      <c r="O1165" s="1"/>
      <c r="P1165" s="1" t="s">
        <v>1323</v>
      </c>
      <c r="Q1165" s="1" t="s">
        <v>20750</v>
      </c>
      <c r="R1165" s="1" t="s">
        <v>20751</v>
      </c>
      <c r="S1165" s="1">
        <v>9849296415</v>
      </c>
      <c r="T1165" s="1" t="s">
        <v>763</v>
      </c>
      <c r="U1165" s="1" t="s">
        <v>20752</v>
      </c>
      <c r="V1165" s="1">
        <v>7207850120</v>
      </c>
      <c r="W1165" s="1" t="s">
        <v>89</v>
      </c>
      <c r="X1165" s="1" t="s">
        <v>20753</v>
      </c>
      <c r="Y1165" s="1" t="s">
        <v>608</v>
      </c>
      <c r="Z1165" s="1" t="s">
        <v>609</v>
      </c>
      <c r="AA1165" s="1" t="s">
        <v>20753</v>
      </c>
      <c r="AB1165" s="1" t="s">
        <v>608</v>
      </c>
      <c r="AC1165" s="1" t="s">
        <v>609</v>
      </c>
      <c r="AD1165" s="1">
        <v>9.57</v>
      </c>
      <c r="AE1165" s="1" t="s">
        <v>93</v>
      </c>
      <c r="AF1165" s="1" t="s">
        <v>20754</v>
      </c>
      <c r="AG1165" s="1" t="s">
        <v>307</v>
      </c>
      <c r="AH1165" s="1" t="s">
        <v>456</v>
      </c>
      <c r="AI1165" s="1" t="s">
        <v>479</v>
      </c>
      <c r="AJ1165" s="1">
        <v>93.1</v>
      </c>
      <c r="AK1165" s="1">
        <v>9.8</v>
      </c>
      <c r="AL1165" s="1" t="s">
        <v>20754</v>
      </c>
      <c r="AM1165" s="1" t="s">
        <v>1665</v>
      </c>
      <c r="AN1165" s="1" t="s">
        <v>457</v>
      </c>
      <c r="AO1165" s="1" t="s">
        <v>308</v>
      </c>
      <c r="AP1165" s="1">
        <v>73.6</v>
      </c>
      <c r="AQ1165" s="1">
        <v>7.7</v>
      </c>
      <c r="AR1165" s="1"/>
      <c r="AS1165" s="1"/>
      <c r="AT1165" s="1"/>
      <c r="AU1165" s="1"/>
      <c r="AV1165" s="1"/>
      <c r="AW1165" s="1"/>
      <c r="AX1165" s="1" t="s">
        <v>15548</v>
      </c>
      <c r="AY1165" s="1" t="s">
        <v>15548</v>
      </c>
      <c r="AZ1165" s="1" t="s">
        <v>310</v>
      </c>
      <c r="BA1165" s="1" t="s">
        <v>2103</v>
      </c>
      <c r="BB1165" s="1">
        <v>85.01</v>
      </c>
      <c r="BC1165" s="1">
        <v>8.5</v>
      </c>
      <c r="BD1165" s="1"/>
      <c r="BE1165" s="1"/>
      <c r="BF1165" s="1"/>
      <c r="BG1165" s="1"/>
      <c r="BH1165" s="1"/>
      <c r="BI1165" s="1"/>
      <c r="BJ1165" s="1" t="s">
        <v>20755</v>
      </c>
      <c r="BK1165" s="1"/>
      <c r="BL1165" s="1"/>
      <c r="BM1165" s="1" t="s">
        <v>20756</v>
      </c>
      <c r="BN1165" s="1">
        <v>94</v>
      </c>
      <c r="BO1165" s="1" t="s">
        <v>20757</v>
      </c>
      <c r="BP1165" s="1" t="str">
        <f>HYPERLINK("https://nconnect.nicmar.ac.in/storage/profile/ProfilePhoto_P25701108_691235.jpg","Download")</f>
        <v>0</v>
      </c>
      <c r="BQ1165" s="3"/>
      <c r="BR1165" s="3"/>
    </row>
    <row r="1166" spans="1:70">
      <c r="A1166" s="1" t="s">
        <v>1563</v>
      </c>
      <c r="B1166" s="1" t="s">
        <v>1269</v>
      </c>
      <c r="C1166" s="1" t="s">
        <v>20758</v>
      </c>
      <c r="D1166" s="1" t="s">
        <v>14131</v>
      </c>
      <c r="E1166" s="1" t="s">
        <v>5413</v>
      </c>
      <c r="F1166" s="1" t="s">
        <v>20759</v>
      </c>
      <c r="G1166" s="1" t="s">
        <v>20760</v>
      </c>
      <c r="H1166" s="1" t="s">
        <v>20761</v>
      </c>
      <c r="I1166" s="1" t="s">
        <v>20762</v>
      </c>
      <c r="J1166" s="1">
        <v>9175848577</v>
      </c>
      <c r="K1166" s="1" t="s">
        <v>148</v>
      </c>
      <c r="L1166" s="1" t="s">
        <v>8407</v>
      </c>
      <c r="M1166" s="1" t="s">
        <v>81</v>
      </c>
      <c r="N1166" s="1" t="s">
        <v>13681</v>
      </c>
      <c r="O1166" s="1"/>
      <c r="P1166" s="1" t="s">
        <v>1323</v>
      </c>
      <c r="Q1166" s="1" t="s">
        <v>20763</v>
      </c>
      <c r="R1166" s="1" t="s">
        <v>5413</v>
      </c>
      <c r="S1166" s="1">
        <v>9850432962</v>
      </c>
      <c r="T1166" s="1" t="s">
        <v>7444</v>
      </c>
      <c r="U1166" s="1" t="s">
        <v>20764</v>
      </c>
      <c r="V1166" s="1">
        <v>9860304093</v>
      </c>
      <c r="W1166" s="1" t="s">
        <v>156</v>
      </c>
      <c r="X1166" s="1" t="s">
        <v>20765</v>
      </c>
      <c r="Y1166" s="1" t="s">
        <v>191</v>
      </c>
      <c r="Z1166" s="1" t="s">
        <v>92</v>
      </c>
      <c r="AA1166" s="1" t="s">
        <v>20765</v>
      </c>
      <c r="AB1166" s="1" t="s">
        <v>191</v>
      </c>
      <c r="AC1166" s="1" t="s">
        <v>92</v>
      </c>
      <c r="AD1166" s="1">
        <v>8.78</v>
      </c>
      <c r="AE1166" s="1" t="s">
        <v>93</v>
      </c>
      <c r="AF1166" s="1" t="s">
        <v>12444</v>
      </c>
      <c r="AG1166" s="1" t="s">
        <v>20766</v>
      </c>
      <c r="AH1166" s="1" t="s">
        <v>101</v>
      </c>
      <c r="AI1166" s="1" t="s">
        <v>409</v>
      </c>
      <c r="AJ1166" s="1">
        <v>85</v>
      </c>
      <c r="AK1166" s="1">
        <v>0</v>
      </c>
      <c r="AL1166" s="1" t="s">
        <v>11533</v>
      </c>
      <c r="AM1166" s="1" t="s">
        <v>197</v>
      </c>
      <c r="AN1166" s="1" t="s">
        <v>310</v>
      </c>
      <c r="AO1166" s="1" t="s">
        <v>504</v>
      </c>
      <c r="AP1166" s="1">
        <v>89</v>
      </c>
      <c r="AQ1166" s="1">
        <v>0</v>
      </c>
      <c r="AR1166" s="1"/>
      <c r="AS1166" s="1"/>
      <c r="AT1166" s="1"/>
      <c r="AU1166" s="1"/>
      <c r="AV1166" s="1"/>
      <c r="AW1166" s="1"/>
      <c r="AX1166" s="1" t="s">
        <v>20767</v>
      </c>
      <c r="AY1166" s="1" t="s">
        <v>20768</v>
      </c>
      <c r="AZ1166" s="1" t="s">
        <v>436</v>
      </c>
      <c r="BA1166" s="1" t="s">
        <v>1361</v>
      </c>
      <c r="BB1166" s="1">
        <v>73.15</v>
      </c>
      <c r="BC1166" s="1">
        <v>7.92</v>
      </c>
      <c r="BD1166" s="1"/>
      <c r="BE1166" s="1"/>
      <c r="BF1166" s="1"/>
      <c r="BG1166" s="1"/>
      <c r="BH1166" s="1"/>
      <c r="BI1166" s="1"/>
      <c r="BJ1166" s="1" t="s">
        <v>20769</v>
      </c>
      <c r="BK1166" s="1"/>
      <c r="BL1166" s="1"/>
      <c r="BM1166" s="1" t="s">
        <v>20770</v>
      </c>
      <c r="BN1166" s="1">
        <v>94</v>
      </c>
      <c r="BO1166" s="1"/>
      <c r="BP1166" s="1" t="str">
        <f>HYPERLINK("https://nconnect.nicmar.ac.in/storage/profile/ProfilePhoto_P25701109_872635.jpg","Download")</f>
        <v>0</v>
      </c>
      <c r="BQ1166" s="3"/>
      <c r="BR1166" s="3"/>
    </row>
    <row r="1167" spans="1:70">
      <c r="A1167" s="1" t="s">
        <v>1563</v>
      </c>
      <c r="B1167" s="1" t="s">
        <v>1269</v>
      </c>
      <c r="C1167" s="1" t="s">
        <v>20771</v>
      </c>
      <c r="D1167" s="1" t="s">
        <v>9874</v>
      </c>
      <c r="E1167" s="1" t="s">
        <v>20772</v>
      </c>
      <c r="F1167" s="1" t="s">
        <v>4460</v>
      </c>
      <c r="G1167" s="1" t="s">
        <v>20773</v>
      </c>
      <c r="H1167" s="1" t="s">
        <v>20774</v>
      </c>
      <c r="I1167" s="1" t="s">
        <v>20775</v>
      </c>
      <c r="J1167" s="1">
        <v>9892289489</v>
      </c>
      <c r="K1167" s="1" t="s">
        <v>148</v>
      </c>
      <c r="L1167" s="1" t="s">
        <v>6429</v>
      </c>
      <c r="M1167" s="1" t="s">
        <v>81</v>
      </c>
      <c r="N1167" s="1" t="s">
        <v>2029</v>
      </c>
      <c r="O1167" s="1"/>
      <c r="P1167" s="1" t="s">
        <v>1766</v>
      </c>
      <c r="Q1167" s="1" t="s">
        <v>20776</v>
      </c>
      <c r="R1167" s="1" t="s">
        <v>20777</v>
      </c>
      <c r="S1167" s="1">
        <v>9284816870</v>
      </c>
      <c r="T1167" s="1" t="s">
        <v>763</v>
      </c>
      <c r="U1167" s="1" t="s">
        <v>20778</v>
      </c>
      <c r="V1167" s="1">
        <v>7020503464</v>
      </c>
      <c r="W1167" s="1" t="s">
        <v>156</v>
      </c>
      <c r="X1167" s="1" t="s">
        <v>20779</v>
      </c>
      <c r="Y1167" s="1" t="s">
        <v>1018</v>
      </c>
      <c r="Z1167" s="1" t="s">
        <v>92</v>
      </c>
      <c r="AA1167" s="1" t="s">
        <v>20779</v>
      </c>
      <c r="AB1167" s="1" t="s">
        <v>1018</v>
      </c>
      <c r="AC1167" s="1" t="s">
        <v>92</v>
      </c>
      <c r="AD1167" s="1">
        <v>9.69</v>
      </c>
      <c r="AE1167" s="1" t="s">
        <v>93</v>
      </c>
      <c r="AF1167" s="1" t="s">
        <v>20780</v>
      </c>
      <c r="AG1167" s="1" t="s">
        <v>455</v>
      </c>
      <c r="AH1167" s="1" t="s">
        <v>281</v>
      </c>
      <c r="AI1167" s="1" t="s">
        <v>409</v>
      </c>
      <c r="AJ1167" s="1">
        <v>85.2</v>
      </c>
      <c r="AK1167" s="1"/>
      <c r="AL1167" s="1" t="s">
        <v>20781</v>
      </c>
      <c r="AM1167" s="1" t="s">
        <v>455</v>
      </c>
      <c r="AN1167" s="1" t="s">
        <v>699</v>
      </c>
      <c r="AO1167" s="1" t="s">
        <v>1131</v>
      </c>
      <c r="AP1167" s="1">
        <v>88</v>
      </c>
      <c r="AQ1167" s="1"/>
      <c r="AR1167" s="1"/>
      <c r="AS1167" s="1"/>
      <c r="AT1167" s="1"/>
      <c r="AU1167" s="1"/>
      <c r="AV1167" s="1"/>
      <c r="AW1167" s="1"/>
      <c r="AX1167" s="1" t="s">
        <v>253</v>
      </c>
      <c r="AY1167" s="1" t="s">
        <v>20782</v>
      </c>
      <c r="AZ1167" s="1" t="s">
        <v>897</v>
      </c>
      <c r="BA1167" s="1" t="s">
        <v>1714</v>
      </c>
      <c r="BB1167" s="1">
        <v>74.4</v>
      </c>
      <c r="BC1167" s="1">
        <v>8.19</v>
      </c>
      <c r="BD1167" s="1"/>
      <c r="BE1167" s="1"/>
      <c r="BF1167" s="1"/>
      <c r="BG1167" s="1"/>
      <c r="BH1167" s="1"/>
      <c r="BI1167" s="1"/>
      <c r="BJ1167" s="1" t="s">
        <v>20783</v>
      </c>
      <c r="BK1167" s="1"/>
      <c r="BL1167" s="1"/>
      <c r="BM1167" s="1" t="s">
        <v>20784</v>
      </c>
      <c r="BN1167" s="1">
        <v>13</v>
      </c>
      <c r="BO1167" s="1"/>
      <c r="BP1167" s="1" t="str">
        <f>HYPERLINK("https://nconnect.nicmar.ac.in/storage/profile/ProfilePhoto_P25701110_927538.jpg","Download")</f>
        <v>0</v>
      </c>
      <c r="BQ1167" s="3"/>
      <c r="BR1167" s="3"/>
    </row>
    <row r="1168" spans="1:70">
      <c r="A1168" s="1" t="s">
        <v>1563</v>
      </c>
      <c r="B1168" s="1" t="s">
        <v>1269</v>
      </c>
      <c r="C1168" s="1" t="s">
        <v>20785</v>
      </c>
      <c r="D1168" s="1" t="s">
        <v>20786</v>
      </c>
      <c r="E1168" s="1" t="s">
        <v>3208</v>
      </c>
      <c r="F1168" s="1" t="s">
        <v>2024</v>
      </c>
      <c r="G1168" s="1" t="s">
        <v>20787</v>
      </c>
      <c r="H1168" s="1" t="s">
        <v>20788</v>
      </c>
      <c r="I1168" s="1" t="s">
        <v>20789</v>
      </c>
      <c r="J1168" s="1">
        <v>9082014027</v>
      </c>
      <c r="K1168" s="1" t="s">
        <v>148</v>
      </c>
      <c r="L1168" s="1" t="s">
        <v>3098</v>
      </c>
      <c r="M1168" s="1" t="s">
        <v>81</v>
      </c>
      <c r="N1168" s="1" t="s">
        <v>3236</v>
      </c>
      <c r="O1168" s="1"/>
      <c r="P1168" s="1" t="s">
        <v>1278</v>
      </c>
      <c r="Q1168" s="1" t="s">
        <v>20790</v>
      </c>
      <c r="R1168" s="1" t="s">
        <v>20791</v>
      </c>
      <c r="S1168" s="1">
        <v>9967435701</v>
      </c>
      <c r="T1168" s="1" t="s">
        <v>7676</v>
      </c>
      <c r="U1168" s="1" t="s">
        <v>20792</v>
      </c>
      <c r="V1168" s="1">
        <v>9967435703</v>
      </c>
      <c r="W1168" s="1" t="s">
        <v>89</v>
      </c>
      <c r="X1168" s="1" t="s">
        <v>20793</v>
      </c>
      <c r="Y1168" s="1" t="s">
        <v>1623</v>
      </c>
      <c r="Z1168" s="1" t="s">
        <v>92</v>
      </c>
      <c r="AA1168" s="1" t="s">
        <v>20793</v>
      </c>
      <c r="AB1168" s="1" t="s">
        <v>1623</v>
      </c>
      <c r="AC1168" s="1" t="s">
        <v>92</v>
      </c>
      <c r="AD1168" s="1">
        <v>9.81</v>
      </c>
      <c r="AE1168" s="1" t="s">
        <v>93</v>
      </c>
      <c r="AF1168" s="1" t="s">
        <v>20794</v>
      </c>
      <c r="AG1168" s="1" t="s">
        <v>160</v>
      </c>
      <c r="AH1168" s="1" t="s">
        <v>162</v>
      </c>
      <c r="AI1168" s="1" t="s">
        <v>195</v>
      </c>
      <c r="AJ1168" s="1">
        <v>92.8</v>
      </c>
      <c r="AK1168" s="1"/>
      <c r="AL1168" s="1" t="s">
        <v>20795</v>
      </c>
      <c r="AM1168" s="1" t="s">
        <v>160</v>
      </c>
      <c r="AN1168" s="1" t="s">
        <v>101</v>
      </c>
      <c r="AO1168" s="1" t="s">
        <v>198</v>
      </c>
      <c r="AP1168" s="1">
        <v>80.31</v>
      </c>
      <c r="AQ1168" s="1"/>
      <c r="AR1168" s="1"/>
      <c r="AS1168" s="1"/>
      <c r="AT1168" s="1"/>
      <c r="AU1168" s="1"/>
      <c r="AV1168" s="1"/>
      <c r="AW1168" s="1"/>
      <c r="AX1168" s="1" t="s">
        <v>20796</v>
      </c>
      <c r="AY1168" s="1" t="s">
        <v>20797</v>
      </c>
      <c r="AZ1168" s="1" t="s">
        <v>433</v>
      </c>
      <c r="BA1168" s="1" t="s">
        <v>1939</v>
      </c>
      <c r="BB1168" s="1">
        <v>69.28</v>
      </c>
      <c r="BC1168" s="1"/>
      <c r="BD1168" s="1"/>
      <c r="BE1168" s="1"/>
      <c r="BF1168" s="1"/>
      <c r="BG1168" s="1"/>
      <c r="BH1168" s="1"/>
      <c r="BI1168" s="1"/>
      <c r="BJ1168" s="1" t="s">
        <v>20798</v>
      </c>
      <c r="BK1168" s="1" t="s">
        <v>20799</v>
      </c>
      <c r="BL1168" s="1" t="s">
        <v>1475</v>
      </c>
      <c r="BM1168" s="1" t="s">
        <v>20800</v>
      </c>
      <c r="BN1168" s="1">
        <v>11</v>
      </c>
      <c r="BO1168" s="1"/>
      <c r="BP1168" s="1" t="str">
        <f>HYPERLINK("https://nconnect.nicmar.ac.in/storage/profile/ProfilePhoto_P25701111_263478.jpg","Download")</f>
        <v>0</v>
      </c>
      <c r="BQ1168" s="3"/>
      <c r="BR1168" s="3"/>
    </row>
    <row r="1169" spans="1:70">
      <c r="A1169" s="1" t="s">
        <v>1563</v>
      </c>
      <c r="B1169" s="1" t="s">
        <v>1269</v>
      </c>
      <c r="C1169" s="1" t="s">
        <v>20801</v>
      </c>
      <c r="D1169" s="1" t="s">
        <v>417</v>
      </c>
      <c r="E1169" s="1" t="s">
        <v>8454</v>
      </c>
      <c r="F1169" s="1" t="s">
        <v>4805</v>
      </c>
      <c r="G1169" s="1" t="s">
        <v>20802</v>
      </c>
      <c r="H1169" s="1" t="s">
        <v>20803</v>
      </c>
      <c r="I1169" s="1" t="s">
        <v>20804</v>
      </c>
      <c r="J1169" s="1">
        <v>9820704906</v>
      </c>
      <c r="K1169" s="1" t="s">
        <v>148</v>
      </c>
      <c r="L1169" s="1" t="s">
        <v>7798</v>
      </c>
      <c r="M1169" s="1" t="s">
        <v>81</v>
      </c>
      <c r="N1169" s="1" t="s">
        <v>12987</v>
      </c>
      <c r="O1169" s="1" t="s">
        <v>20805</v>
      </c>
      <c r="P1169" s="1" t="s">
        <v>1298</v>
      </c>
      <c r="Q1169" s="1" t="s">
        <v>20806</v>
      </c>
      <c r="R1169" s="1" t="s">
        <v>8454</v>
      </c>
      <c r="S1169" s="1">
        <v>9820704106</v>
      </c>
      <c r="T1169" s="1" t="s">
        <v>842</v>
      </c>
      <c r="U1169" s="1" t="s">
        <v>20807</v>
      </c>
      <c r="V1169" s="1">
        <v>8879295836</v>
      </c>
      <c r="W1169" s="1" t="s">
        <v>20808</v>
      </c>
      <c r="X1169" s="1" t="s">
        <v>20809</v>
      </c>
      <c r="Y1169" s="1" t="s">
        <v>1623</v>
      </c>
      <c r="Z1169" s="1" t="s">
        <v>92</v>
      </c>
      <c r="AA1169" s="1" t="s">
        <v>20809</v>
      </c>
      <c r="AB1169" s="1" t="s">
        <v>1623</v>
      </c>
      <c r="AC1169" s="1" t="s">
        <v>92</v>
      </c>
      <c r="AD1169" s="1">
        <v>7.95</v>
      </c>
      <c r="AE1169" s="1" t="s">
        <v>93</v>
      </c>
      <c r="AF1169" s="1" t="s">
        <v>20810</v>
      </c>
      <c r="AG1169" s="1" t="s">
        <v>160</v>
      </c>
      <c r="AH1169" s="1" t="s">
        <v>161</v>
      </c>
      <c r="AI1169" s="1" t="s">
        <v>456</v>
      </c>
      <c r="AJ1169" s="1">
        <v>84</v>
      </c>
      <c r="AK1169" s="1"/>
      <c r="AL1169" s="1" t="s">
        <v>20811</v>
      </c>
      <c r="AM1169" s="1" t="s">
        <v>4453</v>
      </c>
      <c r="AN1169" s="1" t="s">
        <v>165</v>
      </c>
      <c r="AO1169" s="1" t="s">
        <v>457</v>
      </c>
      <c r="AP1169" s="1">
        <v>64.77</v>
      </c>
      <c r="AQ1169" s="1"/>
      <c r="AR1169" s="1"/>
      <c r="AS1169" s="1"/>
      <c r="AT1169" s="1"/>
      <c r="AU1169" s="1"/>
      <c r="AV1169" s="1"/>
      <c r="AW1169" s="1"/>
      <c r="AX1169" s="1" t="s">
        <v>253</v>
      </c>
      <c r="AY1169" s="1" t="s">
        <v>20812</v>
      </c>
      <c r="AZ1169" s="1" t="s">
        <v>169</v>
      </c>
      <c r="BA1169" s="1" t="s">
        <v>590</v>
      </c>
      <c r="BB1169" s="1">
        <v>67.57</v>
      </c>
      <c r="BC1169" s="1"/>
      <c r="BD1169" s="1"/>
      <c r="BE1169" s="1"/>
      <c r="BF1169" s="1"/>
      <c r="BG1169" s="1"/>
      <c r="BH1169" s="1"/>
      <c r="BI1169" s="1"/>
      <c r="BJ1169" s="1" t="s">
        <v>20813</v>
      </c>
      <c r="BK1169" s="1" t="s">
        <v>20814</v>
      </c>
      <c r="BL1169" s="1" t="s">
        <v>4933</v>
      </c>
      <c r="BM1169" s="1" t="s">
        <v>20815</v>
      </c>
      <c r="BN1169" s="1">
        <v>50</v>
      </c>
      <c r="BO1169" s="1" t="s">
        <v>20816</v>
      </c>
      <c r="BP1169" s="1" t="str">
        <f>HYPERLINK("https://nconnect.nicmar.ac.in/storage/profile/ProfilePhoto_P25701112_923457.jpg","Download")</f>
        <v>0</v>
      </c>
      <c r="BQ1169" s="3"/>
      <c r="BR1169" s="3"/>
    </row>
    <row r="1170" spans="1:70">
      <c r="A1170" s="1" t="s">
        <v>1563</v>
      </c>
      <c r="B1170" s="1" t="s">
        <v>1269</v>
      </c>
      <c r="C1170" s="1" t="s">
        <v>20817</v>
      </c>
      <c r="D1170" s="1" t="s">
        <v>3968</v>
      </c>
      <c r="E1170" s="1" t="s">
        <v>20818</v>
      </c>
      <c r="F1170" s="1" t="s">
        <v>20819</v>
      </c>
      <c r="G1170" s="1" t="s">
        <v>20820</v>
      </c>
      <c r="H1170" s="1" t="s">
        <v>20821</v>
      </c>
      <c r="I1170" s="1" t="s">
        <v>20822</v>
      </c>
      <c r="J1170" s="1">
        <v>8983922594</v>
      </c>
      <c r="K1170" s="1" t="s">
        <v>148</v>
      </c>
      <c r="L1170" s="1" t="s">
        <v>5552</v>
      </c>
      <c r="M1170" s="1" t="s">
        <v>81</v>
      </c>
      <c r="N1170" s="1" t="s">
        <v>20823</v>
      </c>
      <c r="O1170" s="1"/>
      <c r="P1170" s="1" t="s">
        <v>1298</v>
      </c>
      <c r="Q1170" s="1" t="s">
        <v>20824</v>
      </c>
      <c r="R1170" s="1" t="s">
        <v>20818</v>
      </c>
      <c r="S1170" s="1">
        <v>9373247991</v>
      </c>
      <c r="T1170" s="1" t="s">
        <v>14491</v>
      </c>
      <c r="U1170" s="1" t="s">
        <v>20825</v>
      </c>
      <c r="V1170" s="1">
        <v>8767071491</v>
      </c>
      <c r="W1170" s="1" t="s">
        <v>156</v>
      </c>
      <c r="X1170" s="1" t="s">
        <v>20826</v>
      </c>
      <c r="Y1170" s="1" t="s">
        <v>523</v>
      </c>
      <c r="Z1170" s="1" t="s">
        <v>92</v>
      </c>
      <c r="AA1170" s="1" t="s">
        <v>20826</v>
      </c>
      <c r="AB1170" s="1" t="s">
        <v>523</v>
      </c>
      <c r="AC1170" s="1" t="s">
        <v>92</v>
      </c>
      <c r="AD1170" s="1" t="s">
        <v>93</v>
      </c>
      <c r="AE1170" s="1" t="s">
        <v>93</v>
      </c>
      <c r="AF1170" s="1" t="s">
        <v>20827</v>
      </c>
      <c r="AG1170" s="1" t="s">
        <v>20828</v>
      </c>
      <c r="AH1170" s="1" t="s">
        <v>165</v>
      </c>
      <c r="AI1170" s="1" t="s">
        <v>166</v>
      </c>
      <c r="AJ1170" s="1">
        <v>86.4</v>
      </c>
      <c r="AK1170" s="1"/>
      <c r="AL1170" s="1" t="s">
        <v>20829</v>
      </c>
      <c r="AM1170" s="1" t="s">
        <v>20830</v>
      </c>
      <c r="AN1170" s="1" t="s">
        <v>433</v>
      </c>
      <c r="AO1170" s="1" t="s">
        <v>412</v>
      </c>
      <c r="AP1170" s="1">
        <v>69.38</v>
      </c>
      <c r="AQ1170" s="1"/>
      <c r="AR1170" s="1"/>
      <c r="AS1170" s="1"/>
      <c r="AT1170" s="1"/>
      <c r="AU1170" s="1"/>
      <c r="AV1170" s="1"/>
      <c r="AW1170" s="1"/>
      <c r="AX1170" s="1" t="s">
        <v>2709</v>
      </c>
      <c r="AY1170" s="1" t="s">
        <v>20831</v>
      </c>
      <c r="AZ1170" s="1" t="s">
        <v>1131</v>
      </c>
      <c r="BA1170" s="1" t="s">
        <v>202</v>
      </c>
      <c r="BB1170" s="1">
        <v>72.62</v>
      </c>
      <c r="BC1170" s="1">
        <v>8.16</v>
      </c>
      <c r="BD1170" s="1"/>
      <c r="BE1170" s="1"/>
      <c r="BF1170" s="1"/>
      <c r="BG1170" s="1"/>
      <c r="BH1170" s="1"/>
      <c r="BI1170" s="1"/>
      <c r="BJ1170" s="1" t="s">
        <v>20832</v>
      </c>
      <c r="BK1170" s="1" t="s">
        <v>20833</v>
      </c>
      <c r="BL1170" s="1" t="s">
        <v>619</v>
      </c>
      <c r="BM1170" s="1" t="s">
        <v>20834</v>
      </c>
      <c r="BN1170" s="1">
        <v>14</v>
      </c>
      <c r="BO1170" s="1" t="s">
        <v>20835</v>
      </c>
      <c r="BP1170" s="1" t="str">
        <f>HYPERLINK("https://nconnect.nicmar.ac.in/storage/profile/ProfilePhoto_P25701113_867329.jpg","Download")</f>
        <v>0</v>
      </c>
      <c r="BQ1170" s="3"/>
      <c r="BR1170" s="3"/>
    </row>
    <row r="1171" spans="1:70">
      <c r="A1171" s="1" t="s">
        <v>1563</v>
      </c>
      <c r="B1171" s="1" t="s">
        <v>1269</v>
      </c>
      <c r="C1171" s="1" t="s">
        <v>20836</v>
      </c>
      <c r="D1171" s="1" t="s">
        <v>3056</v>
      </c>
      <c r="E1171" s="1" t="s">
        <v>20837</v>
      </c>
      <c r="F1171" s="1" t="s">
        <v>20838</v>
      </c>
      <c r="G1171" s="1" t="s">
        <v>20839</v>
      </c>
      <c r="H1171" s="1" t="s">
        <v>20840</v>
      </c>
      <c r="I1171" s="1" t="s">
        <v>20841</v>
      </c>
      <c r="J1171" s="1">
        <v>9096671532</v>
      </c>
      <c r="K1171" s="1" t="s">
        <v>79</v>
      </c>
      <c r="L1171" s="1" t="s">
        <v>20842</v>
      </c>
      <c r="M1171" s="1" t="s">
        <v>81</v>
      </c>
      <c r="N1171" s="1" t="s">
        <v>3236</v>
      </c>
      <c r="O1171" s="1"/>
      <c r="P1171" s="1" t="s">
        <v>1278</v>
      </c>
      <c r="Q1171" s="1" t="s">
        <v>20843</v>
      </c>
      <c r="R1171" s="1" t="s">
        <v>20844</v>
      </c>
      <c r="S1171" s="1">
        <v>8459962221</v>
      </c>
      <c r="T1171" s="1" t="s">
        <v>842</v>
      </c>
      <c r="U1171" s="1" t="s">
        <v>20845</v>
      </c>
      <c r="V1171" s="1">
        <v>9175309590</v>
      </c>
      <c r="W1171" s="1" t="s">
        <v>2094</v>
      </c>
      <c r="X1171" s="1" t="s">
        <v>20846</v>
      </c>
      <c r="Y1171" s="1" t="s">
        <v>91</v>
      </c>
      <c r="Z1171" s="1" t="s">
        <v>92</v>
      </c>
      <c r="AA1171" s="1" t="s">
        <v>20846</v>
      </c>
      <c r="AB1171" s="1" t="s">
        <v>91</v>
      </c>
      <c r="AC1171" s="1" t="s">
        <v>92</v>
      </c>
      <c r="AD1171" s="1">
        <v>7.83</v>
      </c>
      <c r="AE1171" s="1" t="s">
        <v>93</v>
      </c>
      <c r="AF1171" s="1" t="s">
        <v>20847</v>
      </c>
      <c r="AG1171" s="1" t="s">
        <v>20848</v>
      </c>
      <c r="AH1171" s="1" t="s">
        <v>195</v>
      </c>
      <c r="AI1171" s="1" t="s">
        <v>281</v>
      </c>
      <c r="AJ1171" s="1">
        <v>86</v>
      </c>
      <c r="AK1171" s="1"/>
      <c r="AL1171" s="1" t="s">
        <v>20849</v>
      </c>
      <c r="AM1171" s="1" t="s">
        <v>20848</v>
      </c>
      <c r="AN1171" s="1" t="s">
        <v>433</v>
      </c>
      <c r="AO1171" s="1" t="s">
        <v>173</v>
      </c>
      <c r="AP1171" s="1">
        <v>74.92</v>
      </c>
      <c r="AQ1171" s="1"/>
      <c r="AR1171" s="1"/>
      <c r="AS1171" s="1"/>
      <c r="AT1171" s="1"/>
      <c r="AU1171" s="1"/>
      <c r="AV1171" s="1"/>
      <c r="AW1171" s="1"/>
      <c r="AX1171" s="1" t="s">
        <v>20850</v>
      </c>
      <c r="AY1171" s="1" t="s">
        <v>20851</v>
      </c>
      <c r="AZ1171" s="1" t="s">
        <v>228</v>
      </c>
      <c r="BA1171" s="1" t="s">
        <v>1939</v>
      </c>
      <c r="BB1171" s="1">
        <v>71.7</v>
      </c>
      <c r="BC1171" s="1">
        <v>7.67</v>
      </c>
      <c r="BD1171" s="1"/>
      <c r="BE1171" s="1"/>
      <c r="BF1171" s="1"/>
      <c r="BG1171" s="1"/>
      <c r="BH1171" s="1"/>
      <c r="BI1171" s="1"/>
      <c r="BJ1171" s="1" t="s">
        <v>20852</v>
      </c>
      <c r="BK1171" s="1" t="s">
        <v>20853</v>
      </c>
      <c r="BL1171" s="1" t="s">
        <v>1475</v>
      </c>
      <c r="BM1171" s="1" t="s">
        <v>20854</v>
      </c>
      <c r="BN1171" s="1">
        <v>29</v>
      </c>
      <c r="BO1171" s="1" t="s">
        <v>20855</v>
      </c>
      <c r="BP1171" s="1" t="str">
        <f>HYPERLINK("https://nconnect.nicmar.ac.in/storage/profile/ProfilePhoto_P25701114_583712.jpg","Download")</f>
        <v>0</v>
      </c>
      <c r="BQ1171" s="3"/>
      <c r="BR1171" s="3"/>
    </row>
    <row r="1172" spans="1:70">
      <c r="A1172" s="1" t="s">
        <v>1563</v>
      </c>
      <c r="B1172" s="1" t="s">
        <v>1269</v>
      </c>
      <c r="C1172" s="1" t="s">
        <v>20856</v>
      </c>
      <c r="D1172" s="1" t="s">
        <v>4062</v>
      </c>
      <c r="E1172" s="1"/>
      <c r="F1172" s="1" t="s">
        <v>1316</v>
      </c>
      <c r="G1172" s="1" t="s">
        <v>20857</v>
      </c>
      <c r="H1172" s="1" t="s">
        <v>20858</v>
      </c>
      <c r="I1172" s="1" t="s">
        <v>20859</v>
      </c>
      <c r="J1172" s="1">
        <v>9946022220</v>
      </c>
      <c r="K1172" s="1" t="s">
        <v>148</v>
      </c>
      <c r="L1172" s="1" t="s">
        <v>20860</v>
      </c>
      <c r="M1172" s="1" t="s">
        <v>81</v>
      </c>
      <c r="N1172" s="1" t="s">
        <v>20861</v>
      </c>
      <c r="O1172" s="1"/>
      <c r="P1172" s="1" t="s">
        <v>1278</v>
      </c>
      <c r="Q1172" s="1" t="s">
        <v>20862</v>
      </c>
      <c r="R1172" s="1" t="s">
        <v>20863</v>
      </c>
      <c r="S1172" s="1">
        <v>9447056861</v>
      </c>
      <c r="T1172" s="1" t="s">
        <v>496</v>
      </c>
      <c r="U1172" s="1" t="s">
        <v>20864</v>
      </c>
      <c r="V1172" s="1">
        <v>9495956861</v>
      </c>
      <c r="W1172" s="1" t="s">
        <v>520</v>
      </c>
      <c r="X1172" s="1" t="s">
        <v>20865</v>
      </c>
      <c r="Y1172" s="1" t="s">
        <v>3998</v>
      </c>
      <c r="Z1172" s="1" t="s">
        <v>125</v>
      </c>
      <c r="AA1172" s="1" t="s">
        <v>20865</v>
      </c>
      <c r="AB1172" s="1" t="s">
        <v>3998</v>
      </c>
      <c r="AC1172" s="1" t="s">
        <v>125</v>
      </c>
      <c r="AD1172" s="1">
        <v>8.21</v>
      </c>
      <c r="AE1172" s="1" t="s">
        <v>93</v>
      </c>
      <c r="AF1172" s="1" t="s">
        <v>20866</v>
      </c>
      <c r="AG1172" s="1" t="s">
        <v>1152</v>
      </c>
      <c r="AH1172" s="1" t="s">
        <v>129</v>
      </c>
      <c r="AI1172" s="1" t="s">
        <v>477</v>
      </c>
      <c r="AJ1172" s="1">
        <v>91.83</v>
      </c>
      <c r="AK1172" s="1"/>
      <c r="AL1172" s="1" t="s">
        <v>20866</v>
      </c>
      <c r="AM1172" s="1" t="s">
        <v>1152</v>
      </c>
      <c r="AN1172" s="1" t="s">
        <v>131</v>
      </c>
      <c r="AO1172" s="1" t="s">
        <v>527</v>
      </c>
      <c r="AP1172" s="1">
        <v>89.2</v>
      </c>
      <c r="AQ1172" s="1"/>
      <c r="AR1172" s="1"/>
      <c r="AS1172" s="1"/>
      <c r="AT1172" s="1"/>
      <c r="AU1172" s="1"/>
      <c r="AV1172" s="1"/>
      <c r="AW1172" s="1"/>
      <c r="AX1172" s="1" t="s">
        <v>132</v>
      </c>
      <c r="AY1172" s="1" t="s">
        <v>20867</v>
      </c>
      <c r="AZ1172" s="1" t="s">
        <v>733</v>
      </c>
      <c r="BA1172" s="1" t="s">
        <v>1131</v>
      </c>
      <c r="BB1172" s="1">
        <v>68.25</v>
      </c>
      <c r="BC1172" s="1">
        <v>7.22</v>
      </c>
      <c r="BD1172" s="1"/>
      <c r="BE1172" s="1"/>
      <c r="BF1172" s="1"/>
      <c r="BG1172" s="1"/>
      <c r="BH1172" s="1"/>
      <c r="BI1172" s="1"/>
      <c r="BJ1172" s="1" t="s">
        <v>20868</v>
      </c>
      <c r="BK1172" s="1" t="s">
        <v>20869</v>
      </c>
      <c r="BL1172" s="1" t="s">
        <v>16452</v>
      </c>
      <c r="BM1172" s="1" t="s">
        <v>20870</v>
      </c>
      <c r="BN1172" s="1">
        <v>23</v>
      </c>
      <c r="BO1172" s="1"/>
      <c r="BP1172" s="1" t="str">
        <f>HYPERLINK("https://nconnect.nicmar.ac.in/storage/profile/ProfilePhoto_P25701115_284369.jpg","Download")</f>
        <v>0</v>
      </c>
      <c r="BQ1172" s="3"/>
      <c r="BR1172" s="3"/>
    </row>
    <row r="1173" spans="1:70">
      <c r="A1173" s="1" t="s">
        <v>1563</v>
      </c>
      <c r="B1173" s="1" t="s">
        <v>1269</v>
      </c>
      <c r="C1173" s="1" t="s">
        <v>20871</v>
      </c>
      <c r="D1173" s="1" t="s">
        <v>20872</v>
      </c>
      <c r="E1173" s="1" t="s">
        <v>20873</v>
      </c>
      <c r="F1173" s="1" t="s">
        <v>20874</v>
      </c>
      <c r="G1173" s="1" t="s">
        <v>20875</v>
      </c>
      <c r="H1173" s="1" t="s">
        <v>20876</v>
      </c>
      <c r="I1173" s="1" t="s">
        <v>20877</v>
      </c>
      <c r="J1173" s="1">
        <v>8855054441</v>
      </c>
      <c r="K1173" s="1" t="s">
        <v>148</v>
      </c>
      <c r="L1173" s="1" t="s">
        <v>4365</v>
      </c>
      <c r="M1173" s="1" t="s">
        <v>81</v>
      </c>
      <c r="N1173" s="1" t="s">
        <v>20878</v>
      </c>
      <c r="O1173" s="1"/>
      <c r="P1173" s="1" t="s">
        <v>1323</v>
      </c>
      <c r="Q1173" s="1" t="s">
        <v>20879</v>
      </c>
      <c r="R1173" s="1" t="s">
        <v>20880</v>
      </c>
      <c r="S1173" s="1">
        <v>9422569447</v>
      </c>
      <c r="T1173" s="1" t="s">
        <v>763</v>
      </c>
      <c r="U1173" s="1" t="s">
        <v>20881</v>
      </c>
      <c r="V1173" s="1">
        <v>9823782374</v>
      </c>
      <c r="W1173" s="1" t="s">
        <v>122</v>
      </c>
      <c r="X1173" s="1" t="s">
        <v>20882</v>
      </c>
      <c r="Y1173" s="1" t="s">
        <v>191</v>
      </c>
      <c r="Z1173" s="1" t="s">
        <v>92</v>
      </c>
      <c r="AA1173" s="1" t="s">
        <v>20882</v>
      </c>
      <c r="AB1173" s="1" t="s">
        <v>191</v>
      </c>
      <c r="AC1173" s="1" t="s">
        <v>92</v>
      </c>
      <c r="AD1173" s="1">
        <v>7.64</v>
      </c>
      <c r="AE1173" s="1" t="s">
        <v>93</v>
      </c>
      <c r="AF1173" s="1" t="s">
        <v>20883</v>
      </c>
      <c r="AG1173" s="1" t="s">
        <v>20884</v>
      </c>
      <c r="AH1173" s="1" t="s">
        <v>195</v>
      </c>
      <c r="AI1173" s="1" t="s">
        <v>281</v>
      </c>
      <c r="AJ1173" s="1">
        <v>76</v>
      </c>
      <c r="AK1173" s="1"/>
      <c r="AL1173" s="1" t="s">
        <v>20885</v>
      </c>
      <c r="AM1173" s="1" t="s">
        <v>20884</v>
      </c>
      <c r="AN1173" s="1" t="s">
        <v>198</v>
      </c>
      <c r="AO1173" s="1" t="s">
        <v>360</v>
      </c>
      <c r="AP1173" s="1">
        <v>60</v>
      </c>
      <c r="AQ1173" s="1"/>
      <c r="AR1173" s="1"/>
      <c r="AS1173" s="1"/>
      <c r="AT1173" s="1"/>
      <c r="AU1173" s="1"/>
      <c r="AV1173" s="1"/>
      <c r="AW1173" s="1"/>
      <c r="AX1173" s="1" t="s">
        <v>20886</v>
      </c>
      <c r="AY1173" s="1" t="s">
        <v>20884</v>
      </c>
      <c r="AZ1173" s="1" t="s">
        <v>699</v>
      </c>
      <c r="BA1173" s="1" t="s">
        <v>1714</v>
      </c>
      <c r="BB1173" s="1">
        <v>60.4</v>
      </c>
      <c r="BC1173" s="1">
        <v>6.79</v>
      </c>
      <c r="BD1173" s="1"/>
      <c r="BE1173" s="1"/>
      <c r="BF1173" s="1"/>
      <c r="BG1173" s="1"/>
      <c r="BH1173" s="1"/>
      <c r="BI1173" s="1"/>
      <c r="BJ1173" s="1" t="s">
        <v>20887</v>
      </c>
      <c r="BK1173" s="1"/>
      <c r="BL1173" s="1"/>
      <c r="BM1173" s="1" t="s">
        <v>20888</v>
      </c>
      <c r="BN1173" s="1">
        <v>19</v>
      </c>
      <c r="BO1173" s="1"/>
      <c r="BP1173" s="1" t="str">
        <f>HYPERLINK("https://nconnect.nicmar.ac.in/storage/profile/ProfilePhoto_P25701116_873219.jpg","Download")</f>
        <v>0</v>
      </c>
      <c r="BQ1173" s="3"/>
      <c r="BR1173" s="3"/>
    </row>
    <row r="1174" spans="1:70">
      <c r="A1174" s="1" t="s">
        <v>1563</v>
      </c>
      <c r="B1174" s="1" t="s">
        <v>1269</v>
      </c>
      <c r="C1174" s="1" t="s">
        <v>20889</v>
      </c>
      <c r="D1174" s="1" t="s">
        <v>2150</v>
      </c>
      <c r="E1174" s="1" t="s">
        <v>20890</v>
      </c>
      <c r="F1174" s="1" t="s">
        <v>20891</v>
      </c>
      <c r="G1174" s="1" t="s">
        <v>20892</v>
      </c>
      <c r="H1174" s="1" t="s">
        <v>20893</v>
      </c>
      <c r="I1174" s="1" t="s">
        <v>20894</v>
      </c>
      <c r="J1174" s="1">
        <v>8788412691</v>
      </c>
      <c r="K1174" s="1" t="s">
        <v>79</v>
      </c>
      <c r="L1174" s="1" t="s">
        <v>20895</v>
      </c>
      <c r="M1174" s="1" t="s">
        <v>81</v>
      </c>
      <c r="N1174" s="1" t="s">
        <v>17344</v>
      </c>
      <c r="O1174" s="1"/>
      <c r="P1174" s="1" t="s">
        <v>1298</v>
      </c>
      <c r="Q1174" s="1" t="s">
        <v>20896</v>
      </c>
      <c r="R1174" s="1" t="s">
        <v>20890</v>
      </c>
      <c r="S1174" s="1">
        <v>8788410175</v>
      </c>
      <c r="T1174" s="1" t="s">
        <v>154</v>
      </c>
      <c r="U1174" s="1" t="s">
        <v>20897</v>
      </c>
      <c r="V1174" s="1">
        <v>8830240742</v>
      </c>
      <c r="W1174" s="1" t="s">
        <v>156</v>
      </c>
      <c r="X1174" s="1" t="s">
        <v>20898</v>
      </c>
      <c r="Y1174" s="1" t="s">
        <v>191</v>
      </c>
      <c r="Z1174" s="1" t="s">
        <v>92</v>
      </c>
      <c r="AA1174" s="1" t="s">
        <v>20899</v>
      </c>
      <c r="AB1174" s="1" t="s">
        <v>523</v>
      </c>
      <c r="AC1174" s="1" t="s">
        <v>92</v>
      </c>
      <c r="AD1174" s="1" t="s">
        <v>93</v>
      </c>
      <c r="AE1174" s="1" t="s">
        <v>93</v>
      </c>
      <c r="AF1174" s="1" t="s">
        <v>20900</v>
      </c>
      <c r="AG1174" s="1" t="s">
        <v>3862</v>
      </c>
      <c r="AH1174" s="1" t="s">
        <v>162</v>
      </c>
      <c r="AI1174" s="1" t="s">
        <v>165</v>
      </c>
      <c r="AJ1174" s="1">
        <v>69</v>
      </c>
      <c r="AK1174" s="1">
        <v>7.26</v>
      </c>
      <c r="AL1174" s="1"/>
      <c r="AM1174" s="1"/>
      <c r="AN1174" s="1"/>
      <c r="AO1174" s="1"/>
      <c r="AP1174" s="1"/>
      <c r="AQ1174" s="1"/>
      <c r="AR1174" s="1" t="s">
        <v>434</v>
      </c>
      <c r="AS1174" s="1" t="s">
        <v>20901</v>
      </c>
      <c r="AT1174" s="1" t="s">
        <v>225</v>
      </c>
      <c r="AU1174" s="1" t="s">
        <v>170</v>
      </c>
      <c r="AV1174" s="1">
        <v>75.95</v>
      </c>
      <c r="AW1174" s="1"/>
      <c r="AX1174" s="1" t="s">
        <v>18179</v>
      </c>
      <c r="AY1174" s="1" t="s">
        <v>20902</v>
      </c>
      <c r="AZ1174" s="1" t="s">
        <v>941</v>
      </c>
      <c r="BA1174" s="1" t="s">
        <v>174</v>
      </c>
      <c r="BB1174" s="1">
        <v>73</v>
      </c>
      <c r="BC1174" s="1">
        <v>7.69</v>
      </c>
      <c r="BD1174" s="1"/>
      <c r="BE1174" s="1"/>
      <c r="BF1174" s="1"/>
      <c r="BG1174" s="1"/>
      <c r="BH1174" s="1"/>
      <c r="BI1174" s="1"/>
      <c r="BJ1174" s="1" t="s">
        <v>20903</v>
      </c>
      <c r="BK1174" s="1"/>
      <c r="BL1174" s="1"/>
      <c r="BM1174" s="1"/>
      <c r="BN1174" s="1"/>
      <c r="BO1174" s="1"/>
      <c r="BP1174" s="1" t="str">
        <f>HYPERLINK("https://nconnect.nicmar.ac.in/storage/profile/ProfilePhoto_P25701117_619824.jpg","Download")</f>
        <v>0</v>
      </c>
      <c r="BQ1174" s="3"/>
      <c r="BR1174" s="3"/>
    </row>
    <row r="1175" spans="1:70">
      <c r="A1175" s="1" t="s">
        <v>1563</v>
      </c>
      <c r="B1175" s="1" t="s">
        <v>1269</v>
      </c>
      <c r="C1175" s="1" t="s">
        <v>20904</v>
      </c>
      <c r="D1175" s="1" t="s">
        <v>20905</v>
      </c>
      <c r="E1175" s="1"/>
      <c r="F1175" s="1" t="s">
        <v>2210</v>
      </c>
      <c r="G1175" s="1" t="s">
        <v>20906</v>
      </c>
      <c r="H1175" s="1" t="s">
        <v>20907</v>
      </c>
      <c r="I1175" s="1" t="s">
        <v>20908</v>
      </c>
      <c r="J1175" s="1">
        <v>8250495051</v>
      </c>
      <c r="K1175" s="1" t="s">
        <v>79</v>
      </c>
      <c r="L1175" s="1" t="s">
        <v>3622</v>
      </c>
      <c r="M1175" s="1" t="s">
        <v>81</v>
      </c>
      <c r="N1175" s="1" t="s">
        <v>20909</v>
      </c>
      <c r="O1175" s="1"/>
      <c r="P1175" s="1" t="s">
        <v>1323</v>
      </c>
      <c r="Q1175" s="1" t="s">
        <v>20910</v>
      </c>
      <c r="R1175" s="1" t="s">
        <v>20911</v>
      </c>
      <c r="S1175" s="1">
        <v>9775056818</v>
      </c>
      <c r="T1175" s="1" t="s">
        <v>20912</v>
      </c>
      <c r="U1175" s="1" t="s">
        <v>20913</v>
      </c>
      <c r="V1175" s="1">
        <v>7001637715</v>
      </c>
      <c r="W1175" s="1" t="s">
        <v>651</v>
      </c>
      <c r="X1175" s="1" t="s">
        <v>20914</v>
      </c>
      <c r="Y1175" s="1" t="s">
        <v>3629</v>
      </c>
      <c r="Z1175" s="1" t="s">
        <v>783</v>
      </c>
      <c r="AA1175" s="1" t="s">
        <v>20914</v>
      </c>
      <c r="AB1175" s="1" t="s">
        <v>3629</v>
      </c>
      <c r="AC1175" s="1" t="s">
        <v>783</v>
      </c>
      <c r="AD1175" s="1">
        <v>8.58</v>
      </c>
      <c r="AE1175" s="1" t="s">
        <v>93</v>
      </c>
      <c r="AF1175" s="1" t="s">
        <v>20915</v>
      </c>
      <c r="AG1175" s="1" t="s">
        <v>939</v>
      </c>
      <c r="AH1175" s="1" t="s">
        <v>1197</v>
      </c>
      <c r="AI1175" s="1" t="s">
        <v>131</v>
      </c>
      <c r="AJ1175" s="1">
        <v>83.6</v>
      </c>
      <c r="AK1175" s="1">
        <v>8.8</v>
      </c>
      <c r="AL1175" s="1" t="s">
        <v>20916</v>
      </c>
      <c r="AM1175" s="1" t="s">
        <v>939</v>
      </c>
      <c r="AN1175" s="1" t="s">
        <v>5012</v>
      </c>
      <c r="AO1175" s="1" t="s">
        <v>479</v>
      </c>
      <c r="AP1175" s="1">
        <v>63</v>
      </c>
      <c r="AQ1175" s="1"/>
      <c r="AR1175" s="1"/>
      <c r="AS1175" s="1"/>
      <c r="AT1175" s="1"/>
      <c r="AU1175" s="1"/>
      <c r="AV1175" s="1"/>
      <c r="AW1175" s="1"/>
      <c r="AX1175" s="1" t="s">
        <v>4420</v>
      </c>
      <c r="AY1175" s="1" t="s">
        <v>20917</v>
      </c>
      <c r="AZ1175" s="1" t="s">
        <v>225</v>
      </c>
      <c r="BA1175" s="1" t="s">
        <v>284</v>
      </c>
      <c r="BB1175" s="1">
        <v>73</v>
      </c>
      <c r="BC1175" s="1">
        <v>8.05</v>
      </c>
      <c r="BD1175" s="1"/>
      <c r="BE1175" s="1"/>
      <c r="BF1175" s="1"/>
      <c r="BG1175" s="1"/>
      <c r="BH1175" s="1"/>
      <c r="BI1175" s="1"/>
      <c r="BJ1175" s="1" t="s">
        <v>20918</v>
      </c>
      <c r="BK1175" s="1" t="s">
        <v>20919</v>
      </c>
      <c r="BL1175" s="1" t="s">
        <v>5902</v>
      </c>
      <c r="BM1175" s="1" t="s">
        <v>20920</v>
      </c>
      <c r="BN1175" s="1">
        <v>35</v>
      </c>
      <c r="BO1175" s="1" t="s">
        <v>20921</v>
      </c>
      <c r="BP1175" s="1" t="str">
        <f>HYPERLINK("https://nconnect.nicmar.ac.in/storage/profile/ProfilePhoto_P25701118_392456.jpg","Download")</f>
        <v>0</v>
      </c>
      <c r="BQ1175" s="3"/>
      <c r="BR1175" s="3"/>
    </row>
    <row r="1176" spans="1:70">
      <c r="A1176" s="1" t="s">
        <v>1563</v>
      </c>
      <c r="B1176" s="1" t="s">
        <v>1269</v>
      </c>
      <c r="C1176" s="1" t="s">
        <v>20922</v>
      </c>
      <c r="D1176" s="1" t="s">
        <v>20923</v>
      </c>
      <c r="E1176" s="1" t="s">
        <v>1138</v>
      </c>
      <c r="F1176" s="1" t="s">
        <v>20924</v>
      </c>
      <c r="G1176" s="1" t="s">
        <v>20925</v>
      </c>
      <c r="H1176" s="1" t="s">
        <v>20926</v>
      </c>
      <c r="I1176" s="1" t="s">
        <v>20927</v>
      </c>
      <c r="J1176" s="1">
        <v>8484829112</v>
      </c>
      <c r="K1176" s="1" t="s">
        <v>79</v>
      </c>
      <c r="L1176" s="1" t="s">
        <v>3324</v>
      </c>
      <c r="M1176" s="1" t="s">
        <v>81</v>
      </c>
      <c r="N1176" s="1" t="s">
        <v>4300</v>
      </c>
      <c r="O1176" s="1"/>
      <c r="P1176" s="1" t="s">
        <v>1323</v>
      </c>
      <c r="Q1176" s="1" t="s">
        <v>20928</v>
      </c>
      <c r="R1176" s="1" t="s">
        <v>20929</v>
      </c>
      <c r="S1176" s="1">
        <v>9075079808</v>
      </c>
      <c r="T1176" s="1" t="s">
        <v>5420</v>
      </c>
      <c r="U1176" s="1" t="s">
        <v>20930</v>
      </c>
      <c r="V1176" s="1">
        <v>8999814029</v>
      </c>
      <c r="W1176" s="1" t="s">
        <v>20808</v>
      </c>
      <c r="X1176" s="1" t="s">
        <v>20931</v>
      </c>
      <c r="Y1176" s="1" t="s">
        <v>405</v>
      </c>
      <c r="Z1176" s="1" t="s">
        <v>92</v>
      </c>
      <c r="AA1176" s="1" t="s">
        <v>20931</v>
      </c>
      <c r="AB1176" s="1" t="s">
        <v>405</v>
      </c>
      <c r="AC1176" s="1" t="s">
        <v>92</v>
      </c>
      <c r="AD1176" s="1">
        <v>8.03</v>
      </c>
      <c r="AE1176" s="1" t="s">
        <v>93</v>
      </c>
      <c r="AF1176" s="1" t="s">
        <v>20932</v>
      </c>
      <c r="AG1176" s="1" t="s">
        <v>307</v>
      </c>
      <c r="AH1176" s="1" t="s">
        <v>1307</v>
      </c>
      <c r="AI1176" s="1" t="s">
        <v>1065</v>
      </c>
      <c r="AJ1176" s="1">
        <v>86.8</v>
      </c>
      <c r="AK1176" s="1"/>
      <c r="AL1176" s="1" t="s">
        <v>20933</v>
      </c>
      <c r="AM1176" s="1" t="s">
        <v>307</v>
      </c>
      <c r="AN1176" s="1" t="s">
        <v>1065</v>
      </c>
      <c r="AO1176" s="1" t="s">
        <v>506</v>
      </c>
      <c r="AP1176" s="1">
        <v>70.4</v>
      </c>
      <c r="AQ1176" s="1"/>
      <c r="AR1176" s="1"/>
      <c r="AS1176" s="1"/>
      <c r="AT1176" s="1"/>
      <c r="AU1176" s="1"/>
      <c r="AV1176" s="1"/>
      <c r="AW1176" s="1"/>
      <c r="AX1176" s="1" t="s">
        <v>20934</v>
      </c>
      <c r="AY1176" s="1" t="s">
        <v>20935</v>
      </c>
      <c r="AZ1176" s="1" t="s">
        <v>897</v>
      </c>
      <c r="BA1176" s="1" t="s">
        <v>1408</v>
      </c>
      <c r="BB1176" s="1">
        <v>75</v>
      </c>
      <c r="BC1176" s="1">
        <v>7.5</v>
      </c>
      <c r="BD1176" s="1"/>
      <c r="BE1176" s="1"/>
      <c r="BF1176" s="1"/>
      <c r="BG1176" s="1"/>
      <c r="BH1176" s="1"/>
      <c r="BI1176" s="1"/>
      <c r="BJ1176" s="1" t="s">
        <v>20936</v>
      </c>
      <c r="BK1176" s="1"/>
      <c r="BL1176" s="1"/>
      <c r="BM1176" s="1" t="s">
        <v>20937</v>
      </c>
      <c r="BN1176" s="1">
        <v>8</v>
      </c>
      <c r="BO1176" s="1" t="s">
        <v>20938</v>
      </c>
      <c r="BP1176" s="1" t="str">
        <f>HYPERLINK("https://nconnect.nicmar.ac.in/storage/profile/ProfilePhoto_P25701119_274135.jpg","Download")</f>
        <v>0</v>
      </c>
      <c r="BQ1176" s="3"/>
      <c r="BR1176" s="3"/>
    </row>
    <row r="1177" spans="1:70">
      <c r="A1177" s="1" t="s">
        <v>1563</v>
      </c>
      <c r="B1177" s="1" t="s">
        <v>1269</v>
      </c>
      <c r="C1177" s="1" t="s">
        <v>20939</v>
      </c>
      <c r="D1177" s="1" t="s">
        <v>7974</v>
      </c>
      <c r="E1177" s="1" t="s">
        <v>2767</v>
      </c>
      <c r="F1177" s="1" t="s">
        <v>1680</v>
      </c>
      <c r="G1177" s="1" t="s">
        <v>20940</v>
      </c>
      <c r="H1177" s="1" t="s">
        <v>20941</v>
      </c>
      <c r="I1177" s="1" t="s">
        <v>20942</v>
      </c>
      <c r="J1177" s="1">
        <v>8248911254</v>
      </c>
      <c r="K1177" s="1" t="s">
        <v>79</v>
      </c>
      <c r="L1177" s="1" t="s">
        <v>20943</v>
      </c>
      <c r="M1177" s="1" t="s">
        <v>81</v>
      </c>
      <c r="N1177" s="1" t="s">
        <v>20944</v>
      </c>
      <c r="O1177" s="1"/>
      <c r="P1177" s="1" t="s">
        <v>1462</v>
      </c>
      <c r="Q1177" s="1" t="s">
        <v>20945</v>
      </c>
      <c r="R1177" s="1" t="s">
        <v>20946</v>
      </c>
      <c r="S1177" s="1">
        <v>9842414447</v>
      </c>
      <c r="T1177" s="1" t="s">
        <v>496</v>
      </c>
      <c r="U1177" s="1" t="s">
        <v>20947</v>
      </c>
      <c r="V1177" s="1">
        <v>7695873931</v>
      </c>
      <c r="W1177" s="1" t="s">
        <v>273</v>
      </c>
      <c r="X1177" s="1" t="s">
        <v>20948</v>
      </c>
      <c r="Y1177" s="1" t="s">
        <v>7984</v>
      </c>
      <c r="Z1177" s="1" t="s">
        <v>1377</v>
      </c>
      <c r="AA1177" s="1" t="s">
        <v>20948</v>
      </c>
      <c r="AB1177" s="1" t="s">
        <v>7984</v>
      </c>
      <c r="AC1177" s="1" t="s">
        <v>1377</v>
      </c>
      <c r="AD1177" s="1">
        <v>8.12</v>
      </c>
      <c r="AE1177" s="1" t="s">
        <v>93</v>
      </c>
      <c r="AF1177" s="1" t="s">
        <v>20949</v>
      </c>
      <c r="AG1177" s="1" t="s">
        <v>9314</v>
      </c>
      <c r="AH1177" s="1" t="s">
        <v>162</v>
      </c>
      <c r="AI1177" s="1" t="s">
        <v>195</v>
      </c>
      <c r="AJ1177" s="1">
        <v>87.8</v>
      </c>
      <c r="AK1177" s="1"/>
      <c r="AL1177" s="1" t="s">
        <v>20950</v>
      </c>
      <c r="AM1177" s="1" t="s">
        <v>9314</v>
      </c>
      <c r="AN1177" s="1" t="s">
        <v>101</v>
      </c>
      <c r="AO1177" s="1" t="s">
        <v>1065</v>
      </c>
      <c r="AP1177" s="1">
        <v>73.16</v>
      </c>
      <c r="AQ1177" s="1"/>
      <c r="AR1177" s="1"/>
      <c r="AS1177" s="1"/>
      <c r="AT1177" s="1"/>
      <c r="AU1177" s="1"/>
      <c r="AV1177" s="1"/>
      <c r="AW1177" s="1"/>
      <c r="AX1177" s="1" t="s">
        <v>1381</v>
      </c>
      <c r="AY1177" s="1" t="s">
        <v>20951</v>
      </c>
      <c r="AZ1177" s="1" t="s">
        <v>201</v>
      </c>
      <c r="BA1177" s="1" t="s">
        <v>1584</v>
      </c>
      <c r="BB1177" s="1">
        <v>69.6</v>
      </c>
      <c r="BC1177" s="1">
        <v>6.96</v>
      </c>
      <c r="BD1177" s="1"/>
      <c r="BE1177" s="1"/>
      <c r="BF1177" s="1"/>
      <c r="BG1177" s="1"/>
      <c r="BH1177" s="1"/>
      <c r="BI1177" s="1"/>
      <c r="BJ1177" s="1" t="s">
        <v>20952</v>
      </c>
      <c r="BK1177" s="1"/>
      <c r="BL1177" s="1"/>
      <c r="BM1177" s="1" t="s">
        <v>20953</v>
      </c>
      <c r="BN1177" s="1">
        <v>28</v>
      </c>
      <c r="BO1177" s="1" t="s">
        <v>20954</v>
      </c>
      <c r="BP1177" s="1" t="str">
        <f>HYPERLINK("https://nconnect.nicmar.ac.in/storage/profile/ProfilePhoto_P25701120_461395.jpg","Download")</f>
        <v>0</v>
      </c>
      <c r="BQ1177" s="3"/>
      <c r="BR1177" s="3"/>
    </row>
    <row r="1178" spans="1:70">
      <c r="A1178" s="1" t="s">
        <v>1563</v>
      </c>
      <c r="B1178" s="1" t="s">
        <v>1269</v>
      </c>
      <c r="C1178" s="1" t="s">
        <v>20955</v>
      </c>
      <c r="D1178" s="1" t="s">
        <v>12792</v>
      </c>
      <c r="E1178" s="1" t="s">
        <v>756</v>
      </c>
      <c r="F1178" s="1" t="s">
        <v>20956</v>
      </c>
      <c r="G1178" s="1" t="s">
        <v>20957</v>
      </c>
      <c r="H1178" s="1" t="s">
        <v>20958</v>
      </c>
      <c r="I1178" s="1" t="s">
        <v>20959</v>
      </c>
      <c r="J1178" s="1">
        <v>9967731823</v>
      </c>
      <c r="K1178" s="1" t="s">
        <v>79</v>
      </c>
      <c r="L1178" s="1" t="s">
        <v>20960</v>
      </c>
      <c r="M1178" s="1" t="s">
        <v>81</v>
      </c>
      <c r="N1178" s="1" t="s">
        <v>9198</v>
      </c>
      <c r="O1178" s="1"/>
      <c r="P1178" s="1" t="s">
        <v>1278</v>
      </c>
      <c r="Q1178" s="1" t="s">
        <v>20961</v>
      </c>
      <c r="R1178" s="1" t="s">
        <v>20962</v>
      </c>
      <c r="S1178" s="1">
        <v>9730899942</v>
      </c>
      <c r="T1178" s="1" t="s">
        <v>763</v>
      </c>
      <c r="U1178" s="1" t="s">
        <v>20963</v>
      </c>
      <c r="V1178" s="1">
        <v>8779004469</v>
      </c>
      <c r="W1178" s="1" t="s">
        <v>763</v>
      </c>
      <c r="X1178" s="1" t="s">
        <v>20964</v>
      </c>
      <c r="Y1178" s="1" t="s">
        <v>766</v>
      </c>
      <c r="Z1178" s="1" t="s">
        <v>92</v>
      </c>
      <c r="AA1178" s="1" t="s">
        <v>20964</v>
      </c>
      <c r="AB1178" s="1" t="s">
        <v>766</v>
      </c>
      <c r="AC1178" s="1" t="s">
        <v>92</v>
      </c>
      <c r="AD1178" s="1">
        <v>8.03</v>
      </c>
      <c r="AE1178" s="1" t="s">
        <v>93</v>
      </c>
      <c r="AF1178" s="1" t="s">
        <v>20965</v>
      </c>
      <c r="AG1178" s="1" t="s">
        <v>20966</v>
      </c>
      <c r="AH1178" s="1" t="s">
        <v>1197</v>
      </c>
      <c r="AI1178" s="1" t="s">
        <v>131</v>
      </c>
      <c r="AJ1178" s="1">
        <v>81.16</v>
      </c>
      <c r="AK1178" s="1"/>
      <c r="AL1178" s="1" t="s">
        <v>20967</v>
      </c>
      <c r="AM1178" s="1" t="s">
        <v>4621</v>
      </c>
      <c r="AN1178" s="1" t="s">
        <v>1001</v>
      </c>
      <c r="AO1178" s="1" t="s">
        <v>1332</v>
      </c>
      <c r="AP1178" s="1">
        <v>74.61</v>
      </c>
      <c r="AQ1178" s="1"/>
      <c r="AR1178" s="1"/>
      <c r="AS1178" s="1"/>
      <c r="AT1178" s="1"/>
      <c r="AU1178" s="1"/>
      <c r="AV1178" s="1"/>
      <c r="AW1178" s="1"/>
      <c r="AX1178" s="1" t="s">
        <v>361</v>
      </c>
      <c r="AY1178" s="1" t="s">
        <v>20968</v>
      </c>
      <c r="AZ1178" s="1" t="s">
        <v>479</v>
      </c>
      <c r="BA1178" s="1" t="s">
        <v>481</v>
      </c>
      <c r="BB1178" s="1">
        <v>84.86</v>
      </c>
      <c r="BC1178" s="1">
        <v>9.24</v>
      </c>
      <c r="BD1178" s="1"/>
      <c r="BE1178" s="1"/>
      <c r="BF1178" s="1"/>
      <c r="BG1178" s="1"/>
      <c r="BH1178" s="1"/>
      <c r="BI1178" s="1"/>
      <c r="BJ1178" s="1" t="s">
        <v>20969</v>
      </c>
      <c r="BK1178" s="1" t="s">
        <v>20970</v>
      </c>
      <c r="BL1178" s="1" t="s">
        <v>5645</v>
      </c>
      <c r="BM1178" s="1" t="s">
        <v>20971</v>
      </c>
      <c r="BN1178" s="1">
        <v>49</v>
      </c>
      <c r="BO1178" s="1"/>
      <c r="BP1178" s="1" t="str">
        <f>HYPERLINK("https://nconnect.nicmar.ac.in/storage/profile/ProfilePhoto_P25701121_753814.jpg","Download")</f>
        <v>0</v>
      </c>
      <c r="BQ1178" s="3"/>
      <c r="BR1178" s="3"/>
    </row>
    <row r="1179" spans="1:70">
      <c r="A1179" s="1" t="s">
        <v>1563</v>
      </c>
      <c r="B1179" s="1" t="s">
        <v>1269</v>
      </c>
      <c r="C1179" s="1" t="s">
        <v>20972</v>
      </c>
      <c r="D1179" s="1" t="s">
        <v>2596</v>
      </c>
      <c r="E1179" s="1"/>
      <c r="F1179" s="1" t="s">
        <v>4784</v>
      </c>
      <c r="G1179" s="1" t="s">
        <v>20973</v>
      </c>
      <c r="H1179" s="1" t="s">
        <v>20974</v>
      </c>
      <c r="I1179" s="1" t="s">
        <v>20975</v>
      </c>
      <c r="J1179" s="1">
        <v>8660975315</v>
      </c>
      <c r="K1179" s="1" t="s">
        <v>79</v>
      </c>
      <c r="L1179" s="1" t="s">
        <v>3324</v>
      </c>
      <c r="M1179" s="1" t="s">
        <v>81</v>
      </c>
      <c r="N1179" s="1" t="s">
        <v>2046</v>
      </c>
      <c r="O1179" s="1"/>
      <c r="P1179" s="1" t="s">
        <v>2507</v>
      </c>
      <c r="Q1179" s="1" t="s">
        <v>20976</v>
      </c>
      <c r="R1179" s="1" t="s">
        <v>20977</v>
      </c>
      <c r="S1179" s="1">
        <v>9845167495</v>
      </c>
      <c r="T1179" s="1" t="s">
        <v>5459</v>
      </c>
      <c r="U1179" s="1" t="s">
        <v>20978</v>
      </c>
      <c r="V1179" s="1">
        <v>9019924093</v>
      </c>
      <c r="W1179" s="1" t="s">
        <v>89</v>
      </c>
      <c r="X1179" s="1" t="s">
        <v>20979</v>
      </c>
      <c r="Y1179" s="1" t="s">
        <v>1083</v>
      </c>
      <c r="Z1179" s="1" t="s">
        <v>1084</v>
      </c>
      <c r="AA1179" s="1" t="s">
        <v>20979</v>
      </c>
      <c r="AB1179" s="1" t="s">
        <v>1083</v>
      </c>
      <c r="AC1179" s="1" t="s">
        <v>1084</v>
      </c>
      <c r="AD1179" s="1">
        <v>8.19</v>
      </c>
      <c r="AE1179" s="1" t="s">
        <v>93</v>
      </c>
      <c r="AF1179" s="1" t="s">
        <v>20980</v>
      </c>
      <c r="AG1179" s="1" t="s">
        <v>20981</v>
      </c>
      <c r="AH1179" s="1" t="s">
        <v>165</v>
      </c>
      <c r="AI1179" s="1" t="s">
        <v>101</v>
      </c>
      <c r="AJ1179" s="1">
        <v>85.34</v>
      </c>
      <c r="AK1179" s="1"/>
      <c r="AL1179" s="1" t="s">
        <v>20982</v>
      </c>
      <c r="AM1179" s="1" t="s">
        <v>20983</v>
      </c>
      <c r="AN1179" s="1" t="s">
        <v>101</v>
      </c>
      <c r="AO1179" s="1" t="s">
        <v>699</v>
      </c>
      <c r="AP1179" s="1">
        <v>73.5</v>
      </c>
      <c r="AQ1179" s="1"/>
      <c r="AR1179" s="1"/>
      <c r="AS1179" s="1"/>
      <c r="AT1179" s="1"/>
      <c r="AU1179" s="1"/>
      <c r="AV1179" s="1"/>
      <c r="AW1179" s="1"/>
      <c r="AX1179" s="1" t="s">
        <v>1088</v>
      </c>
      <c r="AY1179" s="1" t="s">
        <v>20984</v>
      </c>
      <c r="AZ1179" s="1" t="s">
        <v>228</v>
      </c>
      <c r="BA1179" s="1" t="s">
        <v>202</v>
      </c>
      <c r="BB1179" s="1">
        <v>69.4</v>
      </c>
      <c r="BC1179" s="1">
        <v>7.69</v>
      </c>
      <c r="BD1179" s="1"/>
      <c r="BE1179" s="1"/>
      <c r="BF1179" s="1"/>
      <c r="BG1179" s="1"/>
      <c r="BH1179" s="1"/>
      <c r="BI1179" s="1"/>
      <c r="BJ1179" s="1" t="s">
        <v>1383</v>
      </c>
      <c r="BK1179" s="1" t="s">
        <v>20985</v>
      </c>
      <c r="BL1179" s="1" t="s">
        <v>2914</v>
      </c>
      <c r="BM1179" s="1" t="s">
        <v>20986</v>
      </c>
      <c r="BN1179" s="1">
        <v>30</v>
      </c>
      <c r="BO1179" s="1"/>
      <c r="BP1179" s="1" t="str">
        <f>HYPERLINK("https://nconnect.nicmar.ac.in/storage/profile/ProfilePhoto_P25701122_936541.jpg","Download")</f>
        <v>0</v>
      </c>
      <c r="BQ1179" s="3"/>
      <c r="BR1179" s="3"/>
    </row>
    <row r="1180" spans="1:70">
      <c r="A1180" s="1" t="s">
        <v>1563</v>
      </c>
      <c r="B1180" s="1" t="s">
        <v>1269</v>
      </c>
      <c r="C1180" s="1" t="s">
        <v>20987</v>
      </c>
      <c r="D1180" s="1" t="s">
        <v>443</v>
      </c>
      <c r="E1180" s="1" t="s">
        <v>3057</v>
      </c>
      <c r="F1180" s="1" t="s">
        <v>20988</v>
      </c>
      <c r="G1180" s="1" t="s">
        <v>20989</v>
      </c>
      <c r="H1180" s="1" t="s">
        <v>20990</v>
      </c>
      <c r="I1180" s="1" t="s">
        <v>20991</v>
      </c>
      <c r="J1180" s="1">
        <v>8208789217</v>
      </c>
      <c r="K1180" s="1" t="s">
        <v>79</v>
      </c>
      <c r="L1180" s="1" t="s">
        <v>3193</v>
      </c>
      <c r="M1180" s="1" t="s">
        <v>81</v>
      </c>
      <c r="N1180" s="1" t="s">
        <v>13730</v>
      </c>
      <c r="O1180" s="1"/>
      <c r="P1180" s="1" t="s">
        <v>2507</v>
      </c>
      <c r="Q1180" s="1" t="s">
        <v>20992</v>
      </c>
      <c r="R1180" s="1" t="s">
        <v>20993</v>
      </c>
      <c r="S1180" s="1">
        <v>9420304648</v>
      </c>
      <c r="T1180" s="1" t="s">
        <v>122</v>
      </c>
      <c r="U1180" s="1" t="s">
        <v>20994</v>
      </c>
      <c r="V1180" s="1">
        <v>9011395779</v>
      </c>
      <c r="W1180" s="1" t="s">
        <v>9790</v>
      </c>
      <c r="X1180" s="1" t="s">
        <v>20995</v>
      </c>
      <c r="Y1180" s="1" t="s">
        <v>1424</v>
      </c>
      <c r="Z1180" s="1" t="s">
        <v>92</v>
      </c>
      <c r="AA1180" s="1" t="s">
        <v>20995</v>
      </c>
      <c r="AB1180" s="1" t="s">
        <v>1424</v>
      </c>
      <c r="AC1180" s="1" t="s">
        <v>92</v>
      </c>
      <c r="AD1180" s="1">
        <v>7.61</v>
      </c>
      <c r="AE1180" s="1" t="s">
        <v>93</v>
      </c>
      <c r="AF1180" s="1" t="s">
        <v>20996</v>
      </c>
      <c r="AG1180" s="1" t="s">
        <v>160</v>
      </c>
      <c r="AH1180" s="1" t="s">
        <v>161</v>
      </c>
      <c r="AI1180" s="1" t="s">
        <v>527</v>
      </c>
      <c r="AJ1180" s="1">
        <v>81.4</v>
      </c>
      <c r="AK1180" s="1"/>
      <c r="AL1180" s="1" t="s">
        <v>20997</v>
      </c>
      <c r="AM1180" s="1" t="s">
        <v>160</v>
      </c>
      <c r="AN1180" s="1" t="s">
        <v>165</v>
      </c>
      <c r="AO1180" s="1" t="s">
        <v>1307</v>
      </c>
      <c r="AP1180" s="1">
        <v>60</v>
      </c>
      <c r="AQ1180" s="1"/>
      <c r="AR1180" s="1"/>
      <c r="AS1180" s="1"/>
      <c r="AT1180" s="1"/>
      <c r="AU1180" s="1"/>
      <c r="AV1180" s="1"/>
      <c r="AW1180" s="1"/>
      <c r="AX1180" s="1" t="s">
        <v>1853</v>
      </c>
      <c r="AY1180" s="1" t="s">
        <v>20998</v>
      </c>
      <c r="AZ1180" s="1" t="s">
        <v>101</v>
      </c>
      <c r="BA1180" s="1" t="s">
        <v>481</v>
      </c>
      <c r="BB1180" s="1">
        <v>85.2</v>
      </c>
      <c r="BC1180" s="1">
        <v>9.27</v>
      </c>
      <c r="BD1180" s="1"/>
      <c r="BE1180" s="1"/>
      <c r="BF1180" s="1"/>
      <c r="BG1180" s="1"/>
      <c r="BH1180" s="1"/>
      <c r="BI1180" s="1"/>
      <c r="BJ1180" s="1" t="s">
        <v>20999</v>
      </c>
      <c r="BK1180" s="1"/>
      <c r="BL1180" s="1"/>
      <c r="BM1180" s="1" t="s">
        <v>21000</v>
      </c>
      <c r="BN1180" s="1">
        <v>16</v>
      </c>
      <c r="BO1180" s="1" t="s">
        <v>21001</v>
      </c>
      <c r="BP1180" s="1" t="str">
        <f>HYPERLINK("https://nconnect.nicmar.ac.in/storage/profile/ProfilePhoto_P25701123_957821.jpg","Download")</f>
        <v>0</v>
      </c>
      <c r="BQ1180" s="3"/>
      <c r="BR1180" s="3"/>
    </row>
    <row r="1181" spans="1:70">
      <c r="A1181" s="1" t="s">
        <v>1563</v>
      </c>
      <c r="B1181" s="1" t="s">
        <v>1269</v>
      </c>
      <c r="C1181" s="1" t="s">
        <v>21002</v>
      </c>
      <c r="D1181" s="1" t="s">
        <v>6599</v>
      </c>
      <c r="E1181" s="1"/>
      <c r="F1181" s="1" t="s">
        <v>21003</v>
      </c>
      <c r="G1181" s="1" t="s">
        <v>21004</v>
      </c>
      <c r="H1181" s="1" t="s">
        <v>21005</v>
      </c>
      <c r="I1181" s="1" t="s">
        <v>21006</v>
      </c>
      <c r="J1181" s="1">
        <v>8590312588</v>
      </c>
      <c r="K1181" s="1" t="s">
        <v>79</v>
      </c>
      <c r="L1181" s="1" t="s">
        <v>21007</v>
      </c>
      <c r="M1181" s="1" t="s">
        <v>81</v>
      </c>
      <c r="N1181" s="1" t="s">
        <v>5950</v>
      </c>
      <c r="O1181" s="1"/>
      <c r="P1181" s="1" t="s">
        <v>1323</v>
      </c>
      <c r="Q1181" s="1" t="s">
        <v>21008</v>
      </c>
      <c r="R1181" s="1" t="s">
        <v>21009</v>
      </c>
      <c r="S1181" s="1">
        <v>9447601528</v>
      </c>
      <c r="T1181" s="1" t="s">
        <v>496</v>
      </c>
      <c r="U1181" s="1" t="s">
        <v>21010</v>
      </c>
      <c r="V1181" s="1">
        <v>9446015158</v>
      </c>
      <c r="W1181" s="1" t="s">
        <v>21011</v>
      </c>
      <c r="X1181" s="1" t="s">
        <v>21012</v>
      </c>
      <c r="Y1181" s="1" t="s">
        <v>3330</v>
      </c>
      <c r="Z1181" s="1" t="s">
        <v>125</v>
      </c>
      <c r="AA1181" s="1" t="s">
        <v>21012</v>
      </c>
      <c r="AB1181" s="1" t="s">
        <v>3330</v>
      </c>
      <c r="AC1181" s="1" t="s">
        <v>125</v>
      </c>
      <c r="AD1181" s="1">
        <v>8.82</v>
      </c>
      <c r="AE1181" s="1" t="s">
        <v>93</v>
      </c>
      <c r="AF1181" s="1" t="s">
        <v>21013</v>
      </c>
      <c r="AG1181" s="1" t="s">
        <v>939</v>
      </c>
      <c r="AH1181" s="1" t="s">
        <v>162</v>
      </c>
      <c r="AI1181" s="1" t="s">
        <v>165</v>
      </c>
      <c r="AJ1181" s="1">
        <v>95</v>
      </c>
      <c r="AK1181" s="1">
        <v>10</v>
      </c>
      <c r="AL1181" s="1" t="s">
        <v>21013</v>
      </c>
      <c r="AM1181" s="1" t="s">
        <v>939</v>
      </c>
      <c r="AN1181" s="1" t="s">
        <v>166</v>
      </c>
      <c r="AO1181" s="1" t="s">
        <v>308</v>
      </c>
      <c r="AP1181" s="1">
        <v>77</v>
      </c>
      <c r="AQ1181" s="1"/>
      <c r="AR1181" s="1"/>
      <c r="AS1181" s="1"/>
      <c r="AT1181" s="1"/>
      <c r="AU1181" s="1"/>
      <c r="AV1181" s="1"/>
      <c r="AW1181" s="1"/>
      <c r="AX1181" s="1" t="s">
        <v>132</v>
      </c>
      <c r="AY1181" s="1" t="s">
        <v>21014</v>
      </c>
      <c r="AZ1181" s="1" t="s">
        <v>920</v>
      </c>
      <c r="BA1181" s="1" t="s">
        <v>1978</v>
      </c>
      <c r="BB1181" s="1">
        <v>71.7</v>
      </c>
      <c r="BC1181" s="1">
        <v>7.17</v>
      </c>
      <c r="BD1181" s="1"/>
      <c r="BE1181" s="1"/>
      <c r="BF1181" s="1"/>
      <c r="BG1181" s="1"/>
      <c r="BH1181" s="1"/>
      <c r="BI1181" s="1"/>
      <c r="BJ1181" s="1" t="s">
        <v>21015</v>
      </c>
      <c r="BK1181" s="1"/>
      <c r="BL1181" s="1"/>
      <c r="BM1181" s="1" t="s">
        <v>21016</v>
      </c>
      <c r="BN1181" s="1">
        <v>39</v>
      </c>
      <c r="BO1181" s="1" t="s">
        <v>21017</v>
      </c>
      <c r="BP1181" s="1" t="str">
        <f>HYPERLINK("https://nconnect.nicmar.ac.in/storage/profile/ProfilePhoto_P25701124_429365.jpg","Download")</f>
        <v>0</v>
      </c>
      <c r="BQ1181" s="3"/>
      <c r="BR1181" s="3"/>
    </row>
    <row r="1182" spans="1:70">
      <c r="A1182" s="1" t="s">
        <v>1563</v>
      </c>
      <c r="B1182" s="1" t="s">
        <v>1269</v>
      </c>
      <c r="C1182" s="1" t="s">
        <v>21018</v>
      </c>
      <c r="D1182" s="1" t="s">
        <v>3808</v>
      </c>
      <c r="E1182" s="1" t="s">
        <v>513</v>
      </c>
      <c r="F1182" s="1" t="s">
        <v>21019</v>
      </c>
      <c r="G1182" s="1" t="s">
        <v>21020</v>
      </c>
      <c r="H1182" s="1" t="s">
        <v>21021</v>
      </c>
      <c r="I1182" s="1" t="s">
        <v>21022</v>
      </c>
      <c r="J1182" s="1">
        <v>8850501926</v>
      </c>
      <c r="K1182" s="1" t="s">
        <v>148</v>
      </c>
      <c r="L1182" s="1" t="s">
        <v>3934</v>
      </c>
      <c r="M1182" s="1" t="s">
        <v>81</v>
      </c>
      <c r="N1182" s="1" t="s">
        <v>2008</v>
      </c>
      <c r="O1182" s="1"/>
      <c r="P1182" s="1" t="s">
        <v>1323</v>
      </c>
      <c r="Q1182" s="1" t="s">
        <v>21023</v>
      </c>
      <c r="R1182" s="1" t="s">
        <v>21024</v>
      </c>
      <c r="S1182" s="1">
        <v>9323194754</v>
      </c>
      <c r="T1182" s="1" t="s">
        <v>763</v>
      </c>
      <c r="U1182" s="1" t="s">
        <v>21025</v>
      </c>
      <c r="V1182" s="1">
        <v>9322609892</v>
      </c>
      <c r="W1182" s="1" t="s">
        <v>763</v>
      </c>
      <c r="X1182" s="1" t="s">
        <v>21026</v>
      </c>
      <c r="Y1182" s="1" t="s">
        <v>766</v>
      </c>
      <c r="Z1182" s="1" t="s">
        <v>92</v>
      </c>
      <c r="AA1182" s="1" t="s">
        <v>21026</v>
      </c>
      <c r="AB1182" s="1" t="s">
        <v>766</v>
      </c>
      <c r="AC1182" s="1" t="s">
        <v>92</v>
      </c>
      <c r="AD1182" s="1">
        <v>9.49</v>
      </c>
      <c r="AE1182" s="1" t="s">
        <v>93</v>
      </c>
      <c r="AF1182" s="1" t="s">
        <v>21027</v>
      </c>
      <c r="AG1182" s="1" t="s">
        <v>160</v>
      </c>
      <c r="AH1182" s="1" t="s">
        <v>161</v>
      </c>
      <c r="AI1182" s="1" t="s">
        <v>456</v>
      </c>
      <c r="AJ1182" s="1">
        <v>74.2</v>
      </c>
      <c r="AK1182" s="1"/>
      <c r="AL1182" s="1" t="s">
        <v>21028</v>
      </c>
      <c r="AM1182" s="1" t="s">
        <v>160</v>
      </c>
      <c r="AN1182" s="1" t="s">
        <v>165</v>
      </c>
      <c r="AO1182" s="1" t="s">
        <v>457</v>
      </c>
      <c r="AP1182" s="1">
        <v>68.92</v>
      </c>
      <c r="AQ1182" s="1"/>
      <c r="AR1182" s="1"/>
      <c r="AS1182" s="1"/>
      <c r="AT1182" s="1"/>
      <c r="AU1182" s="1"/>
      <c r="AV1182" s="1"/>
      <c r="AW1182" s="1"/>
      <c r="AX1182" s="1" t="s">
        <v>1024</v>
      </c>
      <c r="AY1182" s="1" t="s">
        <v>21029</v>
      </c>
      <c r="AZ1182" s="1" t="s">
        <v>101</v>
      </c>
      <c r="BA1182" s="1" t="s">
        <v>590</v>
      </c>
      <c r="BB1182" s="1">
        <v>68.53</v>
      </c>
      <c r="BC1182" s="1"/>
      <c r="BD1182" s="1"/>
      <c r="BE1182" s="1"/>
      <c r="BF1182" s="1"/>
      <c r="BG1182" s="1"/>
      <c r="BH1182" s="1"/>
      <c r="BI1182" s="1"/>
      <c r="BJ1182" s="1" t="s">
        <v>21030</v>
      </c>
      <c r="BK1182" s="1" t="s">
        <v>21031</v>
      </c>
      <c r="BL1182" s="1" t="s">
        <v>2187</v>
      </c>
      <c r="BM1182" s="1" t="s">
        <v>21032</v>
      </c>
      <c r="BN1182" s="1">
        <v>16</v>
      </c>
      <c r="BO1182" s="1" t="s">
        <v>21033</v>
      </c>
      <c r="BP1182" s="1" t="str">
        <f>HYPERLINK("https://nconnect.nicmar.ac.in/storage/profile/ProfilePhoto_P25701125_465728.jpg","Download")</f>
        <v>0</v>
      </c>
      <c r="BQ1182" s="3"/>
      <c r="BR1182" s="3"/>
    </row>
    <row r="1183" spans="1:70">
      <c r="A1183" s="1" t="s">
        <v>1563</v>
      </c>
      <c r="B1183" s="1" t="s">
        <v>1269</v>
      </c>
      <c r="C1183" s="1" t="s">
        <v>21034</v>
      </c>
      <c r="D1183" s="1" t="s">
        <v>1465</v>
      </c>
      <c r="E1183" s="1" t="s">
        <v>1875</v>
      </c>
      <c r="F1183" s="1" t="s">
        <v>16228</v>
      </c>
      <c r="G1183" s="1" t="s">
        <v>21035</v>
      </c>
      <c r="H1183" s="1" t="s">
        <v>21036</v>
      </c>
      <c r="I1183" s="1" t="s">
        <v>21037</v>
      </c>
      <c r="J1183" s="1">
        <v>9082686887</v>
      </c>
      <c r="K1183" s="1" t="s">
        <v>148</v>
      </c>
      <c r="L1183" s="1" t="s">
        <v>9241</v>
      </c>
      <c r="M1183" s="1" t="s">
        <v>81</v>
      </c>
      <c r="N1183" s="1" t="s">
        <v>1418</v>
      </c>
      <c r="O1183" s="1"/>
      <c r="P1183" s="1" t="s">
        <v>1278</v>
      </c>
      <c r="Q1183" s="1" t="s">
        <v>21038</v>
      </c>
      <c r="R1183" s="1" t="s">
        <v>1875</v>
      </c>
      <c r="S1183" s="1">
        <v>9821478286</v>
      </c>
      <c r="T1183" s="1" t="s">
        <v>377</v>
      </c>
      <c r="U1183" s="1" t="s">
        <v>17357</v>
      </c>
      <c r="V1183" s="1">
        <v>9167117909</v>
      </c>
      <c r="W1183" s="1" t="s">
        <v>651</v>
      </c>
      <c r="X1183" s="1" t="s">
        <v>21039</v>
      </c>
      <c r="Y1183" s="1" t="s">
        <v>995</v>
      </c>
      <c r="Z1183" s="1" t="s">
        <v>92</v>
      </c>
      <c r="AA1183" s="1" t="s">
        <v>21039</v>
      </c>
      <c r="AB1183" s="1" t="s">
        <v>995</v>
      </c>
      <c r="AC1183" s="1" t="s">
        <v>92</v>
      </c>
      <c r="AD1183" s="1">
        <v>9.79</v>
      </c>
      <c r="AE1183" s="1" t="s">
        <v>93</v>
      </c>
      <c r="AF1183" s="1" t="s">
        <v>21040</v>
      </c>
      <c r="AG1183" s="1" t="s">
        <v>160</v>
      </c>
      <c r="AH1183" s="1" t="s">
        <v>162</v>
      </c>
      <c r="AI1183" s="1" t="s">
        <v>195</v>
      </c>
      <c r="AJ1183" s="1">
        <v>91.2</v>
      </c>
      <c r="AK1183" s="1"/>
      <c r="AL1183" s="1" t="s">
        <v>21041</v>
      </c>
      <c r="AM1183" s="1" t="s">
        <v>160</v>
      </c>
      <c r="AN1183" s="1" t="s">
        <v>101</v>
      </c>
      <c r="AO1183" s="1" t="s">
        <v>198</v>
      </c>
      <c r="AP1183" s="1">
        <v>73.85</v>
      </c>
      <c r="AQ1183" s="1"/>
      <c r="AR1183" s="1"/>
      <c r="AS1183" s="1"/>
      <c r="AT1183" s="1"/>
      <c r="AU1183" s="1"/>
      <c r="AV1183" s="1"/>
      <c r="AW1183" s="1"/>
      <c r="AX1183" s="1" t="s">
        <v>253</v>
      </c>
      <c r="AY1183" s="1" t="s">
        <v>1472</v>
      </c>
      <c r="AZ1183" s="1" t="s">
        <v>201</v>
      </c>
      <c r="BA1183" s="1" t="s">
        <v>413</v>
      </c>
      <c r="BB1183" s="1">
        <v>74.23</v>
      </c>
      <c r="BC1183" s="1">
        <v>8.41</v>
      </c>
      <c r="BD1183" s="1"/>
      <c r="BE1183" s="1"/>
      <c r="BF1183" s="1"/>
      <c r="BG1183" s="1"/>
      <c r="BH1183" s="1"/>
      <c r="BI1183" s="1"/>
      <c r="BJ1183" s="1" t="s">
        <v>21042</v>
      </c>
      <c r="BK1183" s="1"/>
      <c r="BL1183" s="1"/>
      <c r="BM1183" s="1" t="s">
        <v>21043</v>
      </c>
      <c r="BN1183" s="1">
        <v>77</v>
      </c>
      <c r="BO1183" s="1"/>
      <c r="BP1183" s="1" t="str">
        <f>HYPERLINK("https://nconnect.nicmar.ac.in/storage/profile/ProfilePhoto_P25701126_826341.jpg","Download")</f>
        <v>0</v>
      </c>
      <c r="BQ1183" s="3"/>
      <c r="BR1183" s="3"/>
    </row>
    <row r="1184" spans="1:70">
      <c r="A1184" s="1" t="s">
        <v>1563</v>
      </c>
      <c r="B1184" s="1" t="s">
        <v>1269</v>
      </c>
      <c r="C1184" s="1" t="s">
        <v>21044</v>
      </c>
      <c r="D1184" s="1" t="s">
        <v>21045</v>
      </c>
      <c r="E1184" s="1" t="s">
        <v>2231</v>
      </c>
      <c r="F1184" s="1" t="s">
        <v>1139</v>
      </c>
      <c r="G1184" s="1" t="s">
        <v>21046</v>
      </c>
      <c r="H1184" s="1" t="s">
        <v>21047</v>
      </c>
      <c r="I1184" s="1" t="s">
        <v>21048</v>
      </c>
      <c r="J1184" s="1">
        <v>7991021702</v>
      </c>
      <c r="K1184" s="1" t="s">
        <v>79</v>
      </c>
      <c r="L1184" s="1" t="s">
        <v>21049</v>
      </c>
      <c r="M1184" s="1" t="s">
        <v>81</v>
      </c>
      <c r="N1184" s="1" t="s">
        <v>21050</v>
      </c>
      <c r="O1184" s="1"/>
      <c r="P1184" s="1" t="s">
        <v>1278</v>
      </c>
      <c r="Q1184" s="1" t="s">
        <v>21051</v>
      </c>
      <c r="R1184" s="1" t="s">
        <v>21052</v>
      </c>
      <c r="S1184" s="1">
        <v>9437003236</v>
      </c>
      <c r="T1184" s="1" t="s">
        <v>842</v>
      </c>
      <c r="U1184" s="1" t="s">
        <v>21053</v>
      </c>
      <c r="V1184" s="1">
        <v>7008466585</v>
      </c>
      <c r="W1184" s="1" t="s">
        <v>156</v>
      </c>
      <c r="X1184" s="1" t="s">
        <v>21054</v>
      </c>
      <c r="Y1184" s="1" t="s">
        <v>21055</v>
      </c>
      <c r="Z1184" s="1" t="s">
        <v>1731</v>
      </c>
      <c r="AA1184" s="1" t="s">
        <v>21054</v>
      </c>
      <c r="AB1184" s="1" t="s">
        <v>21055</v>
      </c>
      <c r="AC1184" s="1" t="s">
        <v>1731</v>
      </c>
      <c r="AD1184" s="1">
        <v>8.08</v>
      </c>
      <c r="AE1184" s="1" t="s">
        <v>93</v>
      </c>
      <c r="AF1184" s="1" t="s">
        <v>11934</v>
      </c>
      <c r="AG1184" s="1" t="s">
        <v>21056</v>
      </c>
      <c r="AH1184" s="1" t="s">
        <v>281</v>
      </c>
      <c r="AI1184" s="1" t="s">
        <v>308</v>
      </c>
      <c r="AJ1184" s="1">
        <v>92.3</v>
      </c>
      <c r="AK1184" s="1">
        <v>0</v>
      </c>
      <c r="AL1184" s="1" t="s">
        <v>11934</v>
      </c>
      <c r="AM1184" s="1" t="s">
        <v>21056</v>
      </c>
      <c r="AN1184" s="1" t="s">
        <v>941</v>
      </c>
      <c r="AO1184" s="1" t="s">
        <v>504</v>
      </c>
      <c r="AP1184" s="1">
        <v>95.6</v>
      </c>
      <c r="AQ1184" s="1">
        <v>0</v>
      </c>
      <c r="AR1184" s="1"/>
      <c r="AS1184" s="1"/>
      <c r="AT1184" s="1"/>
      <c r="AU1184" s="1"/>
      <c r="AV1184" s="1"/>
      <c r="AW1184" s="1"/>
      <c r="AX1184" s="1" t="s">
        <v>21057</v>
      </c>
      <c r="AY1184" s="1" t="s">
        <v>21058</v>
      </c>
      <c r="AZ1184" s="1" t="s">
        <v>1407</v>
      </c>
      <c r="BA1184" s="1" t="s">
        <v>1714</v>
      </c>
      <c r="BB1184" s="1">
        <v>81.9</v>
      </c>
      <c r="BC1184" s="1">
        <v>8.19</v>
      </c>
      <c r="BD1184" s="1"/>
      <c r="BE1184" s="1"/>
      <c r="BF1184" s="1"/>
      <c r="BG1184" s="1"/>
      <c r="BH1184" s="1"/>
      <c r="BI1184" s="1"/>
      <c r="BJ1184" s="1" t="s">
        <v>21059</v>
      </c>
      <c r="BK1184" s="1"/>
      <c r="BL1184" s="1"/>
      <c r="BM1184" s="1"/>
      <c r="BN1184" s="1"/>
      <c r="BO1184" s="1"/>
      <c r="BP1184" s="1" t="str">
        <f>HYPERLINK("https://nconnect.nicmar.ac.in/storage/profile/ProfilePhoto_P25701127_942376.jpg","Download")</f>
        <v>0</v>
      </c>
      <c r="BQ1184" s="3"/>
      <c r="BR1184" s="3"/>
    </row>
    <row r="1185" spans="1:70">
      <c r="A1185" s="1" t="s">
        <v>1563</v>
      </c>
      <c r="B1185" s="1" t="s">
        <v>1269</v>
      </c>
      <c r="C1185" s="1" t="s">
        <v>21060</v>
      </c>
      <c r="D1185" s="1" t="s">
        <v>21061</v>
      </c>
      <c r="E1185" s="1"/>
      <c r="F1185" s="1" t="s">
        <v>4784</v>
      </c>
      <c r="G1185" s="1" t="s">
        <v>21062</v>
      </c>
      <c r="H1185" s="1" t="s">
        <v>21063</v>
      </c>
      <c r="I1185" s="1" t="s">
        <v>21064</v>
      </c>
      <c r="J1185" s="1">
        <v>6382383935</v>
      </c>
      <c r="K1185" s="1" t="s">
        <v>148</v>
      </c>
      <c r="L1185" s="1" t="s">
        <v>19438</v>
      </c>
      <c r="M1185" s="1" t="s">
        <v>150</v>
      </c>
      <c r="N1185" s="1" t="s">
        <v>19260</v>
      </c>
      <c r="O1185" s="1"/>
      <c r="P1185" s="1" t="s">
        <v>1323</v>
      </c>
      <c r="Q1185" s="1" t="s">
        <v>21065</v>
      </c>
      <c r="R1185" s="1" t="s">
        <v>21066</v>
      </c>
      <c r="S1185" s="1">
        <v>9443618484</v>
      </c>
      <c r="T1185" s="1" t="s">
        <v>649</v>
      </c>
      <c r="U1185" s="1" t="s">
        <v>21067</v>
      </c>
      <c r="V1185" s="1">
        <v>9443617819</v>
      </c>
      <c r="W1185" s="1" t="s">
        <v>651</v>
      </c>
      <c r="X1185" s="1" t="s">
        <v>21068</v>
      </c>
      <c r="Y1185" s="1" t="s">
        <v>10340</v>
      </c>
      <c r="Z1185" s="1" t="s">
        <v>1377</v>
      </c>
      <c r="AA1185" s="1" t="s">
        <v>21068</v>
      </c>
      <c r="AB1185" s="1" t="s">
        <v>10340</v>
      </c>
      <c r="AC1185" s="1" t="s">
        <v>1377</v>
      </c>
      <c r="AD1185" s="1">
        <v>8.72</v>
      </c>
      <c r="AE1185" s="1" t="s">
        <v>93</v>
      </c>
      <c r="AF1185" s="1" t="s">
        <v>21069</v>
      </c>
      <c r="AG1185" s="1" t="s">
        <v>21070</v>
      </c>
      <c r="AH1185" s="1" t="s">
        <v>131</v>
      </c>
      <c r="AI1185" s="1" t="s">
        <v>527</v>
      </c>
      <c r="AJ1185" s="1">
        <v>95</v>
      </c>
      <c r="AK1185" s="1">
        <v>10</v>
      </c>
      <c r="AL1185" s="1" t="s">
        <v>21069</v>
      </c>
      <c r="AM1185" s="1" t="s">
        <v>21070</v>
      </c>
      <c r="AN1185" s="1" t="s">
        <v>479</v>
      </c>
      <c r="AO1185" s="1" t="s">
        <v>166</v>
      </c>
      <c r="AP1185" s="1">
        <v>90.2</v>
      </c>
      <c r="AQ1185" s="1"/>
      <c r="AR1185" s="1"/>
      <c r="AS1185" s="1"/>
      <c r="AT1185" s="1"/>
      <c r="AU1185" s="1"/>
      <c r="AV1185" s="1"/>
      <c r="AW1185" s="1"/>
      <c r="AX1185" s="1" t="s">
        <v>1381</v>
      </c>
      <c r="AY1185" s="1" t="s">
        <v>21071</v>
      </c>
      <c r="AZ1185" s="1" t="s">
        <v>169</v>
      </c>
      <c r="BA1185" s="1" t="s">
        <v>590</v>
      </c>
      <c r="BB1185" s="1">
        <v>76.6</v>
      </c>
      <c r="BC1185" s="1">
        <v>7.66</v>
      </c>
      <c r="BD1185" s="1"/>
      <c r="BE1185" s="1"/>
      <c r="BF1185" s="1"/>
      <c r="BG1185" s="1"/>
      <c r="BH1185" s="1"/>
      <c r="BI1185" s="1"/>
      <c r="BJ1185" s="1" t="s">
        <v>21072</v>
      </c>
      <c r="BK1185" s="1" t="s">
        <v>21073</v>
      </c>
      <c r="BL1185" s="1" t="s">
        <v>484</v>
      </c>
      <c r="BM1185" s="1" t="s">
        <v>21074</v>
      </c>
      <c r="BN1185" s="1">
        <v>70</v>
      </c>
      <c r="BO1185" s="1"/>
      <c r="BP1185" s="1" t="str">
        <f>HYPERLINK("https://nconnect.nicmar.ac.in/storage/profile/ProfilePhoto_P25701128_269574.jpg","Download")</f>
        <v>0</v>
      </c>
      <c r="BQ1185" s="3"/>
      <c r="BR1185" s="3"/>
    </row>
    <row r="1186" spans="1:70">
      <c r="A1186" s="1" t="s">
        <v>1563</v>
      </c>
      <c r="B1186" s="1" t="s">
        <v>1269</v>
      </c>
      <c r="C1186" s="1" t="s">
        <v>21075</v>
      </c>
      <c r="D1186" s="1" t="s">
        <v>14831</v>
      </c>
      <c r="E1186" s="1" t="s">
        <v>8336</v>
      </c>
      <c r="F1186" s="1" t="s">
        <v>2024</v>
      </c>
      <c r="G1186" s="1" t="s">
        <v>21076</v>
      </c>
      <c r="H1186" s="1" t="s">
        <v>21077</v>
      </c>
      <c r="I1186" s="1" t="s">
        <v>21078</v>
      </c>
      <c r="J1186" s="1">
        <v>8591865773</v>
      </c>
      <c r="K1186" s="1" t="s">
        <v>148</v>
      </c>
      <c r="L1186" s="1" t="s">
        <v>1167</v>
      </c>
      <c r="M1186" s="1" t="s">
        <v>81</v>
      </c>
      <c r="N1186" s="1" t="s">
        <v>2295</v>
      </c>
      <c r="O1186" s="1"/>
      <c r="P1186" s="1" t="s">
        <v>1323</v>
      </c>
      <c r="Q1186" s="1" t="s">
        <v>21079</v>
      </c>
      <c r="R1186" s="1" t="s">
        <v>21080</v>
      </c>
      <c r="S1186" s="1">
        <v>9833895560</v>
      </c>
      <c r="T1186" s="1" t="s">
        <v>87</v>
      </c>
      <c r="U1186" s="1" t="s">
        <v>21081</v>
      </c>
      <c r="V1186" s="1">
        <v>9920975560</v>
      </c>
      <c r="W1186" s="1" t="s">
        <v>89</v>
      </c>
      <c r="X1186" s="1" t="s">
        <v>21082</v>
      </c>
      <c r="Y1186" s="1" t="s">
        <v>766</v>
      </c>
      <c r="Z1186" s="1" t="s">
        <v>92</v>
      </c>
      <c r="AA1186" s="1" t="s">
        <v>21082</v>
      </c>
      <c r="AB1186" s="1" t="s">
        <v>766</v>
      </c>
      <c r="AC1186" s="1" t="s">
        <v>92</v>
      </c>
      <c r="AD1186" s="1">
        <v>9.19</v>
      </c>
      <c r="AE1186" s="1" t="s">
        <v>93</v>
      </c>
      <c r="AF1186" s="1" t="s">
        <v>21083</v>
      </c>
      <c r="AG1186" s="1" t="s">
        <v>21084</v>
      </c>
      <c r="AH1186" s="1" t="s">
        <v>503</v>
      </c>
      <c r="AI1186" s="1" t="s">
        <v>527</v>
      </c>
      <c r="AJ1186" s="1">
        <v>90</v>
      </c>
      <c r="AK1186" s="1"/>
      <c r="AL1186" s="1" t="s">
        <v>21085</v>
      </c>
      <c r="AM1186" s="1" t="s">
        <v>21086</v>
      </c>
      <c r="AN1186" s="1" t="s">
        <v>678</v>
      </c>
      <c r="AO1186" s="1" t="s">
        <v>457</v>
      </c>
      <c r="AP1186" s="1">
        <v>79.69</v>
      </c>
      <c r="AQ1186" s="1"/>
      <c r="AR1186" s="1"/>
      <c r="AS1186" s="1"/>
      <c r="AT1186" s="1"/>
      <c r="AU1186" s="1"/>
      <c r="AV1186" s="1"/>
      <c r="AW1186" s="1"/>
      <c r="AX1186" s="1" t="s">
        <v>253</v>
      </c>
      <c r="AY1186" s="1" t="s">
        <v>19588</v>
      </c>
      <c r="AZ1186" s="1" t="s">
        <v>166</v>
      </c>
      <c r="BA1186" s="1" t="s">
        <v>590</v>
      </c>
      <c r="BB1186" s="1">
        <v>72.01</v>
      </c>
      <c r="BC1186" s="1">
        <v>8.11</v>
      </c>
      <c r="BD1186" s="1"/>
      <c r="BE1186" s="1"/>
      <c r="BF1186" s="1"/>
      <c r="BG1186" s="1"/>
      <c r="BH1186" s="1"/>
      <c r="BI1186" s="1"/>
      <c r="BJ1186" s="1" t="s">
        <v>21087</v>
      </c>
      <c r="BK1186" s="1" t="s">
        <v>21088</v>
      </c>
      <c r="BL1186" s="1" t="s">
        <v>1561</v>
      </c>
      <c r="BM1186" s="1" t="s">
        <v>21089</v>
      </c>
      <c r="BN1186" s="1">
        <v>31</v>
      </c>
      <c r="BO1186" s="1"/>
      <c r="BP1186" s="1" t="str">
        <f>HYPERLINK("https://nconnect.nicmar.ac.in/storage/profile/ProfilePhoto_P25701129_129463.jpg","Download")</f>
        <v>0</v>
      </c>
      <c r="BQ1186" s="3"/>
      <c r="BR1186" s="3"/>
    </row>
    <row r="1187" spans="1:70">
      <c r="A1187" s="1" t="s">
        <v>1563</v>
      </c>
      <c r="B1187" s="1" t="s">
        <v>1269</v>
      </c>
      <c r="C1187" s="1" t="s">
        <v>21090</v>
      </c>
      <c r="D1187" s="1" t="s">
        <v>21091</v>
      </c>
      <c r="E1187" s="1"/>
      <c r="F1187" s="1" t="s">
        <v>8454</v>
      </c>
      <c r="G1187" s="1" t="s">
        <v>21092</v>
      </c>
      <c r="H1187" s="1" t="s">
        <v>21093</v>
      </c>
      <c r="I1187" s="1" t="s">
        <v>21094</v>
      </c>
      <c r="J1187" s="1">
        <v>8977175493</v>
      </c>
      <c r="K1187" s="1" t="s">
        <v>79</v>
      </c>
      <c r="L1187" s="1" t="s">
        <v>21095</v>
      </c>
      <c r="M1187" s="1" t="s">
        <v>81</v>
      </c>
      <c r="N1187" s="1" t="s">
        <v>18265</v>
      </c>
      <c r="O1187" s="1" t="s">
        <v>21096</v>
      </c>
      <c r="P1187" s="1" t="s">
        <v>1323</v>
      </c>
      <c r="Q1187" s="1" t="s">
        <v>21097</v>
      </c>
      <c r="R1187" s="1" t="s">
        <v>21098</v>
      </c>
      <c r="S1187" s="1">
        <v>8121205217</v>
      </c>
      <c r="T1187" s="1" t="s">
        <v>21099</v>
      </c>
      <c r="U1187" s="1" t="s">
        <v>21100</v>
      </c>
      <c r="V1187" s="1">
        <v>8121205217</v>
      </c>
      <c r="W1187" s="1" t="s">
        <v>273</v>
      </c>
      <c r="X1187" s="1" t="s">
        <v>21101</v>
      </c>
      <c r="Y1187" s="1" t="s">
        <v>1578</v>
      </c>
      <c r="Z1187" s="1" t="s">
        <v>276</v>
      </c>
      <c r="AA1187" s="1" t="s">
        <v>21101</v>
      </c>
      <c r="AB1187" s="1" t="s">
        <v>1578</v>
      </c>
      <c r="AC1187" s="1" t="s">
        <v>276</v>
      </c>
      <c r="AD1187" s="1" t="s">
        <v>93</v>
      </c>
      <c r="AE1187" s="1" t="s">
        <v>93</v>
      </c>
      <c r="AF1187" s="1" t="s">
        <v>2264</v>
      </c>
      <c r="AG1187" s="1" t="s">
        <v>3125</v>
      </c>
      <c r="AH1187" s="1" t="s">
        <v>165</v>
      </c>
      <c r="AI1187" s="1" t="s">
        <v>281</v>
      </c>
      <c r="AJ1187" s="1">
        <v>97</v>
      </c>
      <c r="AK1187" s="1">
        <v>9.7</v>
      </c>
      <c r="AL1187" s="1" t="s">
        <v>612</v>
      </c>
      <c r="AM1187" s="1" t="s">
        <v>1154</v>
      </c>
      <c r="AN1187" s="1" t="s">
        <v>433</v>
      </c>
      <c r="AO1187" s="1" t="s">
        <v>173</v>
      </c>
      <c r="AP1187" s="1">
        <v>71.53</v>
      </c>
      <c r="AQ1187" s="1">
        <v>7.53</v>
      </c>
      <c r="AR1187" s="1"/>
      <c r="AS1187" s="1"/>
      <c r="AT1187" s="1"/>
      <c r="AU1187" s="1"/>
      <c r="AV1187" s="1"/>
      <c r="AW1187" s="1"/>
      <c r="AX1187" s="1" t="s">
        <v>1310</v>
      </c>
      <c r="AY1187" s="1" t="s">
        <v>21102</v>
      </c>
      <c r="AZ1187" s="1" t="s">
        <v>2016</v>
      </c>
      <c r="BA1187" s="1" t="s">
        <v>702</v>
      </c>
      <c r="BB1187" s="1">
        <v>66.7</v>
      </c>
      <c r="BC1187" s="1">
        <v>7.17</v>
      </c>
      <c r="BD1187" s="1"/>
      <c r="BE1187" s="1"/>
      <c r="BF1187" s="1"/>
      <c r="BG1187" s="1"/>
      <c r="BH1187" s="1"/>
      <c r="BI1187" s="1"/>
      <c r="BJ1187" s="1" t="s">
        <v>1383</v>
      </c>
      <c r="BK1187" s="1"/>
      <c r="BL1187" s="1"/>
      <c r="BM1187" s="1" t="s">
        <v>21103</v>
      </c>
      <c r="BN1187" s="1">
        <v>21</v>
      </c>
      <c r="BO1187" s="1"/>
      <c r="BP1187" s="1" t="str">
        <f>HYPERLINK("https://nconnect.nicmar.ac.in/storage/profile/ProfilePhoto_P25701130_516472.jpg","Download")</f>
        <v>0</v>
      </c>
      <c r="BQ1187" s="3"/>
      <c r="BR1187" s="3"/>
    </row>
    <row r="1188" spans="1:70">
      <c r="A1188" s="1" t="s">
        <v>1563</v>
      </c>
      <c r="B1188" s="1" t="s">
        <v>1269</v>
      </c>
      <c r="C1188" s="1" t="s">
        <v>21104</v>
      </c>
      <c r="D1188" s="1" t="s">
        <v>21105</v>
      </c>
      <c r="E1188" s="1"/>
      <c r="F1188" s="1" t="s">
        <v>7165</v>
      </c>
      <c r="G1188" s="1" t="s">
        <v>21106</v>
      </c>
      <c r="H1188" s="1" t="s">
        <v>21107</v>
      </c>
      <c r="I1188" s="1" t="s">
        <v>21108</v>
      </c>
      <c r="J1188" s="1">
        <v>9894282616</v>
      </c>
      <c r="K1188" s="1" t="s">
        <v>79</v>
      </c>
      <c r="L1188" s="1" t="s">
        <v>9821</v>
      </c>
      <c r="M1188" s="1" t="s">
        <v>81</v>
      </c>
      <c r="N1188" s="1" t="s">
        <v>3139</v>
      </c>
      <c r="O1188" s="1" t="s">
        <v>21109</v>
      </c>
      <c r="P1188" s="1" t="s">
        <v>6640</v>
      </c>
      <c r="Q1188" s="1" t="s">
        <v>21110</v>
      </c>
      <c r="R1188" s="1" t="s">
        <v>21111</v>
      </c>
      <c r="S1188" s="1">
        <v>9443133856</v>
      </c>
      <c r="T1188" s="1" t="s">
        <v>87</v>
      </c>
      <c r="U1188" s="1" t="s">
        <v>21112</v>
      </c>
      <c r="V1188" s="1">
        <v>9486686717</v>
      </c>
      <c r="W1188" s="1" t="s">
        <v>21113</v>
      </c>
      <c r="X1188" s="1" t="s">
        <v>21114</v>
      </c>
      <c r="Y1188" s="1" t="s">
        <v>9690</v>
      </c>
      <c r="Z1188" s="1" t="s">
        <v>1377</v>
      </c>
      <c r="AA1188" s="1" t="s">
        <v>21114</v>
      </c>
      <c r="AB1188" s="1" t="s">
        <v>9690</v>
      </c>
      <c r="AC1188" s="1" t="s">
        <v>1377</v>
      </c>
      <c r="AD1188" s="1">
        <v>7.89</v>
      </c>
      <c r="AE1188" s="1" t="s">
        <v>93</v>
      </c>
      <c r="AF1188" s="1" t="s">
        <v>21115</v>
      </c>
      <c r="AG1188" s="1" t="s">
        <v>21116</v>
      </c>
      <c r="AH1188" s="1" t="s">
        <v>165</v>
      </c>
      <c r="AI1188" s="1" t="s">
        <v>281</v>
      </c>
      <c r="AJ1188" s="1">
        <v>75.4</v>
      </c>
      <c r="AK1188" s="1">
        <v>0</v>
      </c>
      <c r="AL1188" s="1" t="s">
        <v>21115</v>
      </c>
      <c r="AM1188" s="1" t="s">
        <v>21116</v>
      </c>
      <c r="AN1188" s="1" t="s">
        <v>433</v>
      </c>
      <c r="AO1188" s="1" t="s">
        <v>941</v>
      </c>
      <c r="AP1188" s="1">
        <v>63.16</v>
      </c>
      <c r="AQ1188" s="1">
        <v>0</v>
      </c>
      <c r="AR1188" s="1"/>
      <c r="AS1188" s="1"/>
      <c r="AT1188" s="1"/>
      <c r="AU1188" s="1"/>
      <c r="AV1188" s="1"/>
      <c r="AW1188" s="1"/>
      <c r="AX1188" s="1" t="s">
        <v>21117</v>
      </c>
      <c r="AY1188" s="1" t="s">
        <v>21116</v>
      </c>
      <c r="AZ1188" s="1" t="s">
        <v>173</v>
      </c>
      <c r="BA1188" s="1" t="s">
        <v>202</v>
      </c>
      <c r="BB1188" s="1">
        <v>69.43</v>
      </c>
      <c r="BC1188" s="1">
        <v>6.94</v>
      </c>
      <c r="BD1188" s="1"/>
      <c r="BE1188" s="1"/>
      <c r="BF1188" s="1"/>
      <c r="BG1188" s="1"/>
      <c r="BH1188" s="1"/>
      <c r="BI1188" s="1"/>
      <c r="BJ1188" s="1" t="s">
        <v>21118</v>
      </c>
      <c r="BK1188" s="1" t="s">
        <v>21119</v>
      </c>
      <c r="BL1188" s="1" t="s">
        <v>1475</v>
      </c>
      <c r="BM1188" s="1" t="s">
        <v>21120</v>
      </c>
      <c r="BN1188" s="1">
        <v>2</v>
      </c>
      <c r="BO1188" s="1"/>
      <c r="BP1188" s="1" t="str">
        <f>HYPERLINK("https://nconnect.nicmar.ac.in/storage/profile/ProfilePhoto_P25701131_359184.jpg","Download")</f>
        <v>0</v>
      </c>
      <c r="BQ1188" s="3"/>
      <c r="BR1188" s="3"/>
    </row>
    <row r="1189" spans="1:70">
      <c r="A1189" s="1" t="s">
        <v>1563</v>
      </c>
      <c r="B1189" s="1" t="s">
        <v>1269</v>
      </c>
      <c r="C1189" s="1" t="s">
        <v>21121</v>
      </c>
      <c r="D1189" s="1" t="s">
        <v>21122</v>
      </c>
      <c r="E1189" s="1" t="s">
        <v>8208</v>
      </c>
      <c r="F1189" s="1" t="s">
        <v>21123</v>
      </c>
      <c r="G1189" s="1" t="s">
        <v>21124</v>
      </c>
      <c r="H1189" s="1" t="s">
        <v>21125</v>
      </c>
      <c r="I1189" s="1" t="s">
        <v>21126</v>
      </c>
      <c r="J1189" s="1">
        <v>9890351124</v>
      </c>
      <c r="K1189" s="1" t="s">
        <v>79</v>
      </c>
      <c r="L1189" s="1" t="s">
        <v>21127</v>
      </c>
      <c r="M1189" s="1" t="s">
        <v>81</v>
      </c>
      <c r="N1189" s="1" t="s">
        <v>5731</v>
      </c>
      <c r="O1189" s="1" t="s">
        <v>21128</v>
      </c>
      <c r="P1189" s="1" t="s">
        <v>1766</v>
      </c>
      <c r="Q1189" s="1" t="s">
        <v>21129</v>
      </c>
      <c r="R1189" s="1" t="s">
        <v>8208</v>
      </c>
      <c r="S1189" s="1">
        <v>8208822498</v>
      </c>
      <c r="T1189" s="1" t="s">
        <v>87</v>
      </c>
      <c r="U1189" s="1" t="s">
        <v>21130</v>
      </c>
      <c r="V1189" s="1">
        <v>9890351124</v>
      </c>
      <c r="W1189" s="1" t="s">
        <v>273</v>
      </c>
      <c r="X1189" s="1" t="s">
        <v>21131</v>
      </c>
      <c r="Y1189" s="1" t="s">
        <v>405</v>
      </c>
      <c r="Z1189" s="1" t="s">
        <v>92</v>
      </c>
      <c r="AA1189" s="1" t="s">
        <v>21131</v>
      </c>
      <c r="AB1189" s="1" t="s">
        <v>405</v>
      </c>
      <c r="AC1189" s="1" t="s">
        <v>92</v>
      </c>
      <c r="AD1189" s="1">
        <v>8.84</v>
      </c>
      <c r="AE1189" s="1" t="s">
        <v>93</v>
      </c>
      <c r="AF1189" s="1" t="s">
        <v>21132</v>
      </c>
      <c r="AG1189" s="1" t="s">
        <v>21133</v>
      </c>
      <c r="AH1189" s="1" t="s">
        <v>161</v>
      </c>
      <c r="AI1189" s="1" t="s">
        <v>527</v>
      </c>
      <c r="AJ1189" s="1">
        <v>91.2</v>
      </c>
      <c r="AK1189" s="1">
        <v>9.6</v>
      </c>
      <c r="AL1189" s="1" t="s">
        <v>21132</v>
      </c>
      <c r="AM1189" s="1" t="s">
        <v>21133</v>
      </c>
      <c r="AN1189" s="1" t="s">
        <v>165</v>
      </c>
      <c r="AO1189" s="1" t="s">
        <v>101</v>
      </c>
      <c r="AP1189" s="1">
        <v>78.2</v>
      </c>
      <c r="AQ1189" s="1"/>
      <c r="AR1189" s="1"/>
      <c r="AS1189" s="1"/>
      <c r="AT1189" s="1"/>
      <c r="AU1189" s="1"/>
      <c r="AV1189" s="1"/>
      <c r="AW1189" s="1"/>
      <c r="AX1189" s="1" t="s">
        <v>5048</v>
      </c>
      <c r="AY1189" s="1" t="s">
        <v>21134</v>
      </c>
      <c r="AZ1189" s="1" t="s">
        <v>169</v>
      </c>
      <c r="BA1189" s="1" t="s">
        <v>481</v>
      </c>
      <c r="BB1189" s="1">
        <v>79.15</v>
      </c>
      <c r="BC1189" s="1">
        <v>7.91</v>
      </c>
      <c r="BD1189" s="1"/>
      <c r="BE1189" s="1"/>
      <c r="BF1189" s="1"/>
      <c r="BG1189" s="1"/>
      <c r="BH1189" s="1"/>
      <c r="BI1189" s="1"/>
      <c r="BJ1189" s="1" t="s">
        <v>21135</v>
      </c>
      <c r="BK1189" s="1" t="s">
        <v>21136</v>
      </c>
      <c r="BL1189" s="1" t="s">
        <v>3246</v>
      </c>
      <c r="BM1189" s="1" t="s">
        <v>21137</v>
      </c>
      <c r="BN1189" s="1">
        <v>8</v>
      </c>
      <c r="BO1189" s="1"/>
      <c r="BP1189" s="1" t="str">
        <f>HYPERLINK("https://nconnect.nicmar.ac.in/storage/profile/ProfilePhoto_P25701132_857361.jpg","Download")</f>
        <v>0</v>
      </c>
      <c r="BQ1189" s="3"/>
      <c r="BR1189" s="3"/>
    </row>
    <row r="1190" spans="1:70">
      <c r="A1190" s="1" t="s">
        <v>1563</v>
      </c>
      <c r="B1190" s="1" t="s">
        <v>1269</v>
      </c>
      <c r="C1190" s="1" t="s">
        <v>21138</v>
      </c>
      <c r="D1190" s="1" t="s">
        <v>7453</v>
      </c>
      <c r="E1190" s="1" t="s">
        <v>5088</v>
      </c>
      <c r="F1190" s="1" t="s">
        <v>2024</v>
      </c>
      <c r="G1190" s="1" t="s">
        <v>21139</v>
      </c>
      <c r="H1190" s="1" t="s">
        <v>21140</v>
      </c>
      <c r="I1190" s="1" t="s">
        <v>21141</v>
      </c>
      <c r="J1190" s="1">
        <v>6360045973</v>
      </c>
      <c r="K1190" s="1" t="s">
        <v>79</v>
      </c>
      <c r="L1190" s="1" t="s">
        <v>21142</v>
      </c>
      <c r="M1190" s="1" t="s">
        <v>81</v>
      </c>
      <c r="N1190" s="1" t="s">
        <v>21143</v>
      </c>
      <c r="O1190" s="1"/>
      <c r="P1190" s="1" t="s">
        <v>1298</v>
      </c>
      <c r="Q1190" s="1" t="s">
        <v>21144</v>
      </c>
      <c r="R1190" s="1" t="s">
        <v>21145</v>
      </c>
      <c r="S1190" s="1">
        <v>9448141076</v>
      </c>
      <c r="T1190" s="1" t="s">
        <v>21146</v>
      </c>
      <c r="U1190" s="1" t="s">
        <v>6043</v>
      </c>
      <c r="V1190" s="1">
        <v>9449280278</v>
      </c>
      <c r="W1190" s="1" t="s">
        <v>156</v>
      </c>
      <c r="X1190" s="1" t="s">
        <v>21147</v>
      </c>
      <c r="Y1190" s="1" t="s">
        <v>7580</v>
      </c>
      <c r="Z1190" s="1" t="s">
        <v>1084</v>
      </c>
      <c r="AA1190" s="1" t="s">
        <v>21147</v>
      </c>
      <c r="AB1190" s="1" t="s">
        <v>7580</v>
      </c>
      <c r="AC1190" s="1" t="s">
        <v>1084</v>
      </c>
      <c r="AD1190" s="1">
        <v>8.24</v>
      </c>
      <c r="AE1190" s="1" t="s">
        <v>93</v>
      </c>
      <c r="AF1190" s="1" t="s">
        <v>21148</v>
      </c>
      <c r="AG1190" s="1" t="s">
        <v>21149</v>
      </c>
      <c r="AH1190" s="1" t="s">
        <v>169</v>
      </c>
      <c r="AI1190" s="1" t="s">
        <v>409</v>
      </c>
      <c r="AJ1190" s="1">
        <v>78</v>
      </c>
      <c r="AK1190" s="1"/>
      <c r="AL1190" s="1" t="s">
        <v>21148</v>
      </c>
      <c r="AM1190" s="1" t="s">
        <v>21150</v>
      </c>
      <c r="AN1190" s="1" t="s">
        <v>433</v>
      </c>
      <c r="AO1190" s="1" t="s">
        <v>1712</v>
      </c>
      <c r="AP1190" s="1">
        <v>84.4</v>
      </c>
      <c r="AQ1190" s="1"/>
      <c r="AR1190" s="1"/>
      <c r="AS1190" s="1"/>
      <c r="AT1190" s="1"/>
      <c r="AU1190" s="1"/>
      <c r="AV1190" s="1"/>
      <c r="AW1190" s="1"/>
      <c r="AX1190" s="1" t="s">
        <v>21151</v>
      </c>
      <c r="AY1190" s="1" t="s">
        <v>21152</v>
      </c>
      <c r="AZ1190" s="1" t="s">
        <v>506</v>
      </c>
      <c r="BA1190" s="1" t="s">
        <v>507</v>
      </c>
      <c r="BB1190" s="1">
        <v>75.84</v>
      </c>
      <c r="BC1190" s="1">
        <v>3.32</v>
      </c>
      <c r="BD1190" s="1"/>
      <c r="BE1190" s="1"/>
      <c r="BF1190" s="1"/>
      <c r="BG1190" s="1"/>
      <c r="BH1190" s="1"/>
      <c r="BI1190" s="1"/>
      <c r="BJ1190" s="1" t="s">
        <v>21153</v>
      </c>
      <c r="BK1190" s="1" t="s">
        <v>21154</v>
      </c>
      <c r="BL1190" s="1" t="s">
        <v>1028</v>
      </c>
      <c r="BM1190" s="1" t="s">
        <v>21155</v>
      </c>
      <c r="BN1190" s="1">
        <v>34</v>
      </c>
      <c r="BO1190" s="1"/>
      <c r="BP1190" s="1" t="str">
        <f>HYPERLINK("https://nconnect.nicmar.ac.in/storage/profile/ProfilePhoto_P25701133_312596.jpg","Download")</f>
        <v>0</v>
      </c>
      <c r="BQ1190" s="3"/>
      <c r="BR1190" s="3"/>
    </row>
    <row r="1191" spans="1:70">
      <c r="A1191" s="1" t="s">
        <v>1563</v>
      </c>
      <c r="B1191" s="1" t="s">
        <v>1269</v>
      </c>
      <c r="C1191" s="1" t="s">
        <v>21156</v>
      </c>
      <c r="D1191" s="1" t="s">
        <v>18318</v>
      </c>
      <c r="E1191" s="1" t="s">
        <v>21157</v>
      </c>
      <c r="F1191" s="1" t="s">
        <v>21158</v>
      </c>
      <c r="G1191" s="1" t="s">
        <v>21159</v>
      </c>
      <c r="H1191" s="1" t="s">
        <v>21160</v>
      </c>
      <c r="I1191" s="1" t="s">
        <v>21161</v>
      </c>
      <c r="J1191" s="1">
        <v>7620624332</v>
      </c>
      <c r="K1191" s="1" t="s">
        <v>148</v>
      </c>
      <c r="L1191" s="1" t="s">
        <v>10489</v>
      </c>
      <c r="M1191" s="1" t="s">
        <v>81</v>
      </c>
      <c r="N1191" s="1" t="s">
        <v>1046</v>
      </c>
      <c r="O1191" s="1"/>
      <c r="P1191" s="1" t="s">
        <v>1323</v>
      </c>
      <c r="Q1191" s="1" t="s">
        <v>21162</v>
      </c>
      <c r="R1191" s="1" t="s">
        <v>21157</v>
      </c>
      <c r="S1191" s="1">
        <v>9420584437</v>
      </c>
      <c r="T1191" s="1" t="s">
        <v>21163</v>
      </c>
      <c r="U1191" s="1" t="s">
        <v>21164</v>
      </c>
      <c r="V1191" s="1">
        <v>7757064437</v>
      </c>
      <c r="W1191" s="1" t="s">
        <v>273</v>
      </c>
      <c r="X1191" s="1" t="s">
        <v>21165</v>
      </c>
      <c r="Y1191" s="1" t="s">
        <v>2790</v>
      </c>
      <c r="Z1191" s="1" t="s">
        <v>92</v>
      </c>
      <c r="AA1191" s="1" t="s">
        <v>21165</v>
      </c>
      <c r="AB1191" s="1" t="s">
        <v>2790</v>
      </c>
      <c r="AC1191" s="1" t="s">
        <v>92</v>
      </c>
      <c r="AD1191" s="1">
        <v>9.16</v>
      </c>
      <c r="AE1191" s="1" t="s">
        <v>93</v>
      </c>
      <c r="AF1191" s="1" t="s">
        <v>21166</v>
      </c>
      <c r="AG1191" s="1" t="s">
        <v>21167</v>
      </c>
      <c r="AH1191" s="1" t="s">
        <v>165</v>
      </c>
      <c r="AI1191" s="1" t="s">
        <v>101</v>
      </c>
      <c r="AJ1191" s="1">
        <v>94.2</v>
      </c>
      <c r="AK1191" s="1"/>
      <c r="AL1191" s="1"/>
      <c r="AM1191" s="1"/>
      <c r="AN1191" s="1"/>
      <c r="AO1191" s="1"/>
      <c r="AP1191" s="1"/>
      <c r="AQ1191" s="1"/>
      <c r="AR1191" s="1" t="s">
        <v>434</v>
      </c>
      <c r="AS1191" s="1" t="s">
        <v>21168</v>
      </c>
      <c r="AT1191" s="1" t="s">
        <v>101</v>
      </c>
      <c r="AU1191" s="1" t="s">
        <v>1131</v>
      </c>
      <c r="AV1191" s="1">
        <v>95.16</v>
      </c>
      <c r="AW1191" s="1"/>
      <c r="AX1191" s="1" t="s">
        <v>1892</v>
      </c>
      <c r="AY1191" s="1" t="s">
        <v>21169</v>
      </c>
      <c r="AZ1191" s="1" t="s">
        <v>1131</v>
      </c>
      <c r="BA1191" s="1" t="s">
        <v>202</v>
      </c>
      <c r="BB1191" s="1">
        <v>84.1</v>
      </c>
      <c r="BC1191" s="1">
        <v>9.16</v>
      </c>
      <c r="BD1191" s="1"/>
      <c r="BE1191" s="1"/>
      <c r="BF1191" s="1"/>
      <c r="BG1191" s="1"/>
      <c r="BH1191" s="1"/>
      <c r="BI1191" s="1"/>
      <c r="BJ1191" s="1" t="s">
        <v>21170</v>
      </c>
      <c r="BK1191" s="1" t="s">
        <v>21171</v>
      </c>
      <c r="BL1191" s="1" t="s">
        <v>1028</v>
      </c>
      <c r="BM1191" s="1" t="s">
        <v>21172</v>
      </c>
      <c r="BN1191" s="1">
        <v>21</v>
      </c>
      <c r="BO1191" s="1"/>
      <c r="BP1191" s="1" t="str">
        <f>HYPERLINK("https://nconnect.nicmar.ac.in/storage/profile/ProfilePhoto_P25701134_183274.jpg","Download")</f>
        <v>0</v>
      </c>
      <c r="BQ1191" s="3"/>
      <c r="BR1191" s="3"/>
    </row>
    <row r="1192" spans="1:70">
      <c r="A1192" s="1" t="s">
        <v>1563</v>
      </c>
      <c r="B1192" s="1" t="s">
        <v>1269</v>
      </c>
      <c r="C1192" s="1" t="s">
        <v>21173</v>
      </c>
      <c r="D1192" s="1" t="s">
        <v>10456</v>
      </c>
      <c r="E1192" s="1" t="s">
        <v>444</v>
      </c>
      <c r="F1192" s="1" t="s">
        <v>21174</v>
      </c>
      <c r="G1192" s="1" t="s">
        <v>21175</v>
      </c>
      <c r="H1192" s="1" t="s">
        <v>21176</v>
      </c>
      <c r="I1192" s="1" t="s">
        <v>21177</v>
      </c>
      <c r="J1192" s="1">
        <v>7977649274</v>
      </c>
      <c r="K1192" s="1" t="s">
        <v>79</v>
      </c>
      <c r="L1192" s="1" t="s">
        <v>21178</v>
      </c>
      <c r="M1192" s="1" t="s">
        <v>81</v>
      </c>
      <c r="N1192" s="1" t="s">
        <v>21179</v>
      </c>
      <c r="O1192" s="1"/>
      <c r="P1192" s="1" t="s">
        <v>1278</v>
      </c>
      <c r="Q1192" s="1" t="s">
        <v>21180</v>
      </c>
      <c r="R1192" s="1" t="s">
        <v>21181</v>
      </c>
      <c r="S1192" s="1">
        <v>9820284959</v>
      </c>
      <c r="T1192" s="1" t="s">
        <v>7444</v>
      </c>
      <c r="U1192" s="1" t="s">
        <v>21182</v>
      </c>
      <c r="V1192" s="1">
        <v>9322850563</v>
      </c>
      <c r="W1192" s="1" t="s">
        <v>156</v>
      </c>
      <c r="X1192" s="1" t="s">
        <v>21183</v>
      </c>
      <c r="Y1192" s="1" t="s">
        <v>766</v>
      </c>
      <c r="Z1192" s="1" t="s">
        <v>92</v>
      </c>
      <c r="AA1192" s="1" t="s">
        <v>21183</v>
      </c>
      <c r="AB1192" s="1" t="s">
        <v>766</v>
      </c>
      <c r="AC1192" s="1" t="s">
        <v>92</v>
      </c>
      <c r="AD1192" s="1">
        <v>8.54</v>
      </c>
      <c r="AE1192" s="1" t="s">
        <v>93</v>
      </c>
      <c r="AF1192" s="1" t="s">
        <v>10937</v>
      </c>
      <c r="AG1192" s="1" t="s">
        <v>160</v>
      </c>
      <c r="AH1192" s="1" t="s">
        <v>21184</v>
      </c>
      <c r="AI1192" s="1" t="s">
        <v>456</v>
      </c>
      <c r="AJ1192" s="1">
        <v>77.4</v>
      </c>
      <c r="AK1192" s="1">
        <v>0</v>
      </c>
      <c r="AL1192" s="1" t="s">
        <v>21185</v>
      </c>
      <c r="AM1192" s="1" t="s">
        <v>160</v>
      </c>
      <c r="AN1192" s="1" t="s">
        <v>733</v>
      </c>
      <c r="AO1192" s="1" t="s">
        <v>281</v>
      </c>
      <c r="AP1192" s="1">
        <v>62.62</v>
      </c>
      <c r="AQ1192" s="1">
        <v>0</v>
      </c>
      <c r="AR1192" s="1"/>
      <c r="AS1192" s="1"/>
      <c r="AT1192" s="1"/>
      <c r="AU1192" s="1"/>
      <c r="AV1192" s="1"/>
      <c r="AW1192" s="1"/>
      <c r="AX1192" s="1" t="s">
        <v>1024</v>
      </c>
      <c r="AY1192" s="1" t="s">
        <v>21186</v>
      </c>
      <c r="AZ1192" s="1" t="s">
        <v>169</v>
      </c>
      <c r="BA1192" s="1" t="s">
        <v>590</v>
      </c>
      <c r="BB1192" s="1">
        <v>58.78</v>
      </c>
      <c r="BC1192" s="1">
        <v>6.59</v>
      </c>
      <c r="BD1192" s="1"/>
      <c r="BE1192" s="1"/>
      <c r="BF1192" s="1"/>
      <c r="BG1192" s="1"/>
      <c r="BH1192" s="1"/>
      <c r="BI1192" s="1"/>
      <c r="BJ1192" s="1" t="s">
        <v>21187</v>
      </c>
      <c r="BK1192" s="1" t="s">
        <v>21188</v>
      </c>
      <c r="BL1192" s="1" t="s">
        <v>1385</v>
      </c>
      <c r="BM1192" s="1" t="s">
        <v>21189</v>
      </c>
      <c r="BN1192" s="1">
        <v>27</v>
      </c>
      <c r="BO1192" s="1"/>
      <c r="BP1192" s="1" t="str">
        <f>HYPERLINK("https://nconnect.nicmar.ac.in/storage/profile/ProfilePhoto_P25701135_748916.jpg","Download")</f>
        <v>0</v>
      </c>
      <c r="BQ1192" s="3"/>
      <c r="BR1192" s="3"/>
    </row>
    <row r="1193" spans="1:70">
      <c r="A1193" s="1" t="s">
        <v>1563</v>
      </c>
      <c r="B1193" s="1" t="s">
        <v>1269</v>
      </c>
      <c r="C1193" s="1" t="s">
        <v>21190</v>
      </c>
      <c r="D1193" s="1" t="s">
        <v>21191</v>
      </c>
      <c r="E1193" s="1" t="s">
        <v>7588</v>
      </c>
      <c r="F1193" s="1" t="s">
        <v>5908</v>
      </c>
      <c r="G1193" s="1" t="s">
        <v>21192</v>
      </c>
      <c r="H1193" s="1" t="s">
        <v>21193</v>
      </c>
      <c r="I1193" s="1" t="s">
        <v>21194</v>
      </c>
      <c r="J1193" s="1">
        <v>9167756977</v>
      </c>
      <c r="K1193" s="1" t="s">
        <v>148</v>
      </c>
      <c r="L1193" s="1" t="s">
        <v>1013</v>
      </c>
      <c r="M1193" s="1" t="s">
        <v>81</v>
      </c>
      <c r="N1193" s="1" t="s">
        <v>21195</v>
      </c>
      <c r="O1193" s="1"/>
      <c r="P1193" s="1" t="s">
        <v>1323</v>
      </c>
      <c r="Q1193" s="1" t="s">
        <v>21196</v>
      </c>
      <c r="R1193" s="1" t="s">
        <v>21197</v>
      </c>
      <c r="S1193" s="1">
        <v>9819844128</v>
      </c>
      <c r="T1193" s="1" t="s">
        <v>496</v>
      </c>
      <c r="U1193" s="1" t="s">
        <v>21198</v>
      </c>
      <c r="V1193" s="1">
        <v>9819575594</v>
      </c>
      <c r="W1193" s="1" t="s">
        <v>651</v>
      </c>
      <c r="X1193" s="1" t="s">
        <v>21199</v>
      </c>
      <c r="Y1193" s="1" t="s">
        <v>1623</v>
      </c>
      <c r="Z1193" s="1" t="s">
        <v>92</v>
      </c>
      <c r="AA1193" s="1" t="s">
        <v>21199</v>
      </c>
      <c r="AB1193" s="1" t="s">
        <v>1623</v>
      </c>
      <c r="AC1193" s="1" t="s">
        <v>92</v>
      </c>
      <c r="AD1193" s="1">
        <v>9.54</v>
      </c>
      <c r="AE1193" s="1" t="s">
        <v>93</v>
      </c>
      <c r="AF1193" s="1" t="s">
        <v>3046</v>
      </c>
      <c r="AG1193" s="1" t="s">
        <v>160</v>
      </c>
      <c r="AH1193" s="1" t="s">
        <v>97</v>
      </c>
      <c r="AI1193" s="1" t="s">
        <v>456</v>
      </c>
      <c r="AJ1193" s="1">
        <v>86.8</v>
      </c>
      <c r="AK1193" s="1"/>
      <c r="AL1193" s="1" t="s">
        <v>15356</v>
      </c>
      <c r="AM1193" s="1" t="s">
        <v>160</v>
      </c>
      <c r="AN1193" s="1" t="s">
        <v>162</v>
      </c>
      <c r="AO1193" s="1" t="s">
        <v>457</v>
      </c>
      <c r="AP1193" s="1">
        <v>72.31</v>
      </c>
      <c r="AQ1193" s="1"/>
      <c r="AR1193" s="1"/>
      <c r="AS1193" s="1"/>
      <c r="AT1193" s="1"/>
      <c r="AU1193" s="1"/>
      <c r="AV1193" s="1"/>
      <c r="AW1193" s="1"/>
      <c r="AX1193" s="1" t="s">
        <v>253</v>
      </c>
      <c r="AY1193" s="1" t="s">
        <v>20642</v>
      </c>
      <c r="AZ1193" s="1" t="s">
        <v>169</v>
      </c>
      <c r="BA1193" s="1" t="s">
        <v>590</v>
      </c>
      <c r="BB1193" s="1">
        <v>77.86</v>
      </c>
      <c r="BC1193" s="1"/>
      <c r="BD1193" s="1"/>
      <c r="BE1193" s="1"/>
      <c r="BF1193" s="1"/>
      <c r="BG1193" s="1"/>
      <c r="BH1193" s="1"/>
      <c r="BI1193" s="1"/>
      <c r="BJ1193" s="1" t="s">
        <v>21200</v>
      </c>
      <c r="BK1193" s="1" t="s">
        <v>21201</v>
      </c>
      <c r="BL1193" s="1" t="s">
        <v>1385</v>
      </c>
      <c r="BM1193" s="1" t="s">
        <v>21202</v>
      </c>
      <c r="BN1193" s="1">
        <v>27</v>
      </c>
      <c r="BO1193" s="1" t="s">
        <v>21203</v>
      </c>
      <c r="BP1193" s="1" t="str">
        <f>HYPERLINK("https://nconnect.nicmar.ac.in/storage/profile/ProfilePhoto_P25701136_172468.jpg","Download")</f>
        <v>0</v>
      </c>
      <c r="BQ1193" s="3"/>
      <c r="BR1193" s="3"/>
    </row>
    <row r="1194" spans="1:70">
      <c r="A1194" s="1" t="s">
        <v>1563</v>
      </c>
      <c r="B1194" s="1" t="s">
        <v>1269</v>
      </c>
      <c r="C1194" s="1" t="s">
        <v>21204</v>
      </c>
      <c r="D1194" s="1" t="s">
        <v>20873</v>
      </c>
      <c r="E1194" s="1" t="s">
        <v>11763</v>
      </c>
      <c r="F1194" s="1" t="s">
        <v>21205</v>
      </c>
      <c r="G1194" s="1" t="s">
        <v>21206</v>
      </c>
      <c r="H1194" s="1" t="s">
        <v>21207</v>
      </c>
      <c r="I1194" s="1" t="s">
        <v>21208</v>
      </c>
      <c r="J1194" s="1">
        <v>8806600943</v>
      </c>
      <c r="K1194" s="1" t="s">
        <v>148</v>
      </c>
      <c r="L1194" s="1" t="s">
        <v>6149</v>
      </c>
      <c r="M1194" s="1" t="s">
        <v>81</v>
      </c>
      <c r="N1194" s="1" t="s">
        <v>2295</v>
      </c>
      <c r="O1194" s="1" t="s">
        <v>21209</v>
      </c>
      <c r="P1194" s="1" t="s">
        <v>1323</v>
      </c>
      <c r="Q1194" s="1" t="s">
        <v>21210</v>
      </c>
      <c r="R1194" s="1" t="s">
        <v>11763</v>
      </c>
      <c r="S1194" s="1">
        <v>9511821507</v>
      </c>
      <c r="T1194" s="1" t="s">
        <v>496</v>
      </c>
      <c r="U1194" s="1" t="s">
        <v>21211</v>
      </c>
      <c r="V1194" s="1">
        <v>8806223092</v>
      </c>
      <c r="W1194" s="1" t="s">
        <v>651</v>
      </c>
      <c r="X1194" s="1" t="s">
        <v>21212</v>
      </c>
      <c r="Y1194" s="1" t="s">
        <v>5840</v>
      </c>
      <c r="Z1194" s="1" t="s">
        <v>92</v>
      </c>
      <c r="AA1194" s="1" t="s">
        <v>21212</v>
      </c>
      <c r="AB1194" s="1" t="s">
        <v>5840</v>
      </c>
      <c r="AC1194" s="1" t="s">
        <v>92</v>
      </c>
      <c r="AD1194" s="1">
        <v>7.91</v>
      </c>
      <c r="AE1194" s="1" t="s">
        <v>93</v>
      </c>
      <c r="AF1194" s="1" t="s">
        <v>21213</v>
      </c>
      <c r="AG1194" s="1" t="s">
        <v>5624</v>
      </c>
      <c r="AH1194" s="1" t="s">
        <v>456</v>
      </c>
      <c r="AI1194" s="1" t="s">
        <v>195</v>
      </c>
      <c r="AJ1194" s="1">
        <v>89.3</v>
      </c>
      <c r="AK1194" s="1">
        <v>9.4</v>
      </c>
      <c r="AL1194" s="1" t="s">
        <v>21214</v>
      </c>
      <c r="AM1194" s="1" t="s">
        <v>21215</v>
      </c>
      <c r="AN1194" s="1" t="s">
        <v>281</v>
      </c>
      <c r="AO1194" s="1" t="s">
        <v>198</v>
      </c>
      <c r="AP1194" s="1">
        <v>69.23</v>
      </c>
      <c r="AQ1194" s="1"/>
      <c r="AR1194" s="1"/>
      <c r="AS1194" s="1"/>
      <c r="AT1194" s="1"/>
      <c r="AU1194" s="1"/>
      <c r="AV1194" s="1"/>
      <c r="AW1194" s="1"/>
      <c r="AX1194" s="1" t="s">
        <v>361</v>
      </c>
      <c r="AY1194" s="1" t="s">
        <v>21216</v>
      </c>
      <c r="AZ1194" s="1" t="s">
        <v>433</v>
      </c>
      <c r="BA1194" s="1" t="s">
        <v>702</v>
      </c>
      <c r="BB1194" s="1">
        <v>66.48</v>
      </c>
      <c r="BC1194" s="1">
        <v>7.47</v>
      </c>
      <c r="BD1194" s="1"/>
      <c r="BE1194" s="1"/>
      <c r="BF1194" s="1"/>
      <c r="BG1194" s="1"/>
      <c r="BH1194" s="1"/>
      <c r="BI1194" s="1"/>
      <c r="BJ1194" s="1" t="s">
        <v>21217</v>
      </c>
      <c r="BK1194" s="1" t="s">
        <v>21218</v>
      </c>
      <c r="BL1194" s="1" t="s">
        <v>1475</v>
      </c>
      <c r="BM1194" s="1" t="s">
        <v>21219</v>
      </c>
      <c r="BN1194" s="1">
        <v>19</v>
      </c>
      <c r="BO1194" s="1"/>
      <c r="BP1194" s="1" t="str">
        <f>HYPERLINK("https://nconnect.nicmar.ac.in/storage/profile/ProfilePhoto_P25701137_312786.jpg","Download")</f>
        <v>0</v>
      </c>
      <c r="BQ1194" s="3"/>
      <c r="BR1194" s="3"/>
    </row>
    <row r="1195" spans="1:70">
      <c r="A1195" s="1" t="s">
        <v>1563</v>
      </c>
      <c r="B1195" s="1" t="s">
        <v>1269</v>
      </c>
      <c r="C1195" s="1" t="s">
        <v>21220</v>
      </c>
      <c r="D1195" s="1" t="s">
        <v>21221</v>
      </c>
      <c r="E1195" s="1" t="s">
        <v>1876</v>
      </c>
      <c r="F1195" s="1" t="s">
        <v>21222</v>
      </c>
      <c r="G1195" s="1" t="s">
        <v>21223</v>
      </c>
      <c r="H1195" s="1" t="s">
        <v>21224</v>
      </c>
      <c r="I1195" s="1" t="s">
        <v>21225</v>
      </c>
      <c r="J1195" s="1">
        <v>7020585299</v>
      </c>
      <c r="K1195" s="1" t="s">
        <v>148</v>
      </c>
      <c r="L1195" s="1" t="s">
        <v>11804</v>
      </c>
      <c r="M1195" s="1" t="s">
        <v>81</v>
      </c>
      <c r="N1195" s="1" t="s">
        <v>1418</v>
      </c>
      <c r="O1195" s="1"/>
      <c r="P1195" s="1" t="s">
        <v>1766</v>
      </c>
      <c r="Q1195" s="1" t="s">
        <v>21226</v>
      </c>
      <c r="R1195" s="1" t="s">
        <v>1876</v>
      </c>
      <c r="S1195" s="1">
        <v>9822303569</v>
      </c>
      <c r="T1195" s="1" t="s">
        <v>842</v>
      </c>
      <c r="U1195" s="1" t="s">
        <v>21227</v>
      </c>
      <c r="V1195" s="1">
        <v>9822899620</v>
      </c>
      <c r="W1195" s="1" t="s">
        <v>156</v>
      </c>
      <c r="X1195" s="1" t="s">
        <v>21228</v>
      </c>
      <c r="Y1195" s="1" t="s">
        <v>523</v>
      </c>
      <c r="Z1195" s="1" t="s">
        <v>92</v>
      </c>
      <c r="AA1195" s="1" t="s">
        <v>21228</v>
      </c>
      <c r="AB1195" s="1" t="s">
        <v>523</v>
      </c>
      <c r="AC1195" s="1" t="s">
        <v>92</v>
      </c>
      <c r="AD1195" s="1">
        <v>9.86</v>
      </c>
      <c r="AE1195" s="1" t="s">
        <v>93</v>
      </c>
      <c r="AF1195" s="1" t="s">
        <v>21229</v>
      </c>
      <c r="AG1195" s="1" t="s">
        <v>939</v>
      </c>
      <c r="AH1195" s="1" t="s">
        <v>162</v>
      </c>
      <c r="AI1195" s="1" t="s">
        <v>165</v>
      </c>
      <c r="AJ1195" s="1">
        <v>95</v>
      </c>
      <c r="AK1195" s="1">
        <v>10</v>
      </c>
      <c r="AL1195" s="1" t="s">
        <v>21229</v>
      </c>
      <c r="AM1195" s="1" t="s">
        <v>939</v>
      </c>
      <c r="AN1195" s="1" t="s">
        <v>101</v>
      </c>
      <c r="AO1195" s="1" t="s">
        <v>308</v>
      </c>
      <c r="AP1195" s="1">
        <v>90.2</v>
      </c>
      <c r="AQ1195" s="1">
        <v>0</v>
      </c>
      <c r="AR1195" s="1"/>
      <c r="AS1195" s="1"/>
      <c r="AT1195" s="1"/>
      <c r="AU1195" s="1"/>
      <c r="AV1195" s="1"/>
      <c r="AW1195" s="1"/>
      <c r="AX1195" s="1" t="s">
        <v>253</v>
      </c>
      <c r="AY1195" s="1" t="s">
        <v>21230</v>
      </c>
      <c r="AZ1195" s="1" t="s">
        <v>310</v>
      </c>
      <c r="BA1195" s="1" t="s">
        <v>702</v>
      </c>
      <c r="BB1195" s="1">
        <v>71.2</v>
      </c>
      <c r="BC1195" s="1">
        <v>8</v>
      </c>
      <c r="BD1195" s="1"/>
      <c r="BE1195" s="1"/>
      <c r="BF1195" s="1"/>
      <c r="BG1195" s="1"/>
      <c r="BH1195" s="1"/>
      <c r="BI1195" s="1"/>
      <c r="BJ1195" s="1" t="s">
        <v>21231</v>
      </c>
      <c r="BK1195" s="1" t="s">
        <v>21232</v>
      </c>
      <c r="BL1195" s="1" t="s">
        <v>619</v>
      </c>
      <c r="BM1195" s="1" t="s">
        <v>21233</v>
      </c>
      <c r="BN1195" s="1">
        <v>29</v>
      </c>
      <c r="BO1195" s="1"/>
      <c r="BP1195" s="1" t="str">
        <f>HYPERLINK("https://nconnect.nicmar.ac.in/storage/profile/ProfilePhoto_P25701138_614237.jpg","Download")</f>
        <v>0</v>
      </c>
      <c r="BQ1195" s="3"/>
      <c r="BR1195" s="3"/>
    </row>
    <row r="1196" spans="1:70">
      <c r="A1196" s="1" t="s">
        <v>1563</v>
      </c>
      <c r="B1196" s="1" t="s">
        <v>1269</v>
      </c>
      <c r="C1196" s="1" t="s">
        <v>21234</v>
      </c>
      <c r="D1196" s="1" t="s">
        <v>21235</v>
      </c>
      <c r="E1196" s="1" t="s">
        <v>2767</v>
      </c>
      <c r="F1196" s="1" t="s">
        <v>21236</v>
      </c>
      <c r="G1196" s="1" t="s">
        <v>21237</v>
      </c>
      <c r="H1196" s="1" t="s">
        <v>21238</v>
      </c>
      <c r="I1196" s="1" t="s">
        <v>21239</v>
      </c>
      <c r="J1196" s="1">
        <v>9167170423</v>
      </c>
      <c r="K1196" s="1" t="s">
        <v>148</v>
      </c>
      <c r="L1196" s="1" t="s">
        <v>21240</v>
      </c>
      <c r="M1196" s="1" t="s">
        <v>81</v>
      </c>
      <c r="N1196" s="1" t="s">
        <v>21241</v>
      </c>
      <c r="O1196" s="1"/>
      <c r="P1196" s="1" t="s">
        <v>1766</v>
      </c>
      <c r="Q1196" s="1" t="s">
        <v>21242</v>
      </c>
      <c r="R1196" s="1" t="s">
        <v>21236</v>
      </c>
      <c r="S1196" s="1">
        <v>9833703789</v>
      </c>
      <c r="T1196" s="1" t="s">
        <v>21243</v>
      </c>
      <c r="U1196" s="1" t="s">
        <v>21244</v>
      </c>
      <c r="V1196" s="1">
        <v>9769014918</v>
      </c>
      <c r="W1196" s="1" t="s">
        <v>273</v>
      </c>
      <c r="X1196" s="1" t="s">
        <v>21245</v>
      </c>
      <c r="Y1196" s="1" t="s">
        <v>1018</v>
      </c>
      <c r="Z1196" s="1" t="s">
        <v>92</v>
      </c>
      <c r="AA1196" s="1" t="s">
        <v>21246</v>
      </c>
      <c r="AB1196" s="1" t="s">
        <v>995</v>
      </c>
      <c r="AC1196" s="1" t="s">
        <v>92</v>
      </c>
      <c r="AD1196" s="1">
        <v>7.65</v>
      </c>
      <c r="AE1196" s="1" t="s">
        <v>93</v>
      </c>
      <c r="AF1196" s="1" t="s">
        <v>21247</v>
      </c>
      <c r="AG1196" s="1" t="s">
        <v>476</v>
      </c>
      <c r="AH1196" s="1" t="s">
        <v>161</v>
      </c>
      <c r="AI1196" s="1" t="s">
        <v>162</v>
      </c>
      <c r="AJ1196" s="1">
        <v>72.2</v>
      </c>
      <c r="AK1196" s="1"/>
      <c r="AL1196" s="1"/>
      <c r="AM1196" s="1"/>
      <c r="AN1196" s="1"/>
      <c r="AO1196" s="1"/>
      <c r="AP1196" s="1"/>
      <c r="AQ1196" s="1"/>
      <c r="AR1196" s="1" t="s">
        <v>98</v>
      </c>
      <c r="AS1196" s="1" t="s">
        <v>21248</v>
      </c>
      <c r="AT1196" s="1" t="s">
        <v>134</v>
      </c>
      <c r="AU1196" s="1" t="s">
        <v>433</v>
      </c>
      <c r="AV1196" s="1">
        <v>70.06</v>
      </c>
      <c r="AW1196" s="1"/>
      <c r="AX1196" s="1" t="s">
        <v>1024</v>
      </c>
      <c r="AY1196" s="1" t="s">
        <v>21249</v>
      </c>
      <c r="AZ1196" s="1" t="s">
        <v>201</v>
      </c>
      <c r="BA1196" s="1" t="s">
        <v>105</v>
      </c>
      <c r="BB1196" s="1">
        <v>71.01</v>
      </c>
      <c r="BC1196" s="1"/>
      <c r="BD1196" s="1"/>
      <c r="BE1196" s="1" t="s">
        <v>6757</v>
      </c>
      <c r="BF1196" s="1" t="s">
        <v>1584</v>
      </c>
      <c r="BG1196" s="1" t="s">
        <v>21250</v>
      </c>
      <c r="BH1196" s="1">
        <v>0</v>
      </c>
      <c r="BI1196" s="1"/>
      <c r="BJ1196" s="1" t="s">
        <v>21251</v>
      </c>
      <c r="BK1196" s="1" t="s">
        <v>21252</v>
      </c>
      <c r="BL1196" s="1" t="s">
        <v>1028</v>
      </c>
      <c r="BM1196" s="1" t="s">
        <v>21253</v>
      </c>
      <c r="BN1196" s="1">
        <v>8</v>
      </c>
      <c r="BO1196" s="1" t="s">
        <v>21254</v>
      </c>
      <c r="BP1196" s="1" t="str">
        <f>HYPERLINK("https://nconnect.nicmar.ac.in/storage/profile/ProfilePhoto_P25701139_685329.jpg","Download")</f>
        <v>0</v>
      </c>
      <c r="BQ1196" s="3"/>
      <c r="BR1196" s="3"/>
    </row>
    <row r="1197" spans="1:70">
      <c r="A1197" s="1" t="s">
        <v>1563</v>
      </c>
      <c r="B1197" s="1" t="s">
        <v>1269</v>
      </c>
      <c r="C1197" s="1" t="s">
        <v>21255</v>
      </c>
      <c r="D1197" s="1" t="s">
        <v>970</v>
      </c>
      <c r="E1197" s="1" t="s">
        <v>1982</v>
      </c>
      <c r="F1197" s="1" t="s">
        <v>2024</v>
      </c>
      <c r="G1197" s="1" t="s">
        <v>21256</v>
      </c>
      <c r="H1197" s="1" t="s">
        <v>21257</v>
      </c>
      <c r="I1197" s="1" t="s">
        <v>21258</v>
      </c>
      <c r="J1197" s="1">
        <v>9850059829</v>
      </c>
      <c r="K1197" s="1" t="s">
        <v>148</v>
      </c>
      <c r="L1197" s="1" t="s">
        <v>21259</v>
      </c>
      <c r="M1197" s="1" t="s">
        <v>81</v>
      </c>
      <c r="N1197" s="1" t="s">
        <v>6817</v>
      </c>
      <c r="O1197" s="1"/>
      <c r="P1197" s="1" t="s">
        <v>1298</v>
      </c>
      <c r="Q1197" s="1" t="s">
        <v>21260</v>
      </c>
      <c r="R1197" s="1" t="s">
        <v>1982</v>
      </c>
      <c r="S1197" s="1">
        <v>9272630873</v>
      </c>
      <c r="T1197" s="1" t="s">
        <v>763</v>
      </c>
      <c r="U1197" s="1" t="s">
        <v>21261</v>
      </c>
      <c r="V1197" s="1">
        <v>9822553515</v>
      </c>
      <c r="W1197" s="1" t="s">
        <v>273</v>
      </c>
      <c r="X1197" s="1" t="s">
        <v>21262</v>
      </c>
      <c r="Y1197" s="1" t="s">
        <v>5937</v>
      </c>
      <c r="Z1197" s="1" t="s">
        <v>92</v>
      </c>
      <c r="AA1197" s="1" t="s">
        <v>21262</v>
      </c>
      <c r="AB1197" s="1" t="s">
        <v>5937</v>
      </c>
      <c r="AC1197" s="1" t="s">
        <v>92</v>
      </c>
      <c r="AD1197" s="1">
        <v>7.89</v>
      </c>
      <c r="AE1197" s="1" t="s">
        <v>93</v>
      </c>
      <c r="AF1197" s="1" t="s">
        <v>21263</v>
      </c>
      <c r="AG1197" s="1" t="s">
        <v>160</v>
      </c>
      <c r="AH1197" s="1" t="s">
        <v>165</v>
      </c>
      <c r="AI1197" s="1" t="s">
        <v>101</v>
      </c>
      <c r="AJ1197" s="1">
        <v>84.2</v>
      </c>
      <c r="AK1197" s="1"/>
      <c r="AL1197" s="1" t="s">
        <v>21264</v>
      </c>
      <c r="AM1197" s="1" t="s">
        <v>160</v>
      </c>
      <c r="AN1197" s="1" t="s">
        <v>433</v>
      </c>
      <c r="AO1197" s="1" t="s">
        <v>681</v>
      </c>
      <c r="AP1197" s="1">
        <v>63.85</v>
      </c>
      <c r="AQ1197" s="1"/>
      <c r="AR1197" s="1"/>
      <c r="AS1197" s="1"/>
      <c r="AT1197" s="1"/>
      <c r="AU1197" s="1"/>
      <c r="AV1197" s="1"/>
      <c r="AW1197" s="1"/>
      <c r="AX1197" s="1" t="s">
        <v>361</v>
      </c>
      <c r="AY1197" s="1" t="s">
        <v>21265</v>
      </c>
      <c r="AZ1197" s="1" t="s">
        <v>363</v>
      </c>
      <c r="BA1197" s="1" t="s">
        <v>1714</v>
      </c>
      <c r="BB1197" s="1">
        <v>59.5</v>
      </c>
      <c r="BC1197" s="1">
        <v>6.69</v>
      </c>
      <c r="BD1197" s="1"/>
      <c r="BE1197" s="1"/>
      <c r="BF1197" s="1"/>
      <c r="BG1197" s="1"/>
      <c r="BH1197" s="1"/>
      <c r="BI1197" s="1"/>
      <c r="BJ1197" s="1" t="s">
        <v>21266</v>
      </c>
      <c r="BK1197" s="1"/>
      <c r="BL1197" s="1"/>
      <c r="BM1197" s="1" t="s">
        <v>21267</v>
      </c>
      <c r="BN1197" s="1">
        <v>24</v>
      </c>
      <c r="BO1197" s="1" t="s">
        <v>21268</v>
      </c>
      <c r="BP1197" s="1" t="str">
        <f>HYPERLINK("https://nconnect.nicmar.ac.in/storage/profile/ProfilePhoto_P25701140_987256.jpg","Download")</f>
        <v>0</v>
      </c>
      <c r="BQ1197" s="3"/>
      <c r="BR1197" s="3"/>
    </row>
    <row r="1198" spans="1:70">
      <c r="A1198" s="1" t="s">
        <v>1563</v>
      </c>
      <c r="B1198" s="1" t="s">
        <v>1269</v>
      </c>
      <c r="C1198" s="1" t="s">
        <v>21269</v>
      </c>
      <c r="D1198" s="1" t="s">
        <v>21270</v>
      </c>
      <c r="E1198" s="1" t="s">
        <v>1316</v>
      </c>
      <c r="F1198" s="1" t="s">
        <v>21271</v>
      </c>
      <c r="G1198" s="1" t="s">
        <v>21272</v>
      </c>
      <c r="H1198" s="1" t="s">
        <v>21273</v>
      </c>
      <c r="I1198" s="1" t="s">
        <v>21274</v>
      </c>
      <c r="J1198" s="1">
        <v>9922911601</v>
      </c>
      <c r="K1198" s="1" t="s">
        <v>79</v>
      </c>
      <c r="L1198" s="1" t="s">
        <v>21275</v>
      </c>
      <c r="M1198" s="1" t="s">
        <v>81</v>
      </c>
      <c r="N1198" s="1" t="s">
        <v>1144</v>
      </c>
      <c r="O1198" s="1"/>
      <c r="P1198" s="1" t="s">
        <v>1323</v>
      </c>
      <c r="Q1198" s="1" t="s">
        <v>21276</v>
      </c>
      <c r="R1198" s="1" t="s">
        <v>21277</v>
      </c>
      <c r="S1198" s="1">
        <v>9527601601</v>
      </c>
      <c r="T1198" s="1" t="s">
        <v>5459</v>
      </c>
      <c r="U1198" s="1" t="s">
        <v>21278</v>
      </c>
      <c r="V1198" s="1">
        <v>9850881601</v>
      </c>
      <c r="W1198" s="1" t="s">
        <v>122</v>
      </c>
      <c r="X1198" s="1" t="s">
        <v>21279</v>
      </c>
      <c r="Y1198" s="1" t="s">
        <v>158</v>
      </c>
      <c r="Z1198" s="1" t="s">
        <v>92</v>
      </c>
      <c r="AA1198" s="1" t="s">
        <v>21279</v>
      </c>
      <c r="AB1198" s="1" t="s">
        <v>158</v>
      </c>
      <c r="AC1198" s="1" t="s">
        <v>92</v>
      </c>
      <c r="AD1198" s="1">
        <v>8.8</v>
      </c>
      <c r="AE1198" s="1" t="s">
        <v>93</v>
      </c>
      <c r="AF1198" s="1" t="s">
        <v>21280</v>
      </c>
      <c r="AG1198" s="1" t="s">
        <v>476</v>
      </c>
      <c r="AH1198" s="1" t="s">
        <v>162</v>
      </c>
      <c r="AI1198" s="1" t="s">
        <v>195</v>
      </c>
      <c r="AJ1198" s="1">
        <v>86</v>
      </c>
      <c r="AK1198" s="1"/>
      <c r="AL1198" s="1" t="s">
        <v>21281</v>
      </c>
      <c r="AM1198" s="1" t="s">
        <v>476</v>
      </c>
      <c r="AN1198" s="1" t="s">
        <v>101</v>
      </c>
      <c r="AO1198" s="1" t="s">
        <v>198</v>
      </c>
      <c r="AP1198" s="1">
        <v>65.08</v>
      </c>
      <c r="AQ1198" s="1"/>
      <c r="AR1198" s="1"/>
      <c r="AS1198" s="1"/>
      <c r="AT1198" s="1"/>
      <c r="AU1198" s="1"/>
      <c r="AV1198" s="1"/>
      <c r="AW1198" s="1"/>
      <c r="AX1198" s="1" t="s">
        <v>361</v>
      </c>
      <c r="AY1198" s="1" t="s">
        <v>21282</v>
      </c>
      <c r="AZ1198" s="1" t="s">
        <v>201</v>
      </c>
      <c r="BA1198" s="1" t="s">
        <v>590</v>
      </c>
      <c r="BB1198" s="1">
        <v>72</v>
      </c>
      <c r="BC1198" s="1">
        <v>8.09</v>
      </c>
      <c r="BD1198" s="1"/>
      <c r="BE1198" s="1"/>
      <c r="BF1198" s="1"/>
      <c r="BG1198" s="1"/>
      <c r="BH1198" s="1"/>
      <c r="BI1198" s="1"/>
      <c r="BJ1198" s="1" t="s">
        <v>21283</v>
      </c>
      <c r="BK1198" s="1" t="s">
        <v>21284</v>
      </c>
      <c r="BL1198" s="1" t="s">
        <v>1629</v>
      </c>
      <c r="BM1198" s="1" t="s">
        <v>21285</v>
      </c>
      <c r="BN1198" s="1">
        <v>47</v>
      </c>
      <c r="BO1198" s="1"/>
      <c r="BP1198" s="1" t="str">
        <f>HYPERLINK("https://nconnect.nicmar.ac.in/storage/profile/ProfilePhoto_P25701141_658723.jpg","Download")</f>
        <v>0</v>
      </c>
      <c r="BQ1198" s="3"/>
      <c r="BR1198" s="3"/>
    </row>
    <row r="1199" spans="1:70">
      <c r="A1199" s="1" t="s">
        <v>1563</v>
      </c>
      <c r="B1199" s="1" t="s">
        <v>1269</v>
      </c>
      <c r="C1199" s="1" t="s">
        <v>21286</v>
      </c>
      <c r="D1199" s="1" t="s">
        <v>4343</v>
      </c>
      <c r="E1199" s="1" t="s">
        <v>21287</v>
      </c>
      <c r="F1199" s="1" t="s">
        <v>14334</v>
      </c>
      <c r="G1199" s="1" t="s">
        <v>21288</v>
      </c>
      <c r="H1199" s="1" t="s">
        <v>21289</v>
      </c>
      <c r="I1199" s="1" t="s">
        <v>21290</v>
      </c>
      <c r="J1199" s="1">
        <v>7249631292</v>
      </c>
      <c r="K1199" s="1" t="s">
        <v>79</v>
      </c>
      <c r="L1199" s="1" t="s">
        <v>12966</v>
      </c>
      <c r="M1199" s="1" t="s">
        <v>81</v>
      </c>
      <c r="N1199" s="1" t="s">
        <v>1418</v>
      </c>
      <c r="O1199" s="1"/>
      <c r="P1199" s="1" t="s">
        <v>6640</v>
      </c>
      <c r="Q1199" s="1" t="s">
        <v>21291</v>
      </c>
      <c r="R1199" s="1" t="s">
        <v>21287</v>
      </c>
      <c r="S1199" s="1">
        <v>9552929250</v>
      </c>
      <c r="T1199" s="1" t="s">
        <v>154</v>
      </c>
      <c r="U1199" s="1" t="s">
        <v>21292</v>
      </c>
      <c r="V1199" s="1">
        <v>7249831292</v>
      </c>
      <c r="W1199" s="1" t="s">
        <v>154</v>
      </c>
      <c r="X1199" s="1" t="s">
        <v>21293</v>
      </c>
      <c r="Y1199" s="1" t="s">
        <v>5937</v>
      </c>
      <c r="Z1199" s="1" t="s">
        <v>92</v>
      </c>
      <c r="AA1199" s="1" t="s">
        <v>21293</v>
      </c>
      <c r="AB1199" s="1" t="s">
        <v>5937</v>
      </c>
      <c r="AC1199" s="1" t="s">
        <v>92</v>
      </c>
      <c r="AD1199" s="1">
        <v>7.88</v>
      </c>
      <c r="AE1199" s="1" t="s">
        <v>93</v>
      </c>
      <c r="AF1199" s="1" t="s">
        <v>21294</v>
      </c>
      <c r="AG1199" s="1" t="s">
        <v>2142</v>
      </c>
      <c r="AH1199" s="1" t="s">
        <v>479</v>
      </c>
      <c r="AI1199" s="1" t="s">
        <v>166</v>
      </c>
      <c r="AJ1199" s="1">
        <v>61.17</v>
      </c>
      <c r="AK1199" s="1"/>
      <c r="AL1199" s="1" t="s">
        <v>21295</v>
      </c>
      <c r="AM1199" s="1" t="s">
        <v>19953</v>
      </c>
      <c r="AN1199" s="1" t="s">
        <v>433</v>
      </c>
      <c r="AO1199" s="1" t="s">
        <v>173</v>
      </c>
      <c r="AP1199" s="1">
        <v>70.46</v>
      </c>
      <c r="AQ1199" s="1"/>
      <c r="AR1199" s="1"/>
      <c r="AS1199" s="1"/>
      <c r="AT1199" s="1"/>
      <c r="AU1199" s="1"/>
      <c r="AV1199" s="1"/>
      <c r="AW1199" s="1"/>
      <c r="AX1199" s="1" t="s">
        <v>21296</v>
      </c>
      <c r="AY1199" s="1" t="s">
        <v>3484</v>
      </c>
      <c r="AZ1199" s="1" t="s">
        <v>2016</v>
      </c>
      <c r="BA1199" s="1" t="s">
        <v>1939</v>
      </c>
      <c r="BB1199" s="1">
        <v>79.3</v>
      </c>
      <c r="BC1199" s="1">
        <v>7.93</v>
      </c>
      <c r="BD1199" s="1"/>
      <c r="BE1199" s="1"/>
      <c r="BF1199" s="1"/>
      <c r="BG1199" s="1"/>
      <c r="BH1199" s="1"/>
      <c r="BI1199" s="1"/>
      <c r="BJ1199" s="1" t="s">
        <v>21297</v>
      </c>
      <c r="BK1199" s="1"/>
      <c r="BL1199" s="1"/>
      <c r="BM1199" s="1" t="s">
        <v>21298</v>
      </c>
      <c r="BN1199" s="1">
        <v>8</v>
      </c>
      <c r="BO1199" s="1"/>
      <c r="BP1199" s="1" t="str">
        <f>HYPERLINK("https://nconnect.nicmar.ac.in/storage/profile/ProfilePhoto_P25701142_867349.jpg","Download")</f>
        <v>0</v>
      </c>
      <c r="BQ1199" s="3"/>
      <c r="BR1199" s="3"/>
    </row>
    <row r="1200" spans="1:70">
      <c r="A1200" s="1" t="s">
        <v>1563</v>
      </c>
      <c r="B1200" s="1" t="s">
        <v>1269</v>
      </c>
      <c r="C1200" s="1" t="s">
        <v>21299</v>
      </c>
      <c r="D1200" s="1" t="s">
        <v>2150</v>
      </c>
      <c r="E1200" s="1" t="s">
        <v>144</v>
      </c>
      <c r="F1200" s="1" t="s">
        <v>21300</v>
      </c>
      <c r="G1200" s="1" t="s">
        <v>21301</v>
      </c>
      <c r="H1200" s="1" t="s">
        <v>21302</v>
      </c>
      <c r="I1200" s="1" t="s">
        <v>21303</v>
      </c>
      <c r="J1200" s="1">
        <v>7843092944</v>
      </c>
      <c r="K1200" s="1" t="s">
        <v>79</v>
      </c>
      <c r="L1200" s="1" t="s">
        <v>21304</v>
      </c>
      <c r="M1200" s="1" t="s">
        <v>81</v>
      </c>
      <c r="N1200" s="1" t="s">
        <v>1418</v>
      </c>
      <c r="O1200" s="1"/>
      <c r="P1200" s="1" t="s">
        <v>1323</v>
      </c>
      <c r="Q1200" s="1" t="s">
        <v>21305</v>
      </c>
      <c r="R1200" s="1" t="s">
        <v>144</v>
      </c>
      <c r="S1200" s="1">
        <v>9922811058</v>
      </c>
      <c r="T1200" s="1" t="s">
        <v>7870</v>
      </c>
      <c r="U1200" s="1" t="s">
        <v>7475</v>
      </c>
      <c r="V1200" s="1">
        <v>9730166806</v>
      </c>
      <c r="W1200" s="1" t="s">
        <v>156</v>
      </c>
      <c r="X1200" s="1" t="s">
        <v>21306</v>
      </c>
      <c r="Y1200" s="1" t="s">
        <v>2790</v>
      </c>
      <c r="Z1200" s="1" t="s">
        <v>92</v>
      </c>
      <c r="AA1200" s="1" t="s">
        <v>21306</v>
      </c>
      <c r="AB1200" s="1" t="s">
        <v>2790</v>
      </c>
      <c r="AC1200" s="1" t="s">
        <v>92</v>
      </c>
      <c r="AD1200" s="1">
        <v>7.46</v>
      </c>
      <c r="AE1200" s="1" t="s">
        <v>93</v>
      </c>
      <c r="AF1200" s="1" t="s">
        <v>21307</v>
      </c>
      <c r="AG1200" s="1" t="s">
        <v>160</v>
      </c>
      <c r="AH1200" s="1" t="s">
        <v>96</v>
      </c>
      <c r="AI1200" s="1" t="s">
        <v>97</v>
      </c>
      <c r="AJ1200" s="1">
        <v>77.4</v>
      </c>
      <c r="AK1200" s="1"/>
      <c r="AL1200" s="1" t="s">
        <v>21307</v>
      </c>
      <c r="AM1200" s="1" t="s">
        <v>160</v>
      </c>
      <c r="AN1200" s="1" t="s">
        <v>162</v>
      </c>
      <c r="AO1200" s="1" t="s">
        <v>1332</v>
      </c>
      <c r="AP1200" s="1">
        <v>63.54</v>
      </c>
      <c r="AQ1200" s="1"/>
      <c r="AR1200" s="1" t="s">
        <v>98</v>
      </c>
      <c r="AS1200" s="1" t="s">
        <v>21308</v>
      </c>
      <c r="AT1200" s="1" t="s">
        <v>383</v>
      </c>
      <c r="AU1200" s="1" t="s">
        <v>433</v>
      </c>
      <c r="AV1200" s="1">
        <v>65.45</v>
      </c>
      <c r="AW1200" s="1"/>
      <c r="AX1200" s="1" t="s">
        <v>1892</v>
      </c>
      <c r="AY1200" s="1" t="s">
        <v>21309</v>
      </c>
      <c r="AZ1200" s="1" t="s">
        <v>310</v>
      </c>
      <c r="BA1200" s="1" t="s">
        <v>2690</v>
      </c>
      <c r="BB1200" s="1">
        <v>77.77</v>
      </c>
      <c r="BC1200" s="1">
        <v>8.41</v>
      </c>
      <c r="BD1200" s="1"/>
      <c r="BE1200" s="1"/>
      <c r="BF1200" s="1"/>
      <c r="BG1200" s="1"/>
      <c r="BH1200" s="1"/>
      <c r="BI1200" s="1"/>
      <c r="BJ1200" s="1" t="s">
        <v>255</v>
      </c>
      <c r="BK1200" s="1" t="s">
        <v>21310</v>
      </c>
      <c r="BL1200" s="1" t="s">
        <v>1385</v>
      </c>
      <c r="BM1200" s="1" t="s">
        <v>21311</v>
      </c>
      <c r="BN1200" s="1">
        <v>8</v>
      </c>
      <c r="BO1200" s="1"/>
      <c r="BP1200" s="1" t="str">
        <f>HYPERLINK("https://nconnect.nicmar.ac.in/storage/profile/ProfilePhoto_P25701143_256148.jpg","Download")</f>
        <v>0</v>
      </c>
      <c r="BQ1200" s="3"/>
      <c r="BR1200" s="3"/>
    </row>
    <row r="1201" spans="1:70">
      <c r="A1201" s="1" t="s">
        <v>1563</v>
      </c>
      <c r="B1201" s="1" t="s">
        <v>1269</v>
      </c>
      <c r="C1201" s="1" t="s">
        <v>21312</v>
      </c>
      <c r="D1201" s="1" t="s">
        <v>8507</v>
      </c>
      <c r="E1201" s="1" t="s">
        <v>21313</v>
      </c>
      <c r="F1201" s="1" t="s">
        <v>21314</v>
      </c>
      <c r="G1201" s="1" t="s">
        <v>21315</v>
      </c>
      <c r="H1201" s="1" t="s">
        <v>21316</v>
      </c>
      <c r="I1201" s="1" t="s">
        <v>21317</v>
      </c>
      <c r="J1201" s="1">
        <v>8767022422</v>
      </c>
      <c r="K1201" s="1" t="s">
        <v>79</v>
      </c>
      <c r="L1201" s="1" t="s">
        <v>12814</v>
      </c>
      <c r="M1201" s="1" t="s">
        <v>81</v>
      </c>
      <c r="N1201" s="1" t="s">
        <v>1882</v>
      </c>
      <c r="O1201" s="1"/>
      <c r="P1201" s="1" t="s">
        <v>1278</v>
      </c>
      <c r="Q1201" s="1" t="s">
        <v>21318</v>
      </c>
      <c r="R1201" s="1" t="s">
        <v>21319</v>
      </c>
      <c r="S1201" s="1">
        <v>9420081217</v>
      </c>
      <c r="T1201" s="1" t="s">
        <v>496</v>
      </c>
      <c r="U1201" s="1" t="s">
        <v>21320</v>
      </c>
      <c r="V1201" s="1">
        <v>9422207681</v>
      </c>
      <c r="W1201" s="1" t="s">
        <v>156</v>
      </c>
      <c r="X1201" s="1" t="s">
        <v>21321</v>
      </c>
      <c r="Y1201" s="1" t="s">
        <v>191</v>
      </c>
      <c r="Z1201" s="1" t="s">
        <v>92</v>
      </c>
      <c r="AA1201" s="1" t="s">
        <v>21321</v>
      </c>
      <c r="AB1201" s="1" t="s">
        <v>191</v>
      </c>
      <c r="AC1201" s="1" t="s">
        <v>92</v>
      </c>
      <c r="AD1201" s="1">
        <v>8.19</v>
      </c>
      <c r="AE1201" s="1" t="s">
        <v>93</v>
      </c>
      <c r="AF1201" s="1" t="s">
        <v>21322</v>
      </c>
      <c r="AG1201" s="1" t="s">
        <v>476</v>
      </c>
      <c r="AH1201" s="1" t="s">
        <v>165</v>
      </c>
      <c r="AI1201" s="1" t="s">
        <v>281</v>
      </c>
      <c r="AJ1201" s="1">
        <v>79.8</v>
      </c>
      <c r="AK1201" s="1"/>
      <c r="AL1201" s="1" t="s">
        <v>21323</v>
      </c>
      <c r="AM1201" s="1" t="s">
        <v>476</v>
      </c>
      <c r="AN1201" s="1" t="s">
        <v>433</v>
      </c>
      <c r="AO1201" s="1" t="s">
        <v>360</v>
      </c>
      <c r="AP1201" s="1">
        <v>61.08</v>
      </c>
      <c r="AQ1201" s="1"/>
      <c r="AR1201" s="1"/>
      <c r="AS1201" s="1"/>
      <c r="AT1201" s="1"/>
      <c r="AU1201" s="1"/>
      <c r="AV1201" s="1"/>
      <c r="AW1201" s="1"/>
      <c r="AX1201" s="1" t="s">
        <v>18179</v>
      </c>
      <c r="AY1201" s="1" t="s">
        <v>21324</v>
      </c>
      <c r="AZ1201" s="1" t="s">
        <v>360</v>
      </c>
      <c r="BA1201" s="1" t="s">
        <v>1714</v>
      </c>
      <c r="BB1201" s="1">
        <v>65.32</v>
      </c>
      <c r="BC1201" s="1">
        <v>7.34</v>
      </c>
      <c r="BD1201" s="1"/>
      <c r="BE1201" s="1"/>
      <c r="BF1201" s="1"/>
      <c r="BG1201" s="1"/>
      <c r="BH1201" s="1"/>
      <c r="BI1201" s="1"/>
      <c r="BJ1201" s="1" t="s">
        <v>21325</v>
      </c>
      <c r="BK1201" s="1"/>
      <c r="BL1201" s="1"/>
      <c r="BM1201" s="1" t="s">
        <v>21326</v>
      </c>
      <c r="BN1201" s="1">
        <v>34</v>
      </c>
      <c r="BO1201" s="1" t="s">
        <v>21327</v>
      </c>
      <c r="BP1201" s="1" t="str">
        <f>HYPERLINK("https://nconnect.nicmar.ac.in/storage/profile/ProfilePhoto_P25701144_961284.jpg","Download")</f>
        <v>0</v>
      </c>
      <c r="BQ1201" s="3"/>
      <c r="BR1201" s="3"/>
    </row>
    <row r="1202" spans="1:70">
      <c r="A1202" s="1" t="s">
        <v>1563</v>
      </c>
      <c r="B1202" s="1" t="s">
        <v>1269</v>
      </c>
      <c r="C1202" s="1" t="s">
        <v>21328</v>
      </c>
      <c r="D1202" s="1" t="s">
        <v>21329</v>
      </c>
      <c r="E1202" s="1"/>
      <c r="F1202" s="1" t="s">
        <v>21330</v>
      </c>
      <c r="G1202" s="1" t="s">
        <v>21331</v>
      </c>
      <c r="H1202" s="1" t="s">
        <v>21332</v>
      </c>
      <c r="I1202" s="1" t="s">
        <v>21333</v>
      </c>
      <c r="J1202" s="1">
        <v>9123170638</v>
      </c>
      <c r="K1202" s="1" t="s">
        <v>79</v>
      </c>
      <c r="L1202" s="1" t="s">
        <v>21334</v>
      </c>
      <c r="M1202" s="1" t="s">
        <v>81</v>
      </c>
      <c r="N1202" s="1" t="s">
        <v>21335</v>
      </c>
      <c r="O1202" s="1"/>
      <c r="P1202" s="1" t="s">
        <v>1766</v>
      </c>
      <c r="Q1202" s="1" t="s">
        <v>21336</v>
      </c>
      <c r="R1202" s="1" t="s">
        <v>21337</v>
      </c>
      <c r="S1202" s="1">
        <v>7004176990</v>
      </c>
      <c r="T1202" s="1" t="s">
        <v>120</v>
      </c>
      <c r="U1202" s="1" t="s">
        <v>21338</v>
      </c>
      <c r="V1202" s="1">
        <v>7004176990</v>
      </c>
      <c r="W1202" s="1" t="s">
        <v>651</v>
      </c>
      <c r="X1202" s="1" t="s">
        <v>21339</v>
      </c>
      <c r="Y1202" s="1" t="s">
        <v>8982</v>
      </c>
      <c r="Z1202" s="1" t="s">
        <v>3774</v>
      </c>
      <c r="AA1202" s="1" t="s">
        <v>21339</v>
      </c>
      <c r="AB1202" s="1" t="s">
        <v>8982</v>
      </c>
      <c r="AC1202" s="1" t="s">
        <v>3774</v>
      </c>
      <c r="AD1202" s="1">
        <v>8.07</v>
      </c>
      <c r="AE1202" s="1" t="s">
        <v>93</v>
      </c>
      <c r="AF1202" s="1" t="s">
        <v>21340</v>
      </c>
      <c r="AG1202" s="1" t="s">
        <v>21341</v>
      </c>
      <c r="AH1202" s="1" t="s">
        <v>17696</v>
      </c>
      <c r="AI1202" s="1" t="s">
        <v>1197</v>
      </c>
      <c r="AJ1202" s="1">
        <v>68.4</v>
      </c>
      <c r="AK1202" s="1">
        <v>7.2</v>
      </c>
      <c r="AL1202" s="1" t="s">
        <v>21342</v>
      </c>
      <c r="AM1202" s="1" t="s">
        <v>21343</v>
      </c>
      <c r="AN1202" s="1" t="s">
        <v>477</v>
      </c>
      <c r="AO1202" s="1" t="s">
        <v>5701</v>
      </c>
      <c r="AP1202" s="1">
        <v>60.19</v>
      </c>
      <c r="AQ1202" s="1"/>
      <c r="AR1202" s="1"/>
      <c r="AS1202" s="1"/>
      <c r="AT1202" s="1"/>
      <c r="AU1202" s="1"/>
      <c r="AV1202" s="1"/>
      <c r="AW1202" s="1"/>
      <c r="AX1202" s="1" t="s">
        <v>2078</v>
      </c>
      <c r="AY1202" s="1" t="s">
        <v>21344</v>
      </c>
      <c r="AZ1202" s="1" t="s">
        <v>383</v>
      </c>
      <c r="BA1202" s="1" t="s">
        <v>506</v>
      </c>
      <c r="BB1202" s="1">
        <v>65.4</v>
      </c>
      <c r="BC1202" s="1">
        <v>7.26</v>
      </c>
      <c r="BD1202" s="1"/>
      <c r="BE1202" s="1"/>
      <c r="BF1202" s="1"/>
      <c r="BG1202" s="1"/>
      <c r="BH1202" s="1"/>
      <c r="BI1202" s="1"/>
      <c r="BJ1202" s="1" t="s">
        <v>21345</v>
      </c>
      <c r="BK1202" s="1"/>
      <c r="BL1202" s="1"/>
      <c r="BM1202" s="1" t="s">
        <v>21346</v>
      </c>
      <c r="BN1202" s="1">
        <v>9</v>
      </c>
      <c r="BO1202" s="1" t="s">
        <v>21347</v>
      </c>
      <c r="BP1202" s="1" t="str">
        <f>HYPERLINK("https://nconnect.nicmar.ac.in/storage/profile/ProfilePhoto_P25701145_172436.jpg","Download")</f>
        <v>0</v>
      </c>
      <c r="BQ1202" s="3"/>
      <c r="BR1202" s="3"/>
    </row>
    <row r="1203" spans="1:70">
      <c r="A1203" s="1" t="s">
        <v>1563</v>
      </c>
      <c r="B1203" s="1" t="s">
        <v>1269</v>
      </c>
      <c r="C1203" s="1" t="s">
        <v>21348</v>
      </c>
      <c r="D1203" s="1" t="s">
        <v>6761</v>
      </c>
      <c r="E1203" s="1" t="s">
        <v>6213</v>
      </c>
      <c r="F1203" s="1" t="s">
        <v>1546</v>
      </c>
      <c r="G1203" s="1" t="s">
        <v>21349</v>
      </c>
      <c r="H1203" s="1" t="s">
        <v>21350</v>
      </c>
      <c r="I1203" s="1" t="s">
        <v>21351</v>
      </c>
      <c r="J1203" s="1">
        <v>9326542755</v>
      </c>
      <c r="K1203" s="1" t="s">
        <v>79</v>
      </c>
      <c r="L1203" s="1" t="s">
        <v>15405</v>
      </c>
      <c r="M1203" s="1" t="s">
        <v>81</v>
      </c>
      <c r="N1203" s="1" t="s">
        <v>5731</v>
      </c>
      <c r="O1203" s="1"/>
      <c r="P1203" s="1" t="s">
        <v>1298</v>
      </c>
      <c r="Q1203" s="1" t="s">
        <v>21352</v>
      </c>
      <c r="R1203" s="1" t="s">
        <v>1546</v>
      </c>
      <c r="S1203" s="1">
        <v>9223394330</v>
      </c>
      <c r="T1203" s="1" t="s">
        <v>763</v>
      </c>
      <c r="U1203" s="1" t="s">
        <v>3065</v>
      </c>
      <c r="V1203" s="1">
        <v>9833954330</v>
      </c>
      <c r="W1203" s="1" t="s">
        <v>716</v>
      </c>
      <c r="X1203" s="1" t="s">
        <v>21353</v>
      </c>
      <c r="Y1203" s="1" t="s">
        <v>766</v>
      </c>
      <c r="Z1203" s="1" t="s">
        <v>92</v>
      </c>
      <c r="AA1203" s="1" t="s">
        <v>21353</v>
      </c>
      <c r="AB1203" s="1" t="s">
        <v>766</v>
      </c>
      <c r="AC1203" s="1" t="s">
        <v>92</v>
      </c>
      <c r="AD1203" s="1">
        <v>8.27</v>
      </c>
      <c r="AE1203" s="1" t="s">
        <v>93</v>
      </c>
      <c r="AF1203" s="1" t="s">
        <v>21354</v>
      </c>
      <c r="AG1203" s="1" t="s">
        <v>160</v>
      </c>
      <c r="AH1203" s="1" t="s">
        <v>165</v>
      </c>
      <c r="AI1203" s="1" t="s">
        <v>101</v>
      </c>
      <c r="AJ1203" s="1">
        <v>92.6</v>
      </c>
      <c r="AK1203" s="1"/>
      <c r="AL1203" s="1" t="s">
        <v>21355</v>
      </c>
      <c r="AM1203" s="1" t="s">
        <v>160</v>
      </c>
      <c r="AN1203" s="1" t="s">
        <v>433</v>
      </c>
      <c r="AO1203" s="1" t="s">
        <v>412</v>
      </c>
      <c r="AP1203" s="1">
        <v>81.38</v>
      </c>
      <c r="AQ1203" s="1"/>
      <c r="AR1203" s="1"/>
      <c r="AS1203" s="1"/>
      <c r="AT1203" s="1"/>
      <c r="AU1203" s="1"/>
      <c r="AV1203" s="1"/>
      <c r="AW1203" s="1"/>
      <c r="AX1203" s="1" t="s">
        <v>253</v>
      </c>
      <c r="AY1203" s="1" t="s">
        <v>21356</v>
      </c>
      <c r="AZ1203" s="1" t="s">
        <v>173</v>
      </c>
      <c r="BA1203" s="1" t="s">
        <v>1939</v>
      </c>
      <c r="BB1203" s="1">
        <v>73.65</v>
      </c>
      <c r="BC1203" s="1">
        <v>8.15</v>
      </c>
      <c r="BD1203" s="1"/>
      <c r="BE1203" s="1"/>
      <c r="BF1203" s="1"/>
      <c r="BG1203" s="1"/>
      <c r="BH1203" s="1"/>
      <c r="BI1203" s="1"/>
      <c r="BJ1203" s="1" t="s">
        <v>21357</v>
      </c>
      <c r="BK1203" s="1" t="s">
        <v>21358</v>
      </c>
      <c r="BL1203" s="1" t="s">
        <v>1220</v>
      </c>
      <c r="BM1203" s="1" t="s">
        <v>21359</v>
      </c>
      <c r="BN1203" s="1">
        <v>6</v>
      </c>
      <c r="BO1203" s="1" t="s">
        <v>21360</v>
      </c>
      <c r="BP1203" s="1" t="str">
        <f>HYPERLINK("https://nconnect.nicmar.ac.in/storage/profile/ProfilePhoto_P25701147_438629.jpg","Download")</f>
        <v>0</v>
      </c>
      <c r="BQ1203" s="3"/>
      <c r="BR1203" s="3"/>
    </row>
    <row r="1204" spans="1:70">
      <c r="A1204" s="1" t="s">
        <v>1563</v>
      </c>
      <c r="B1204" s="1" t="s">
        <v>1269</v>
      </c>
      <c r="C1204" s="1" t="s">
        <v>21361</v>
      </c>
      <c r="D1204" s="1" t="s">
        <v>2896</v>
      </c>
      <c r="E1204" s="1"/>
      <c r="F1204" s="1" t="s">
        <v>234</v>
      </c>
      <c r="G1204" s="1" t="s">
        <v>21362</v>
      </c>
      <c r="H1204" s="1" t="s">
        <v>21363</v>
      </c>
      <c r="I1204" s="1" t="s">
        <v>21364</v>
      </c>
      <c r="J1204" s="1">
        <v>9304045767</v>
      </c>
      <c r="K1204" s="1" t="s">
        <v>79</v>
      </c>
      <c r="L1204" s="1" t="s">
        <v>21365</v>
      </c>
      <c r="M1204" s="1" t="s">
        <v>81</v>
      </c>
      <c r="N1204" s="1" t="s">
        <v>82</v>
      </c>
      <c r="O1204" s="1" t="s">
        <v>21366</v>
      </c>
      <c r="P1204" s="1" t="s">
        <v>1278</v>
      </c>
      <c r="Q1204" s="1" t="s">
        <v>21367</v>
      </c>
      <c r="R1204" s="1" t="s">
        <v>21368</v>
      </c>
      <c r="S1204" s="1">
        <v>9431720013</v>
      </c>
      <c r="T1204" s="1" t="s">
        <v>120</v>
      </c>
      <c r="U1204" s="1" t="s">
        <v>6138</v>
      </c>
      <c r="V1204" s="1">
        <v>7979755542</v>
      </c>
      <c r="W1204" s="1" t="s">
        <v>273</v>
      </c>
      <c r="X1204" s="1" t="s">
        <v>21369</v>
      </c>
      <c r="Y1204" s="1" t="s">
        <v>191</v>
      </c>
      <c r="Z1204" s="1" t="s">
        <v>92</v>
      </c>
      <c r="AA1204" s="1" t="s">
        <v>21370</v>
      </c>
      <c r="AB1204" s="1" t="s">
        <v>8982</v>
      </c>
      <c r="AC1204" s="1" t="s">
        <v>3774</v>
      </c>
      <c r="AD1204" s="1">
        <v>7.64</v>
      </c>
      <c r="AE1204" s="1" t="s">
        <v>93</v>
      </c>
      <c r="AF1204" s="1" t="s">
        <v>21340</v>
      </c>
      <c r="AG1204" s="1" t="s">
        <v>939</v>
      </c>
      <c r="AH1204" s="1" t="s">
        <v>4223</v>
      </c>
      <c r="AI1204" s="1" t="s">
        <v>1197</v>
      </c>
      <c r="AJ1204" s="1">
        <v>64.6</v>
      </c>
      <c r="AK1204" s="1">
        <v>6.8</v>
      </c>
      <c r="AL1204" s="1" t="s">
        <v>21340</v>
      </c>
      <c r="AM1204" s="1" t="s">
        <v>307</v>
      </c>
      <c r="AN1204" s="1" t="s">
        <v>503</v>
      </c>
      <c r="AO1204" s="1" t="s">
        <v>527</v>
      </c>
      <c r="AP1204" s="1">
        <v>65</v>
      </c>
      <c r="AQ1204" s="1">
        <v>6.9</v>
      </c>
      <c r="AR1204" s="1"/>
      <c r="AS1204" s="1"/>
      <c r="AT1204" s="1"/>
      <c r="AU1204" s="1"/>
      <c r="AV1204" s="1"/>
      <c r="AW1204" s="1"/>
      <c r="AX1204" s="1" t="s">
        <v>21371</v>
      </c>
      <c r="AY1204" s="1" t="s">
        <v>21372</v>
      </c>
      <c r="AZ1204" s="1" t="s">
        <v>225</v>
      </c>
      <c r="BA1204" s="1" t="s">
        <v>506</v>
      </c>
      <c r="BB1204" s="1">
        <v>70</v>
      </c>
      <c r="BC1204" s="1">
        <v>7.82</v>
      </c>
      <c r="BD1204" s="1"/>
      <c r="BE1204" s="1"/>
      <c r="BF1204" s="1"/>
      <c r="BG1204" s="1"/>
      <c r="BH1204" s="1"/>
      <c r="BI1204" s="1"/>
      <c r="BJ1204" s="1" t="s">
        <v>14624</v>
      </c>
      <c r="BK1204" s="1"/>
      <c r="BL1204" s="1"/>
      <c r="BM1204" s="1" t="s">
        <v>21373</v>
      </c>
      <c r="BN1204" s="1">
        <v>8</v>
      </c>
      <c r="BO1204" s="1" t="s">
        <v>21374</v>
      </c>
      <c r="BP1204" s="1" t="str">
        <f>HYPERLINK("https://nconnect.nicmar.ac.in/storage/profile/ProfilePhoto_P25701148_372981.jpg","Download")</f>
        <v>0</v>
      </c>
      <c r="BQ1204" s="3"/>
      <c r="BR1204" s="3"/>
    </row>
    <row r="1205" spans="1:70">
      <c r="A1205" s="1" t="s">
        <v>1563</v>
      </c>
      <c r="B1205" s="1" t="s">
        <v>1269</v>
      </c>
      <c r="C1205" s="1" t="s">
        <v>21375</v>
      </c>
      <c r="D1205" s="1" t="s">
        <v>21376</v>
      </c>
      <c r="E1205" s="1"/>
      <c r="F1205" s="1" t="s">
        <v>21377</v>
      </c>
      <c r="G1205" s="1" t="s">
        <v>21378</v>
      </c>
      <c r="H1205" s="1" t="s">
        <v>21379</v>
      </c>
      <c r="I1205" s="1" t="s">
        <v>21380</v>
      </c>
      <c r="J1205" s="1">
        <v>7207535559</v>
      </c>
      <c r="K1205" s="1" t="s">
        <v>148</v>
      </c>
      <c r="L1205" s="1" t="s">
        <v>21381</v>
      </c>
      <c r="M1205" s="1" t="s">
        <v>81</v>
      </c>
      <c r="N1205" s="1" t="s">
        <v>21382</v>
      </c>
      <c r="O1205" s="1" t="s">
        <v>21383</v>
      </c>
      <c r="P1205" s="1" t="s">
        <v>1766</v>
      </c>
      <c r="Q1205" s="1" t="s">
        <v>21384</v>
      </c>
      <c r="R1205" s="1" t="s">
        <v>21385</v>
      </c>
      <c r="S1205" s="1">
        <v>7702615999</v>
      </c>
      <c r="T1205" s="1" t="s">
        <v>154</v>
      </c>
      <c r="U1205" s="1" t="s">
        <v>21386</v>
      </c>
      <c r="V1205" s="1">
        <v>9030888805</v>
      </c>
      <c r="W1205" s="1" t="s">
        <v>156</v>
      </c>
      <c r="X1205" s="1" t="s">
        <v>21387</v>
      </c>
      <c r="Y1205" s="1" t="s">
        <v>2243</v>
      </c>
      <c r="Z1205" s="1" t="s">
        <v>276</v>
      </c>
      <c r="AA1205" s="1" t="s">
        <v>21387</v>
      </c>
      <c r="AB1205" s="1" t="s">
        <v>2243</v>
      </c>
      <c r="AC1205" s="1" t="s">
        <v>276</v>
      </c>
      <c r="AD1205" s="1">
        <v>8.14</v>
      </c>
      <c r="AE1205" s="1" t="s">
        <v>93</v>
      </c>
      <c r="AF1205" s="1" t="s">
        <v>21388</v>
      </c>
      <c r="AG1205" s="1" t="s">
        <v>21389</v>
      </c>
      <c r="AH1205" s="1" t="s">
        <v>165</v>
      </c>
      <c r="AI1205" s="1" t="s">
        <v>281</v>
      </c>
      <c r="AJ1205" s="1">
        <v>92</v>
      </c>
      <c r="AK1205" s="1">
        <v>9.2</v>
      </c>
      <c r="AL1205" s="1" t="s">
        <v>280</v>
      </c>
      <c r="AM1205" s="1" t="s">
        <v>21389</v>
      </c>
      <c r="AN1205" s="1" t="s">
        <v>433</v>
      </c>
      <c r="AO1205" s="1" t="s">
        <v>941</v>
      </c>
      <c r="AP1205" s="1">
        <v>71.6</v>
      </c>
      <c r="AQ1205" s="1">
        <v>7.69</v>
      </c>
      <c r="AR1205" s="1"/>
      <c r="AS1205" s="1"/>
      <c r="AT1205" s="1"/>
      <c r="AU1205" s="1"/>
      <c r="AV1205" s="1"/>
      <c r="AW1205" s="1"/>
      <c r="AX1205" s="1" t="s">
        <v>21390</v>
      </c>
      <c r="AY1205" s="1" t="s">
        <v>21390</v>
      </c>
      <c r="AZ1205" s="1" t="s">
        <v>173</v>
      </c>
      <c r="BA1205" s="1" t="s">
        <v>702</v>
      </c>
      <c r="BB1205" s="1">
        <v>77.9</v>
      </c>
      <c r="BC1205" s="1">
        <v>8.54</v>
      </c>
      <c r="BD1205" s="1"/>
      <c r="BE1205" s="1"/>
      <c r="BF1205" s="1"/>
      <c r="BG1205" s="1"/>
      <c r="BH1205" s="1"/>
      <c r="BI1205" s="1"/>
      <c r="BJ1205" s="1" t="s">
        <v>1383</v>
      </c>
      <c r="BK1205" s="1"/>
      <c r="BL1205" s="1"/>
      <c r="BM1205" s="1" t="s">
        <v>21391</v>
      </c>
      <c r="BN1205" s="1">
        <v>15</v>
      </c>
      <c r="BO1205" s="1" t="s">
        <v>21392</v>
      </c>
      <c r="BP1205" s="1" t="str">
        <f>HYPERLINK("https://nconnect.nicmar.ac.in/storage/profile/ProfilePhoto_P25701149_837291.jpg","Download")</f>
        <v>0</v>
      </c>
      <c r="BQ1205" s="3"/>
      <c r="BR1205" s="3"/>
    </row>
    <row r="1206" spans="1:70">
      <c r="A1206" s="1" t="s">
        <v>1563</v>
      </c>
      <c r="B1206" s="1" t="s">
        <v>1269</v>
      </c>
      <c r="C1206" s="1" t="s">
        <v>21393</v>
      </c>
      <c r="D1206" s="1" t="s">
        <v>21394</v>
      </c>
      <c r="E1206" s="1"/>
      <c r="F1206" s="1" t="s">
        <v>21395</v>
      </c>
      <c r="G1206" s="1" t="s">
        <v>21396</v>
      </c>
      <c r="H1206" s="1" t="s">
        <v>21397</v>
      </c>
      <c r="I1206" s="1" t="s">
        <v>21398</v>
      </c>
      <c r="J1206" s="1">
        <v>9322215902</v>
      </c>
      <c r="K1206" s="1" t="s">
        <v>148</v>
      </c>
      <c r="L1206" s="1" t="s">
        <v>19551</v>
      </c>
      <c r="M1206" s="1" t="s">
        <v>81</v>
      </c>
      <c r="N1206" s="1" t="s">
        <v>21399</v>
      </c>
      <c r="O1206" s="1"/>
      <c r="P1206" s="1" t="s">
        <v>1298</v>
      </c>
      <c r="Q1206" s="1" t="s">
        <v>21400</v>
      </c>
      <c r="R1206" s="1" t="s">
        <v>21401</v>
      </c>
      <c r="S1206" s="1">
        <v>9987085902</v>
      </c>
      <c r="T1206" s="1" t="s">
        <v>763</v>
      </c>
      <c r="U1206" s="1" t="s">
        <v>21402</v>
      </c>
      <c r="V1206" s="1">
        <v>7021805690</v>
      </c>
      <c r="W1206" s="1" t="s">
        <v>156</v>
      </c>
      <c r="X1206" s="1" t="s">
        <v>21403</v>
      </c>
      <c r="Y1206" s="1" t="s">
        <v>766</v>
      </c>
      <c r="Z1206" s="1" t="s">
        <v>92</v>
      </c>
      <c r="AA1206" s="1" t="s">
        <v>21403</v>
      </c>
      <c r="AB1206" s="1" t="s">
        <v>766</v>
      </c>
      <c r="AC1206" s="1" t="s">
        <v>92</v>
      </c>
      <c r="AD1206" s="1">
        <v>8.7</v>
      </c>
      <c r="AE1206" s="1" t="s">
        <v>93</v>
      </c>
      <c r="AF1206" s="1" t="s">
        <v>21404</v>
      </c>
      <c r="AG1206" s="1" t="s">
        <v>307</v>
      </c>
      <c r="AH1206" s="1" t="s">
        <v>162</v>
      </c>
      <c r="AI1206" s="1" t="s">
        <v>165</v>
      </c>
      <c r="AJ1206" s="1">
        <v>91.2</v>
      </c>
      <c r="AK1206" s="1">
        <v>9.6</v>
      </c>
      <c r="AL1206" s="1" t="s">
        <v>21404</v>
      </c>
      <c r="AM1206" s="1" t="s">
        <v>307</v>
      </c>
      <c r="AN1206" s="1" t="s">
        <v>166</v>
      </c>
      <c r="AO1206" s="1" t="s">
        <v>308</v>
      </c>
      <c r="AP1206" s="1">
        <v>87.4</v>
      </c>
      <c r="AQ1206" s="1"/>
      <c r="AR1206" s="1"/>
      <c r="AS1206" s="1"/>
      <c r="AT1206" s="1"/>
      <c r="AU1206" s="1"/>
      <c r="AV1206" s="1"/>
      <c r="AW1206" s="1"/>
      <c r="AX1206" s="1" t="s">
        <v>1024</v>
      </c>
      <c r="AY1206" s="1" t="s">
        <v>21405</v>
      </c>
      <c r="AZ1206" s="1" t="s">
        <v>310</v>
      </c>
      <c r="BA1206" s="1" t="s">
        <v>702</v>
      </c>
      <c r="BB1206" s="1">
        <v>73.79</v>
      </c>
      <c r="BC1206" s="1">
        <v>8.35</v>
      </c>
      <c r="BD1206" s="1"/>
      <c r="BE1206" s="1"/>
      <c r="BF1206" s="1"/>
      <c r="BG1206" s="1"/>
      <c r="BH1206" s="1"/>
      <c r="BI1206" s="1"/>
      <c r="BJ1206" s="1" t="s">
        <v>21406</v>
      </c>
      <c r="BK1206" s="1" t="s">
        <v>21407</v>
      </c>
      <c r="BL1206" s="1" t="s">
        <v>639</v>
      </c>
      <c r="BM1206" s="1" t="s">
        <v>21408</v>
      </c>
      <c r="BN1206" s="1">
        <v>36</v>
      </c>
      <c r="BO1206" s="1" t="s">
        <v>21409</v>
      </c>
      <c r="BP1206" s="1" t="str">
        <f>HYPERLINK("https://nconnect.nicmar.ac.in/storage/profile/ProfilePhoto_P25701151_132857.jpg","Download")</f>
        <v>0</v>
      </c>
      <c r="BQ1206" s="3"/>
      <c r="BR1206" s="3"/>
    </row>
    <row r="1207" spans="1:70">
      <c r="A1207" s="1" t="s">
        <v>1563</v>
      </c>
      <c r="B1207" s="1" t="s">
        <v>1269</v>
      </c>
      <c r="C1207" s="1" t="s">
        <v>21410</v>
      </c>
      <c r="D1207" s="1" t="s">
        <v>8507</v>
      </c>
      <c r="E1207" s="1"/>
      <c r="F1207" s="1" t="s">
        <v>7350</v>
      </c>
      <c r="G1207" s="1" t="s">
        <v>21411</v>
      </c>
      <c r="H1207" s="1" t="s">
        <v>21412</v>
      </c>
      <c r="I1207" s="1" t="s">
        <v>21413</v>
      </c>
      <c r="J1207" s="1">
        <v>9773336261</v>
      </c>
      <c r="K1207" s="1" t="s">
        <v>79</v>
      </c>
      <c r="L1207" s="1" t="s">
        <v>1929</v>
      </c>
      <c r="M1207" s="1" t="s">
        <v>81</v>
      </c>
      <c r="N1207" s="1" t="s">
        <v>5056</v>
      </c>
      <c r="O1207" s="1"/>
      <c r="P1207" s="1" t="s">
        <v>1278</v>
      </c>
      <c r="Q1207" s="1" t="s">
        <v>21414</v>
      </c>
      <c r="R1207" s="1" t="s">
        <v>21415</v>
      </c>
      <c r="S1207" s="1">
        <v>9001992323</v>
      </c>
      <c r="T1207" s="1" t="s">
        <v>496</v>
      </c>
      <c r="U1207" s="1" t="s">
        <v>21416</v>
      </c>
      <c r="V1207" s="1">
        <v>7878100252</v>
      </c>
      <c r="W1207" s="1" t="s">
        <v>156</v>
      </c>
      <c r="X1207" s="1" t="s">
        <v>21417</v>
      </c>
      <c r="Y1207" s="1" t="s">
        <v>19337</v>
      </c>
      <c r="Z1207" s="1" t="s">
        <v>867</v>
      </c>
      <c r="AA1207" s="1" t="s">
        <v>21417</v>
      </c>
      <c r="AB1207" s="1" t="s">
        <v>19337</v>
      </c>
      <c r="AC1207" s="1" t="s">
        <v>867</v>
      </c>
      <c r="AD1207" s="1">
        <v>7.44</v>
      </c>
      <c r="AE1207" s="1" t="s">
        <v>93</v>
      </c>
      <c r="AF1207" s="1" t="s">
        <v>21418</v>
      </c>
      <c r="AG1207" s="1" t="s">
        <v>21419</v>
      </c>
      <c r="AH1207" s="1" t="s">
        <v>678</v>
      </c>
      <c r="AI1207" s="1" t="s">
        <v>281</v>
      </c>
      <c r="AJ1207" s="1">
        <v>82</v>
      </c>
      <c r="AK1207" s="1"/>
      <c r="AL1207" s="1" t="s">
        <v>21418</v>
      </c>
      <c r="AM1207" s="1" t="s">
        <v>21419</v>
      </c>
      <c r="AN1207" s="1" t="s">
        <v>1065</v>
      </c>
      <c r="AO1207" s="1" t="s">
        <v>941</v>
      </c>
      <c r="AP1207" s="1">
        <v>72</v>
      </c>
      <c r="AQ1207" s="1"/>
      <c r="AR1207" s="1"/>
      <c r="AS1207" s="1"/>
      <c r="AT1207" s="1"/>
      <c r="AU1207" s="1"/>
      <c r="AV1207" s="1"/>
      <c r="AW1207" s="1"/>
      <c r="AX1207" s="1" t="s">
        <v>10208</v>
      </c>
      <c r="AY1207" s="1" t="s">
        <v>21420</v>
      </c>
      <c r="AZ1207" s="1" t="s">
        <v>2463</v>
      </c>
      <c r="BA1207" s="1" t="s">
        <v>413</v>
      </c>
      <c r="BB1207" s="1">
        <v>66.48</v>
      </c>
      <c r="BC1207" s="1">
        <v>7.45</v>
      </c>
      <c r="BD1207" s="1"/>
      <c r="BE1207" s="1"/>
      <c r="BF1207" s="1"/>
      <c r="BG1207" s="1"/>
      <c r="BH1207" s="1"/>
      <c r="BI1207" s="1"/>
      <c r="BJ1207" s="1" t="s">
        <v>21421</v>
      </c>
      <c r="BK1207" s="1" t="s">
        <v>21422</v>
      </c>
      <c r="BL1207" s="1" t="s">
        <v>1475</v>
      </c>
      <c r="BM1207" s="1"/>
      <c r="BN1207" s="1"/>
      <c r="BO1207" s="1" t="s">
        <v>21423</v>
      </c>
      <c r="BP1207" s="1" t="str">
        <f>HYPERLINK("https://nconnect.nicmar.ac.in/storage/profile/ProfilePhoto_P25701152_148367.jpg","Download")</f>
        <v>0</v>
      </c>
      <c r="BQ1207" s="3"/>
      <c r="BR1207" s="3"/>
    </row>
    <row r="1208" spans="1:70">
      <c r="A1208" s="1" t="s">
        <v>1563</v>
      </c>
      <c r="B1208" s="1" t="s">
        <v>1269</v>
      </c>
      <c r="C1208" s="1" t="s">
        <v>21424</v>
      </c>
      <c r="D1208" s="1" t="s">
        <v>21425</v>
      </c>
      <c r="E1208" s="1" t="s">
        <v>21426</v>
      </c>
      <c r="F1208" s="1" t="s">
        <v>4026</v>
      </c>
      <c r="G1208" s="1" t="s">
        <v>21427</v>
      </c>
      <c r="H1208" s="1" t="s">
        <v>21428</v>
      </c>
      <c r="I1208" s="1" t="s">
        <v>21429</v>
      </c>
      <c r="J1208" s="1">
        <v>8669796805</v>
      </c>
      <c r="K1208" s="1" t="s">
        <v>79</v>
      </c>
      <c r="L1208" s="1" t="s">
        <v>21430</v>
      </c>
      <c r="M1208" s="1" t="s">
        <v>81</v>
      </c>
      <c r="N1208" s="1" t="s">
        <v>2008</v>
      </c>
      <c r="O1208" s="1" t="s">
        <v>21431</v>
      </c>
      <c r="P1208" s="1" t="s">
        <v>1298</v>
      </c>
      <c r="Q1208" s="1" t="s">
        <v>21432</v>
      </c>
      <c r="R1208" s="1" t="s">
        <v>21433</v>
      </c>
      <c r="S1208" s="1">
        <v>9637282922</v>
      </c>
      <c r="T1208" s="1" t="s">
        <v>1351</v>
      </c>
      <c r="U1208" s="1" t="s">
        <v>21434</v>
      </c>
      <c r="V1208" s="1">
        <v>7385223090</v>
      </c>
      <c r="W1208" s="1" t="s">
        <v>1351</v>
      </c>
      <c r="X1208" s="1" t="s">
        <v>21435</v>
      </c>
      <c r="Y1208" s="1" t="s">
        <v>158</v>
      </c>
      <c r="Z1208" s="1" t="s">
        <v>92</v>
      </c>
      <c r="AA1208" s="1" t="s">
        <v>21435</v>
      </c>
      <c r="AB1208" s="1" t="s">
        <v>158</v>
      </c>
      <c r="AC1208" s="1" t="s">
        <v>92</v>
      </c>
      <c r="AD1208" s="1">
        <v>7.52</v>
      </c>
      <c r="AE1208" s="1" t="s">
        <v>93</v>
      </c>
      <c r="AF1208" s="1" t="s">
        <v>21436</v>
      </c>
      <c r="AG1208" s="1" t="s">
        <v>160</v>
      </c>
      <c r="AH1208" s="1" t="s">
        <v>195</v>
      </c>
      <c r="AI1208" s="1" t="s">
        <v>281</v>
      </c>
      <c r="AJ1208" s="1">
        <v>84.6</v>
      </c>
      <c r="AK1208" s="1"/>
      <c r="AL1208" s="1" t="s">
        <v>21437</v>
      </c>
      <c r="AM1208" s="1" t="s">
        <v>160</v>
      </c>
      <c r="AN1208" s="1" t="s">
        <v>198</v>
      </c>
      <c r="AO1208" s="1" t="s">
        <v>360</v>
      </c>
      <c r="AP1208" s="1">
        <v>68</v>
      </c>
      <c r="AQ1208" s="1"/>
      <c r="AR1208" s="1"/>
      <c r="AS1208" s="1"/>
      <c r="AT1208" s="1"/>
      <c r="AU1208" s="1"/>
      <c r="AV1208" s="1"/>
      <c r="AW1208" s="1"/>
      <c r="AX1208" s="1" t="s">
        <v>102</v>
      </c>
      <c r="AY1208" s="1" t="s">
        <v>21438</v>
      </c>
      <c r="AZ1208" s="1" t="s">
        <v>363</v>
      </c>
      <c r="BA1208" s="1" t="s">
        <v>1939</v>
      </c>
      <c r="BB1208" s="1">
        <v>70.2</v>
      </c>
      <c r="BC1208" s="1">
        <v>7.52</v>
      </c>
      <c r="BD1208" s="1"/>
      <c r="BE1208" s="1"/>
      <c r="BF1208" s="1"/>
      <c r="BG1208" s="1"/>
      <c r="BH1208" s="1"/>
      <c r="BI1208" s="1"/>
      <c r="BJ1208" s="1" t="s">
        <v>21439</v>
      </c>
      <c r="BK1208" s="1"/>
      <c r="BL1208" s="1"/>
      <c r="BM1208" s="1" t="s">
        <v>21440</v>
      </c>
      <c r="BN1208" s="1">
        <v>61</v>
      </c>
      <c r="BO1208" s="1" t="s">
        <v>21441</v>
      </c>
      <c r="BP1208" s="1" t="str">
        <f>HYPERLINK("https://nconnect.nicmar.ac.in/storage/profile/ProfilePhoto_P25701103_576182.jpg","Download")</f>
        <v>0</v>
      </c>
      <c r="BQ1208" s="3"/>
      <c r="BR1208" s="3"/>
    </row>
    <row r="1209" spans="1:70">
      <c r="A1209" s="1" t="s">
        <v>1563</v>
      </c>
      <c r="B1209" s="1" t="s">
        <v>1269</v>
      </c>
      <c r="C1209" s="1" t="s">
        <v>21442</v>
      </c>
      <c r="D1209" s="1" t="s">
        <v>1740</v>
      </c>
      <c r="E1209" s="1"/>
      <c r="F1209" s="1" t="s">
        <v>7350</v>
      </c>
      <c r="G1209" s="1" t="s">
        <v>21443</v>
      </c>
      <c r="H1209" s="1" t="s">
        <v>21444</v>
      </c>
      <c r="I1209" s="1" t="s">
        <v>21445</v>
      </c>
      <c r="J1209" s="1">
        <v>6392907773</v>
      </c>
      <c r="K1209" s="1" t="s">
        <v>79</v>
      </c>
      <c r="L1209" s="1" t="s">
        <v>3682</v>
      </c>
      <c r="M1209" s="1" t="s">
        <v>81</v>
      </c>
      <c r="N1209" s="1" t="s">
        <v>241</v>
      </c>
      <c r="O1209" s="1" t="s">
        <v>21446</v>
      </c>
      <c r="P1209" s="1" t="s">
        <v>1278</v>
      </c>
      <c r="Q1209" s="1" t="s">
        <v>21447</v>
      </c>
      <c r="R1209" s="1" t="s">
        <v>21448</v>
      </c>
      <c r="S1209" s="1">
        <v>9450314853</v>
      </c>
      <c r="T1209" s="1" t="s">
        <v>122</v>
      </c>
      <c r="U1209" s="1" t="s">
        <v>21449</v>
      </c>
      <c r="V1209" s="1">
        <v>9219661019</v>
      </c>
      <c r="W1209" s="1" t="s">
        <v>156</v>
      </c>
      <c r="X1209" s="1" t="s">
        <v>21450</v>
      </c>
      <c r="Y1209" s="1" t="s">
        <v>18022</v>
      </c>
      <c r="Z1209" s="1" t="s">
        <v>1355</v>
      </c>
      <c r="AA1209" s="1" t="s">
        <v>21451</v>
      </c>
      <c r="AB1209" s="1" t="s">
        <v>21452</v>
      </c>
      <c r="AC1209" s="1" t="s">
        <v>1355</v>
      </c>
      <c r="AD1209" s="1">
        <v>8.89</v>
      </c>
      <c r="AE1209" s="1" t="s">
        <v>93</v>
      </c>
      <c r="AF1209" s="1" t="s">
        <v>21453</v>
      </c>
      <c r="AG1209" s="1" t="s">
        <v>21454</v>
      </c>
      <c r="AH1209" s="1" t="s">
        <v>479</v>
      </c>
      <c r="AI1209" s="1" t="s">
        <v>166</v>
      </c>
      <c r="AJ1209" s="1">
        <v>63.2</v>
      </c>
      <c r="AK1209" s="1"/>
      <c r="AL1209" s="1" t="s">
        <v>21455</v>
      </c>
      <c r="AM1209" s="1" t="s">
        <v>21456</v>
      </c>
      <c r="AN1209" s="1" t="s">
        <v>173</v>
      </c>
      <c r="AO1209" s="1" t="s">
        <v>506</v>
      </c>
      <c r="AP1209" s="1">
        <v>86.54</v>
      </c>
      <c r="AQ1209" s="1"/>
      <c r="AR1209" s="1"/>
      <c r="AS1209" s="1"/>
      <c r="AT1209" s="1"/>
      <c r="AU1209" s="1"/>
      <c r="AV1209" s="1"/>
      <c r="AW1209" s="1"/>
      <c r="AX1209" s="1" t="s">
        <v>21457</v>
      </c>
      <c r="AY1209" s="1" t="s">
        <v>21458</v>
      </c>
      <c r="AZ1209" s="1" t="s">
        <v>506</v>
      </c>
      <c r="BA1209" s="1" t="s">
        <v>1714</v>
      </c>
      <c r="BB1209" s="1">
        <v>80.3</v>
      </c>
      <c r="BC1209" s="1">
        <v>8.03</v>
      </c>
      <c r="BD1209" s="1"/>
      <c r="BE1209" s="1"/>
      <c r="BF1209" s="1"/>
      <c r="BG1209" s="1"/>
      <c r="BH1209" s="1"/>
      <c r="BI1209" s="1"/>
      <c r="BJ1209" s="1" t="s">
        <v>21459</v>
      </c>
      <c r="BK1209" s="1"/>
      <c r="BL1209" s="1"/>
      <c r="BM1209" s="1" t="s">
        <v>21460</v>
      </c>
      <c r="BN1209" s="1">
        <v>15</v>
      </c>
      <c r="BO1209" s="1" t="s">
        <v>21461</v>
      </c>
      <c r="BP1209" s="1" t="str">
        <f>HYPERLINK("https://nconnect.nicmar.ac.in/storage/profile/ProfilePhoto_P25701104_261935.jpg","Download")</f>
        <v>0</v>
      </c>
      <c r="BQ1209" s="3"/>
      <c r="BR1209" s="3"/>
    </row>
    <row r="1210" spans="1:70">
      <c r="A1210" s="1" t="s">
        <v>967</v>
      </c>
      <c r="B1210" s="1" t="s">
        <v>1269</v>
      </c>
      <c r="C1210" s="1" t="s">
        <v>21462</v>
      </c>
      <c r="D1210" s="1" t="s">
        <v>21463</v>
      </c>
      <c r="E1210" s="1" t="s">
        <v>3231</v>
      </c>
      <c r="F1210" s="1" t="s">
        <v>15451</v>
      </c>
      <c r="G1210" s="1" t="s">
        <v>21464</v>
      </c>
      <c r="H1210" s="1" t="s">
        <v>21465</v>
      </c>
      <c r="I1210" s="1" t="s">
        <v>21466</v>
      </c>
      <c r="J1210" s="1">
        <v>9049214719</v>
      </c>
      <c r="K1210" s="1" t="s">
        <v>79</v>
      </c>
      <c r="L1210" s="1" t="s">
        <v>21467</v>
      </c>
      <c r="M1210" s="1" t="s">
        <v>81</v>
      </c>
      <c r="N1210" s="1" t="s">
        <v>1418</v>
      </c>
      <c r="O1210" s="1"/>
      <c r="P1210" s="1" t="s">
        <v>1462</v>
      </c>
      <c r="Q1210" s="1" t="s">
        <v>21468</v>
      </c>
      <c r="R1210" s="1" t="s">
        <v>3231</v>
      </c>
      <c r="S1210" s="1">
        <v>9420161893</v>
      </c>
      <c r="T1210" s="1" t="s">
        <v>21469</v>
      </c>
      <c r="U1210" s="1" t="s">
        <v>7517</v>
      </c>
      <c r="V1210" s="1">
        <v>8390011964</v>
      </c>
      <c r="W1210" s="1" t="s">
        <v>89</v>
      </c>
      <c r="X1210" s="1" t="s">
        <v>21470</v>
      </c>
      <c r="Y1210" s="1" t="s">
        <v>499</v>
      </c>
      <c r="Z1210" s="1" t="s">
        <v>500</v>
      </c>
      <c r="AA1210" s="1" t="s">
        <v>21470</v>
      </c>
      <c r="AB1210" s="1" t="s">
        <v>499</v>
      </c>
      <c r="AC1210" s="1" t="s">
        <v>500</v>
      </c>
      <c r="AD1210" s="1" t="s">
        <v>93</v>
      </c>
      <c r="AE1210" s="1" t="s">
        <v>93</v>
      </c>
      <c r="AF1210" s="1" t="s">
        <v>21471</v>
      </c>
      <c r="AG1210" s="1" t="s">
        <v>20143</v>
      </c>
      <c r="AH1210" s="1" t="s">
        <v>1240</v>
      </c>
      <c r="AI1210" s="1" t="s">
        <v>527</v>
      </c>
      <c r="AJ1210" s="1">
        <v>83</v>
      </c>
      <c r="AK1210" s="1"/>
      <c r="AL1210" s="1" t="s">
        <v>21472</v>
      </c>
      <c r="AM1210" s="1" t="s">
        <v>20143</v>
      </c>
      <c r="AN1210" s="1" t="s">
        <v>162</v>
      </c>
      <c r="AO1210" s="1" t="s">
        <v>166</v>
      </c>
      <c r="AP1210" s="1">
        <v>56.5</v>
      </c>
      <c r="AQ1210" s="1"/>
      <c r="AR1210" s="1"/>
      <c r="AS1210" s="1"/>
      <c r="AT1210" s="1"/>
      <c r="AU1210" s="1"/>
      <c r="AV1210" s="1"/>
      <c r="AW1210" s="1"/>
      <c r="AX1210" s="1" t="s">
        <v>11849</v>
      </c>
      <c r="AY1210" s="1" t="s">
        <v>7271</v>
      </c>
      <c r="AZ1210" s="1" t="s">
        <v>169</v>
      </c>
      <c r="BA1210" s="1" t="s">
        <v>874</v>
      </c>
      <c r="BB1210" s="1">
        <v>64</v>
      </c>
      <c r="BC1210" s="1"/>
      <c r="BD1210" s="1"/>
      <c r="BE1210" s="1"/>
      <c r="BF1210" s="1"/>
      <c r="BG1210" s="1"/>
      <c r="BH1210" s="1"/>
      <c r="BI1210" s="1"/>
      <c r="BJ1210" s="1" t="s">
        <v>21473</v>
      </c>
      <c r="BK1210" s="1" t="s">
        <v>21474</v>
      </c>
      <c r="BL1210" s="1" t="s">
        <v>2384</v>
      </c>
      <c r="BM1210" s="1" t="s">
        <v>21475</v>
      </c>
      <c r="BN1210" s="1">
        <v>16</v>
      </c>
      <c r="BO1210" s="1" t="s">
        <v>21476</v>
      </c>
      <c r="BP1210" s="1" t="str">
        <f>HYPERLINK("https://nconnect.nicmar.ac.in/storage/profile/ProfilePhoto_P25704001_327986.jpg","Download")</f>
        <v>0</v>
      </c>
      <c r="BQ1210" s="3"/>
      <c r="BR1210" s="3"/>
    </row>
    <row r="1211" spans="1:70">
      <c r="A1211" s="1" t="s">
        <v>967</v>
      </c>
      <c r="B1211" s="1" t="s">
        <v>1269</v>
      </c>
      <c r="C1211" s="1" t="s">
        <v>21477</v>
      </c>
      <c r="D1211" s="1" t="s">
        <v>8492</v>
      </c>
      <c r="E1211" s="1" t="s">
        <v>21478</v>
      </c>
      <c r="F1211" s="1" t="s">
        <v>21479</v>
      </c>
      <c r="G1211" s="1" t="s">
        <v>21480</v>
      </c>
      <c r="H1211" s="1" t="s">
        <v>21481</v>
      </c>
      <c r="I1211" s="1" t="s">
        <v>21482</v>
      </c>
      <c r="J1211" s="1">
        <v>9606625731</v>
      </c>
      <c r="K1211" s="1" t="s">
        <v>79</v>
      </c>
      <c r="L1211" s="1" t="s">
        <v>12291</v>
      </c>
      <c r="M1211" s="1" t="s">
        <v>81</v>
      </c>
      <c r="N1211" s="1" t="s">
        <v>21483</v>
      </c>
      <c r="O1211" s="1"/>
      <c r="P1211" s="1" t="s">
        <v>1298</v>
      </c>
      <c r="Q1211" s="1" t="s">
        <v>21484</v>
      </c>
      <c r="R1211" s="1" t="s">
        <v>21478</v>
      </c>
      <c r="S1211" s="1">
        <v>9945732643</v>
      </c>
      <c r="T1211" s="1" t="s">
        <v>21485</v>
      </c>
      <c r="U1211" s="1" t="s">
        <v>21486</v>
      </c>
      <c r="V1211" s="1">
        <v>9902479826</v>
      </c>
      <c r="W1211" s="1" t="s">
        <v>1301</v>
      </c>
      <c r="X1211" s="1" t="s">
        <v>21487</v>
      </c>
      <c r="Y1211" s="1" t="s">
        <v>4771</v>
      </c>
      <c r="Z1211" s="1" t="s">
        <v>1084</v>
      </c>
      <c r="AA1211" s="1" t="s">
        <v>21487</v>
      </c>
      <c r="AB1211" s="1" t="s">
        <v>4771</v>
      </c>
      <c r="AC1211" s="1" t="s">
        <v>1084</v>
      </c>
      <c r="AD1211" s="1" t="s">
        <v>93</v>
      </c>
      <c r="AE1211" s="1" t="s">
        <v>93</v>
      </c>
      <c r="AF1211" s="1" t="s">
        <v>21488</v>
      </c>
      <c r="AG1211" s="1" t="s">
        <v>21489</v>
      </c>
      <c r="AH1211" s="1" t="s">
        <v>1001</v>
      </c>
      <c r="AI1211" s="1" t="s">
        <v>479</v>
      </c>
      <c r="AJ1211" s="1">
        <v>86.4</v>
      </c>
      <c r="AK1211" s="1"/>
      <c r="AL1211" s="1" t="s">
        <v>21490</v>
      </c>
      <c r="AM1211" s="1" t="s">
        <v>21491</v>
      </c>
      <c r="AN1211" s="1" t="s">
        <v>21492</v>
      </c>
      <c r="AO1211" s="1" t="s">
        <v>409</v>
      </c>
      <c r="AP1211" s="1">
        <v>59.16</v>
      </c>
      <c r="AQ1211" s="1"/>
      <c r="AR1211" s="1"/>
      <c r="AS1211" s="1"/>
      <c r="AT1211" s="1"/>
      <c r="AU1211" s="1"/>
      <c r="AV1211" s="1"/>
      <c r="AW1211" s="1"/>
      <c r="AX1211" s="1" t="s">
        <v>4969</v>
      </c>
      <c r="AY1211" s="1" t="s">
        <v>21493</v>
      </c>
      <c r="AZ1211" s="1" t="s">
        <v>13652</v>
      </c>
      <c r="BA1211" s="1" t="s">
        <v>229</v>
      </c>
      <c r="BB1211" s="1">
        <v>61.2</v>
      </c>
      <c r="BC1211" s="1"/>
      <c r="BD1211" s="1"/>
      <c r="BE1211" s="1"/>
      <c r="BF1211" s="1"/>
      <c r="BG1211" s="1"/>
      <c r="BH1211" s="1"/>
      <c r="BI1211" s="1"/>
      <c r="BJ1211" s="1" t="s">
        <v>7161</v>
      </c>
      <c r="BK1211" s="1"/>
      <c r="BL1211" s="1"/>
      <c r="BM1211" s="1" t="s">
        <v>21494</v>
      </c>
      <c r="BN1211" s="1">
        <v>17</v>
      </c>
      <c r="BO1211" s="1"/>
      <c r="BP1211" s="1" t="str">
        <f>HYPERLINK("https://nconnect.nicmar.ac.in/storage/profile/ProfilePhoto_P25704004_981675.jpg","Download")</f>
        <v>0</v>
      </c>
      <c r="BQ1211" s="3"/>
      <c r="BR1211" s="3"/>
    </row>
    <row r="1212" spans="1:70">
      <c r="A1212" s="1" t="s">
        <v>967</v>
      </c>
      <c r="B1212" s="1" t="s">
        <v>1269</v>
      </c>
      <c r="C1212" s="1" t="s">
        <v>21495</v>
      </c>
      <c r="D1212" s="1" t="s">
        <v>7588</v>
      </c>
      <c r="E1212" s="1" t="s">
        <v>21496</v>
      </c>
      <c r="F1212" s="1" t="s">
        <v>21497</v>
      </c>
      <c r="G1212" s="1" t="s">
        <v>21498</v>
      </c>
      <c r="H1212" s="1" t="s">
        <v>21499</v>
      </c>
      <c r="I1212" s="1" t="s">
        <v>21500</v>
      </c>
      <c r="J1212" s="1">
        <v>9112166624</v>
      </c>
      <c r="K1212" s="1" t="s">
        <v>79</v>
      </c>
      <c r="L1212" s="1" t="s">
        <v>21501</v>
      </c>
      <c r="M1212" s="1" t="s">
        <v>81</v>
      </c>
      <c r="N1212" s="1" t="s">
        <v>2008</v>
      </c>
      <c r="O1212" s="1"/>
      <c r="P1212" s="1" t="s">
        <v>1298</v>
      </c>
      <c r="Q1212" s="1" t="s">
        <v>21502</v>
      </c>
      <c r="R1212" s="1" t="s">
        <v>21496</v>
      </c>
      <c r="S1212" s="1">
        <v>9527853953</v>
      </c>
      <c r="T1212" s="1" t="s">
        <v>216</v>
      </c>
      <c r="U1212" s="1" t="s">
        <v>21503</v>
      </c>
      <c r="V1212" s="1">
        <v>9527853953</v>
      </c>
      <c r="W1212" s="1" t="s">
        <v>156</v>
      </c>
      <c r="X1212" s="1" t="s">
        <v>21504</v>
      </c>
      <c r="Y1212" s="1" t="s">
        <v>91</v>
      </c>
      <c r="Z1212" s="1" t="s">
        <v>92</v>
      </c>
      <c r="AA1212" s="1" t="s">
        <v>21504</v>
      </c>
      <c r="AB1212" s="1" t="s">
        <v>91</v>
      </c>
      <c r="AC1212" s="1" t="s">
        <v>92</v>
      </c>
      <c r="AD1212" s="1" t="s">
        <v>93</v>
      </c>
      <c r="AE1212" s="1" t="s">
        <v>93</v>
      </c>
      <c r="AF1212" s="1" t="s">
        <v>10359</v>
      </c>
      <c r="AG1212" s="1" t="s">
        <v>5102</v>
      </c>
      <c r="AH1212" s="1" t="s">
        <v>161</v>
      </c>
      <c r="AI1212" s="1" t="s">
        <v>162</v>
      </c>
      <c r="AJ1212" s="1">
        <v>83.6</v>
      </c>
      <c r="AK1212" s="1"/>
      <c r="AL1212" s="1" t="s">
        <v>21505</v>
      </c>
      <c r="AM1212" s="1" t="s">
        <v>5102</v>
      </c>
      <c r="AN1212" s="1" t="s">
        <v>195</v>
      </c>
      <c r="AO1212" s="1" t="s">
        <v>166</v>
      </c>
      <c r="AP1212" s="1">
        <v>58.62</v>
      </c>
      <c r="AQ1212" s="1"/>
      <c r="AR1212" s="1"/>
      <c r="AS1212" s="1"/>
      <c r="AT1212" s="1"/>
      <c r="AU1212" s="1"/>
      <c r="AV1212" s="1"/>
      <c r="AW1212" s="1"/>
      <c r="AX1212" s="1" t="s">
        <v>21506</v>
      </c>
      <c r="AY1212" s="1" t="s">
        <v>19127</v>
      </c>
      <c r="AZ1212" s="1" t="s">
        <v>636</v>
      </c>
      <c r="BA1212" s="1" t="s">
        <v>105</v>
      </c>
      <c r="BB1212" s="1">
        <v>75.5</v>
      </c>
      <c r="BC1212" s="1">
        <v>8.05</v>
      </c>
      <c r="BD1212" s="1"/>
      <c r="BE1212" s="1"/>
      <c r="BF1212" s="1"/>
      <c r="BG1212" s="1"/>
      <c r="BH1212" s="1"/>
      <c r="BI1212" s="1"/>
      <c r="BJ1212" s="1" t="s">
        <v>1715</v>
      </c>
      <c r="BK1212" s="1"/>
      <c r="BL1212" s="1"/>
      <c r="BM1212" s="1" t="s">
        <v>21507</v>
      </c>
      <c r="BN1212" s="1">
        <v>114</v>
      </c>
      <c r="BO1212" s="1"/>
      <c r="BP1212" s="1" t="str">
        <f>HYPERLINK("https://nconnect.nicmar.ac.in/storage/profile/ProfilePhoto_P25704005_592674.jpg","Download")</f>
        <v>0</v>
      </c>
      <c r="BQ1212" s="3"/>
      <c r="BR1212" s="3"/>
    </row>
    <row r="1213" spans="1:70">
      <c r="A1213" s="1" t="s">
        <v>967</v>
      </c>
      <c r="B1213" s="1" t="s">
        <v>1269</v>
      </c>
      <c r="C1213" s="1" t="s">
        <v>21508</v>
      </c>
      <c r="D1213" s="1" t="s">
        <v>21509</v>
      </c>
      <c r="E1213" s="1" t="s">
        <v>12776</v>
      </c>
      <c r="F1213" s="1" t="s">
        <v>21510</v>
      </c>
      <c r="G1213" s="1" t="s">
        <v>21511</v>
      </c>
      <c r="H1213" s="1" t="s">
        <v>21512</v>
      </c>
      <c r="I1213" s="1" t="s">
        <v>21513</v>
      </c>
      <c r="J1213" s="1">
        <v>9352189157</v>
      </c>
      <c r="K1213" s="1" t="s">
        <v>148</v>
      </c>
      <c r="L1213" s="1" t="s">
        <v>2155</v>
      </c>
      <c r="M1213" s="1" t="s">
        <v>81</v>
      </c>
      <c r="N1213" s="1" t="s">
        <v>860</v>
      </c>
      <c r="O1213" s="1"/>
      <c r="P1213" s="1" t="s">
        <v>1766</v>
      </c>
      <c r="Q1213" s="1" t="s">
        <v>21514</v>
      </c>
      <c r="R1213" s="1" t="s">
        <v>21510</v>
      </c>
      <c r="S1213" s="1">
        <v>9922920835</v>
      </c>
      <c r="T1213" s="1" t="s">
        <v>120</v>
      </c>
      <c r="U1213" s="1" t="s">
        <v>13878</v>
      </c>
      <c r="V1213" s="1">
        <v>9022059275</v>
      </c>
      <c r="W1213" s="1" t="s">
        <v>89</v>
      </c>
      <c r="X1213" s="1" t="s">
        <v>21515</v>
      </c>
      <c r="Y1213" s="1" t="s">
        <v>523</v>
      </c>
      <c r="Z1213" s="1" t="s">
        <v>92</v>
      </c>
      <c r="AA1213" s="1" t="s">
        <v>21515</v>
      </c>
      <c r="AB1213" s="1" t="s">
        <v>523</v>
      </c>
      <c r="AC1213" s="1" t="s">
        <v>92</v>
      </c>
      <c r="AD1213" s="1" t="s">
        <v>93</v>
      </c>
      <c r="AE1213" s="1" t="s">
        <v>93</v>
      </c>
      <c r="AF1213" s="1" t="s">
        <v>21516</v>
      </c>
      <c r="AG1213" s="1" t="s">
        <v>21517</v>
      </c>
      <c r="AH1213" s="1" t="s">
        <v>657</v>
      </c>
      <c r="AI1213" s="1" t="s">
        <v>195</v>
      </c>
      <c r="AJ1213" s="1">
        <v>83.4</v>
      </c>
      <c r="AK1213" s="1"/>
      <c r="AL1213" s="1" t="s">
        <v>21518</v>
      </c>
      <c r="AM1213" s="1" t="s">
        <v>21517</v>
      </c>
      <c r="AN1213" s="1" t="s">
        <v>457</v>
      </c>
      <c r="AO1213" s="1" t="s">
        <v>198</v>
      </c>
      <c r="AP1213" s="1">
        <v>62.77</v>
      </c>
      <c r="AQ1213" s="1"/>
      <c r="AR1213" s="1"/>
      <c r="AS1213" s="1"/>
      <c r="AT1213" s="1"/>
      <c r="AU1213" s="1"/>
      <c r="AV1213" s="1"/>
      <c r="AW1213" s="1"/>
      <c r="AX1213" s="1" t="s">
        <v>21519</v>
      </c>
      <c r="AY1213" s="1" t="s">
        <v>21520</v>
      </c>
      <c r="AZ1213" s="1" t="s">
        <v>360</v>
      </c>
      <c r="BA1213" s="1" t="s">
        <v>1714</v>
      </c>
      <c r="BB1213" s="1">
        <v>60.16</v>
      </c>
      <c r="BC1213" s="1">
        <v>6.76</v>
      </c>
      <c r="BD1213" s="1"/>
      <c r="BE1213" s="1"/>
      <c r="BF1213" s="1"/>
      <c r="BG1213" s="1"/>
      <c r="BH1213" s="1"/>
      <c r="BI1213" s="1"/>
      <c r="BJ1213" s="1" t="s">
        <v>21521</v>
      </c>
      <c r="BK1213" s="1"/>
      <c r="BL1213" s="1"/>
      <c r="BM1213" s="1" t="s">
        <v>21522</v>
      </c>
      <c r="BN1213" s="1">
        <v>31</v>
      </c>
      <c r="BO1213" s="1"/>
      <c r="BP1213" s="1" t="str">
        <f>HYPERLINK("https://nconnect.nicmar.ac.in/storage/profile/ProfilePhoto_P25704006_537618.jpg","Download")</f>
        <v>0</v>
      </c>
      <c r="BQ1213" s="3"/>
      <c r="BR1213" s="3"/>
    </row>
    <row r="1214" spans="1:70">
      <c r="A1214" s="1" t="s">
        <v>967</v>
      </c>
      <c r="B1214" s="1" t="s">
        <v>1269</v>
      </c>
      <c r="C1214" s="1" t="s">
        <v>21523</v>
      </c>
      <c r="D1214" s="1" t="s">
        <v>14131</v>
      </c>
      <c r="E1214" s="1" t="s">
        <v>13676</v>
      </c>
      <c r="F1214" s="1" t="s">
        <v>21524</v>
      </c>
      <c r="G1214" s="1" t="s">
        <v>21525</v>
      </c>
      <c r="H1214" s="1" t="s">
        <v>21526</v>
      </c>
      <c r="I1214" s="1" t="s">
        <v>21527</v>
      </c>
      <c r="J1214" s="1">
        <v>9834120809</v>
      </c>
      <c r="K1214" s="1" t="s">
        <v>148</v>
      </c>
      <c r="L1214" s="1" t="s">
        <v>18474</v>
      </c>
      <c r="M1214" s="1" t="s">
        <v>81</v>
      </c>
      <c r="N1214" s="1" t="s">
        <v>11104</v>
      </c>
      <c r="O1214" s="1"/>
      <c r="P1214" s="1" t="s">
        <v>1462</v>
      </c>
      <c r="Q1214" s="1" t="s">
        <v>21528</v>
      </c>
      <c r="R1214" s="1" t="s">
        <v>21529</v>
      </c>
      <c r="S1214" s="1">
        <v>8975639999</v>
      </c>
      <c r="T1214" s="1" t="s">
        <v>564</v>
      </c>
      <c r="U1214" s="1" t="s">
        <v>21530</v>
      </c>
      <c r="V1214" s="1">
        <v>9403119990</v>
      </c>
      <c r="W1214" s="1" t="s">
        <v>89</v>
      </c>
      <c r="X1214" s="1" t="s">
        <v>21531</v>
      </c>
      <c r="Y1214" s="1" t="s">
        <v>405</v>
      </c>
      <c r="Z1214" s="1" t="s">
        <v>92</v>
      </c>
      <c r="AA1214" s="1" t="s">
        <v>21531</v>
      </c>
      <c r="AB1214" s="1" t="s">
        <v>405</v>
      </c>
      <c r="AC1214" s="1" t="s">
        <v>92</v>
      </c>
      <c r="AD1214" s="1" t="s">
        <v>93</v>
      </c>
      <c r="AE1214" s="1" t="s">
        <v>93</v>
      </c>
      <c r="AF1214" s="1" t="s">
        <v>21532</v>
      </c>
      <c r="AG1214" s="1" t="s">
        <v>160</v>
      </c>
      <c r="AH1214" s="1" t="s">
        <v>195</v>
      </c>
      <c r="AI1214" s="1" t="s">
        <v>281</v>
      </c>
      <c r="AJ1214" s="1">
        <v>86.4</v>
      </c>
      <c r="AK1214" s="1"/>
      <c r="AL1214" s="1" t="s">
        <v>21533</v>
      </c>
      <c r="AM1214" s="1" t="s">
        <v>160</v>
      </c>
      <c r="AN1214" s="1" t="s">
        <v>198</v>
      </c>
      <c r="AO1214" s="1" t="s">
        <v>360</v>
      </c>
      <c r="AP1214" s="1">
        <v>73.23</v>
      </c>
      <c r="AQ1214" s="1"/>
      <c r="AR1214" s="1"/>
      <c r="AS1214" s="1"/>
      <c r="AT1214" s="1"/>
      <c r="AU1214" s="1"/>
      <c r="AV1214" s="1"/>
      <c r="AW1214" s="1"/>
      <c r="AX1214" s="1" t="s">
        <v>361</v>
      </c>
      <c r="AY1214" s="1" t="s">
        <v>15656</v>
      </c>
      <c r="AZ1214" s="1" t="s">
        <v>363</v>
      </c>
      <c r="BA1214" s="1" t="s">
        <v>1408</v>
      </c>
      <c r="BB1214" s="1">
        <v>71.8</v>
      </c>
      <c r="BC1214" s="1">
        <v>7.93</v>
      </c>
      <c r="BD1214" s="1"/>
      <c r="BE1214" s="1"/>
      <c r="BF1214" s="1"/>
      <c r="BG1214" s="1"/>
      <c r="BH1214" s="1"/>
      <c r="BI1214" s="1"/>
      <c r="BJ1214" s="1" t="s">
        <v>21534</v>
      </c>
      <c r="BK1214" s="1" t="s">
        <v>21535</v>
      </c>
      <c r="BL1214" s="1" t="s">
        <v>947</v>
      </c>
      <c r="BM1214" s="1" t="s">
        <v>21536</v>
      </c>
      <c r="BN1214" s="1">
        <v>17</v>
      </c>
      <c r="BO1214" s="1" t="s">
        <v>21537</v>
      </c>
      <c r="BP1214" s="1" t="str">
        <f>HYPERLINK("https://nconnect.nicmar.ac.in/storage/profile/ProfilePhoto_P25704007_382496.jpg","Download")</f>
        <v>0</v>
      </c>
      <c r="BQ1214" s="3"/>
      <c r="BR1214" s="3"/>
    </row>
    <row r="1215" spans="1:70">
      <c r="A1215" s="1" t="s">
        <v>967</v>
      </c>
      <c r="B1215" s="1" t="s">
        <v>1269</v>
      </c>
      <c r="C1215" s="1" t="s">
        <v>21538</v>
      </c>
      <c r="D1215" s="1" t="s">
        <v>1924</v>
      </c>
      <c r="E1215" s="1" t="s">
        <v>835</v>
      </c>
      <c r="F1215" s="1" t="s">
        <v>5908</v>
      </c>
      <c r="G1215" s="1" t="s">
        <v>21539</v>
      </c>
      <c r="H1215" s="1" t="s">
        <v>21540</v>
      </c>
      <c r="I1215" s="1" t="s">
        <v>21541</v>
      </c>
      <c r="J1215" s="1">
        <v>9009479090</v>
      </c>
      <c r="K1215" s="1" t="s">
        <v>79</v>
      </c>
      <c r="L1215" s="1" t="s">
        <v>21542</v>
      </c>
      <c r="M1215" s="1" t="s">
        <v>81</v>
      </c>
      <c r="N1215" s="1" t="s">
        <v>21543</v>
      </c>
      <c r="O1215" s="1"/>
      <c r="P1215" s="1" t="s">
        <v>1323</v>
      </c>
      <c r="Q1215" s="1" t="s">
        <v>21544</v>
      </c>
      <c r="R1215" s="1" t="s">
        <v>21545</v>
      </c>
      <c r="S1215" s="1">
        <v>9425185027</v>
      </c>
      <c r="T1215" s="1" t="s">
        <v>910</v>
      </c>
      <c r="U1215" s="1" t="s">
        <v>21546</v>
      </c>
      <c r="V1215" s="1">
        <v>9425184552</v>
      </c>
      <c r="W1215" s="1" t="s">
        <v>156</v>
      </c>
      <c r="X1215" s="1" t="s">
        <v>21547</v>
      </c>
      <c r="Y1215" s="1" t="s">
        <v>21548</v>
      </c>
      <c r="Z1215" s="1" t="s">
        <v>936</v>
      </c>
      <c r="AA1215" s="1" t="s">
        <v>21547</v>
      </c>
      <c r="AB1215" s="1" t="s">
        <v>21548</v>
      </c>
      <c r="AC1215" s="1" t="s">
        <v>936</v>
      </c>
      <c r="AD1215" s="1" t="s">
        <v>93</v>
      </c>
      <c r="AE1215" s="1" t="s">
        <v>93</v>
      </c>
      <c r="AF1215" s="1" t="s">
        <v>21549</v>
      </c>
      <c r="AG1215" s="1" t="s">
        <v>21550</v>
      </c>
      <c r="AH1215" s="1" t="s">
        <v>456</v>
      </c>
      <c r="AI1215" s="1" t="s">
        <v>195</v>
      </c>
      <c r="AJ1215" s="1">
        <v>70.3</v>
      </c>
      <c r="AK1215" s="1">
        <v>7.4</v>
      </c>
      <c r="AL1215" s="1" t="s">
        <v>21551</v>
      </c>
      <c r="AM1215" s="1" t="s">
        <v>21552</v>
      </c>
      <c r="AN1215" s="1" t="s">
        <v>433</v>
      </c>
      <c r="AO1215" s="1" t="s">
        <v>173</v>
      </c>
      <c r="AP1215" s="1">
        <v>60.2</v>
      </c>
      <c r="AQ1215" s="1"/>
      <c r="AR1215" s="1"/>
      <c r="AS1215" s="1"/>
      <c r="AT1215" s="1"/>
      <c r="AU1215" s="1"/>
      <c r="AV1215" s="1"/>
      <c r="AW1215" s="1"/>
      <c r="AX1215" s="1" t="s">
        <v>14002</v>
      </c>
      <c r="AY1215" s="1" t="s">
        <v>21553</v>
      </c>
      <c r="AZ1215" s="1" t="s">
        <v>412</v>
      </c>
      <c r="BA1215" s="1" t="s">
        <v>702</v>
      </c>
      <c r="BB1215" s="1">
        <v>66.5</v>
      </c>
      <c r="BC1215" s="1">
        <v>7.15</v>
      </c>
      <c r="BD1215" s="1"/>
      <c r="BE1215" s="1"/>
      <c r="BF1215" s="1"/>
      <c r="BG1215" s="1"/>
      <c r="BH1215" s="1"/>
      <c r="BI1215" s="1"/>
      <c r="BJ1215" s="1" t="s">
        <v>255</v>
      </c>
      <c r="BK1215" s="1"/>
      <c r="BL1215" s="1"/>
      <c r="BM1215" s="1" t="s">
        <v>21554</v>
      </c>
      <c r="BN1215" s="1">
        <v>9</v>
      </c>
      <c r="BO1215" s="1" t="s">
        <v>18955</v>
      </c>
      <c r="BP1215" s="1" t="str">
        <f>HYPERLINK("https://nconnect.nicmar.ac.in/storage/profile/ProfilePhoto_P25704008_732964.jpg","Download")</f>
        <v>0</v>
      </c>
      <c r="BQ1215" s="3"/>
      <c r="BR1215" s="3"/>
    </row>
    <row r="1216" spans="1:70">
      <c r="A1216" s="1" t="s">
        <v>967</v>
      </c>
      <c r="B1216" s="1" t="s">
        <v>1269</v>
      </c>
      <c r="C1216" s="1" t="s">
        <v>21555</v>
      </c>
      <c r="D1216" s="1" t="s">
        <v>970</v>
      </c>
      <c r="E1216" s="1" t="s">
        <v>20837</v>
      </c>
      <c r="F1216" s="1" t="s">
        <v>2024</v>
      </c>
      <c r="G1216" s="1" t="s">
        <v>21556</v>
      </c>
      <c r="H1216" s="1" t="s">
        <v>21557</v>
      </c>
      <c r="I1216" s="1" t="s">
        <v>21558</v>
      </c>
      <c r="J1216" s="1">
        <v>9011386465</v>
      </c>
      <c r="K1216" s="1" t="s">
        <v>148</v>
      </c>
      <c r="L1216" s="1" t="s">
        <v>21559</v>
      </c>
      <c r="M1216" s="1" t="s">
        <v>81</v>
      </c>
      <c r="N1216" s="1" t="s">
        <v>3082</v>
      </c>
      <c r="O1216" s="1" t="s">
        <v>21560</v>
      </c>
      <c r="P1216" s="1" t="s">
        <v>1278</v>
      </c>
      <c r="Q1216" s="1" t="s">
        <v>21561</v>
      </c>
      <c r="R1216" s="1" t="s">
        <v>21562</v>
      </c>
      <c r="S1216" s="1">
        <v>9423804388</v>
      </c>
      <c r="T1216" s="1" t="s">
        <v>1147</v>
      </c>
      <c r="U1216" s="1" t="s">
        <v>21563</v>
      </c>
      <c r="V1216" s="1">
        <v>9420674709</v>
      </c>
      <c r="W1216" s="1" t="s">
        <v>1147</v>
      </c>
      <c r="X1216" s="1" t="s">
        <v>21564</v>
      </c>
      <c r="Y1216" s="1" t="s">
        <v>5937</v>
      </c>
      <c r="Z1216" s="1" t="s">
        <v>92</v>
      </c>
      <c r="AA1216" s="1" t="s">
        <v>21565</v>
      </c>
      <c r="AB1216" s="1" t="s">
        <v>1887</v>
      </c>
      <c r="AC1216" s="1" t="s">
        <v>92</v>
      </c>
      <c r="AD1216" s="1" t="s">
        <v>93</v>
      </c>
      <c r="AE1216" s="1" t="s">
        <v>93</v>
      </c>
      <c r="AF1216" s="1" t="s">
        <v>21566</v>
      </c>
      <c r="AG1216" s="1" t="s">
        <v>5102</v>
      </c>
      <c r="AH1216" s="1" t="s">
        <v>162</v>
      </c>
      <c r="AI1216" s="1" t="s">
        <v>165</v>
      </c>
      <c r="AJ1216" s="1">
        <v>91.6</v>
      </c>
      <c r="AK1216" s="1"/>
      <c r="AL1216" s="1" t="s">
        <v>21567</v>
      </c>
      <c r="AM1216" s="1" t="s">
        <v>5102</v>
      </c>
      <c r="AN1216" s="1" t="s">
        <v>101</v>
      </c>
      <c r="AO1216" s="1" t="s">
        <v>433</v>
      </c>
      <c r="AP1216" s="1">
        <v>71.4</v>
      </c>
      <c r="AQ1216" s="1"/>
      <c r="AR1216" s="1"/>
      <c r="AS1216" s="1"/>
      <c r="AT1216" s="1"/>
      <c r="AU1216" s="1"/>
      <c r="AV1216" s="1"/>
      <c r="AW1216" s="1"/>
      <c r="AX1216" s="1" t="s">
        <v>20370</v>
      </c>
      <c r="AY1216" s="1" t="s">
        <v>21568</v>
      </c>
      <c r="AZ1216" s="1" t="s">
        <v>681</v>
      </c>
      <c r="BA1216" s="1" t="s">
        <v>1714</v>
      </c>
      <c r="BB1216" s="1">
        <v>74.1</v>
      </c>
      <c r="BC1216" s="1">
        <v>7.91</v>
      </c>
      <c r="BD1216" s="1"/>
      <c r="BE1216" s="1"/>
      <c r="BF1216" s="1"/>
      <c r="BG1216" s="1"/>
      <c r="BH1216" s="1"/>
      <c r="BI1216" s="1"/>
      <c r="BJ1216" s="1" t="s">
        <v>21569</v>
      </c>
      <c r="BK1216" s="1"/>
      <c r="BL1216" s="1"/>
      <c r="BM1216" s="1" t="s">
        <v>21570</v>
      </c>
      <c r="BN1216" s="1">
        <v>27</v>
      </c>
      <c r="BO1216" s="1"/>
      <c r="BP1216" s="1" t="str">
        <f>HYPERLINK("https://nconnect.nicmar.ac.in/storage/profile/ProfilePhoto_P25704010_926485.jpg","Download")</f>
        <v>0</v>
      </c>
      <c r="BQ1216" s="3"/>
      <c r="BR1216" s="3"/>
    </row>
    <row r="1217" spans="1:70">
      <c r="A1217" s="1" t="s">
        <v>967</v>
      </c>
      <c r="B1217" s="1" t="s">
        <v>1269</v>
      </c>
      <c r="C1217" s="1" t="s">
        <v>21571</v>
      </c>
      <c r="D1217" s="1" t="s">
        <v>533</v>
      </c>
      <c r="E1217" s="1" t="s">
        <v>4025</v>
      </c>
      <c r="F1217" s="1" t="s">
        <v>14934</v>
      </c>
      <c r="G1217" s="1" t="s">
        <v>21572</v>
      </c>
      <c r="H1217" s="1" t="s">
        <v>21573</v>
      </c>
      <c r="I1217" s="1" t="s">
        <v>21573</v>
      </c>
      <c r="J1217" s="1">
        <v>8459773617</v>
      </c>
      <c r="K1217" s="1" t="s">
        <v>79</v>
      </c>
      <c r="L1217" s="1" t="s">
        <v>6394</v>
      </c>
      <c r="M1217" s="1" t="s">
        <v>81</v>
      </c>
      <c r="N1217" s="1" t="s">
        <v>2029</v>
      </c>
      <c r="O1217" s="1" t="s">
        <v>21574</v>
      </c>
      <c r="P1217" s="1" t="s">
        <v>1323</v>
      </c>
      <c r="Q1217" s="1" t="s">
        <v>21575</v>
      </c>
      <c r="R1217" s="1" t="s">
        <v>21576</v>
      </c>
      <c r="S1217" s="1">
        <v>9226370919</v>
      </c>
      <c r="T1217" s="1" t="s">
        <v>763</v>
      </c>
      <c r="U1217" s="1" t="s">
        <v>21577</v>
      </c>
      <c r="V1217" s="1">
        <v>7499010319</v>
      </c>
      <c r="W1217" s="1" t="s">
        <v>156</v>
      </c>
      <c r="X1217" s="1" t="s">
        <v>21578</v>
      </c>
      <c r="Y1217" s="1" t="s">
        <v>5080</v>
      </c>
      <c r="Z1217" s="1" t="s">
        <v>92</v>
      </c>
      <c r="AA1217" s="1" t="s">
        <v>21578</v>
      </c>
      <c r="AB1217" s="1" t="s">
        <v>5080</v>
      </c>
      <c r="AC1217" s="1" t="s">
        <v>92</v>
      </c>
      <c r="AD1217" s="1" t="s">
        <v>93</v>
      </c>
      <c r="AE1217" s="1" t="s">
        <v>93</v>
      </c>
      <c r="AF1217" s="1" t="s">
        <v>18498</v>
      </c>
      <c r="AG1217" s="1" t="s">
        <v>21579</v>
      </c>
      <c r="AH1217" s="1" t="s">
        <v>383</v>
      </c>
      <c r="AI1217" s="1" t="s">
        <v>636</v>
      </c>
      <c r="AJ1217" s="1">
        <v>70.8</v>
      </c>
      <c r="AK1217" s="1"/>
      <c r="AL1217" s="1"/>
      <c r="AM1217" s="1"/>
      <c r="AN1217" s="1"/>
      <c r="AO1217" s="1"/>
      <c r="AP1217" s="1"/>
      <c r="AQ1217" s="1"/>
      <c r="AR1217" s="1" t="s">
        <v>98</v>
      </c>
      <c r="AS1217" s="1" t="s">
        <v>21580</v>
      </c>
      <c r="AT1217" s="1" t="s">
        <v>636</v>
      </c>
      <c r="AU1217" s="1" t="s">
        <v>436</v>
      </c>
      <c r="AV1217" s="1">
        <v>84.53</v>
      </c>
      <c r="AW1217" s="1"/>
      <c r="AX1217" s="1" t="s">
        <v>1024</v>
      </c>
      <c r="AY1217" s="1" t="s">
        <v>21581</v>
      </c>
      <c r="AZ1217" s="1" t="s">
        <v>897</v>
      </c>
      <c r="BA1217" s="1" t="s">
        <v>3165</v>
      </c>
      <c r="BB1217" s="1">
        <v>62.23</v>
      </c>
      <c r="BC1217" s="1"/>
      <c r="BD1217" s="1"/>
      <c r="BE1217" s="1"/>
      <c r="BF1217" s="1"/>
      <c r="BG1217" s="1"/>
      <c r="BH1217" s="1"/>
      <c r="BI1217" s="1"/>
      <c r="BJ1217" s="1" t="s">
        <v>1737</v>
      </c>
      <c r="BK1217" s="1"/>
      <c r="BL1217" s="1"/>
      <c r="BM1217" s="1" t="s">
        <v>21582</v>
      </c>
      <c r="BN1217" s="1">
        <v>8</v>
      </c>
      <c r="BO1217" s="1" t="s">
        <v>21583</v>
      </c>
      <c r="BP1217" s="1" t="str">
        <f>HYPERLINK("https://nconnect.nicmar.ac.in/storage/profile/ProfilePhoto_P25704011_741839.jpg","Download")</f>
        <v>0</v>
      </c>
      <c r="BQ1217" s="3"/>
      <c r="BR1217" s="3"/>
    </row>
    <row r="1218" spans="1:70">
      <c r="A1218" s="1" t="s">
        <v>967</v>
      </c>
      <c r="B1218" s="1" t="s">
        <v>1269</v>
      </c>
      <c r="C1218" s="1" t="s">
        <v>21584</v>
      </c>
      <c r="D1218" s="1" t="s">
        <v>21585</v>
      </c>
      <c r="E1218" s="1" t="s">
        <v>1139</v>
      </c>
      <c r="F1218" s="1" t="s">
        <v>236</v>
      </c>
      <c r="G1218" s="1" t="s">
        <v>21586</v>
      </c>
      <c r="H1218" s="1" t="s">
        <v>21587</v>
      </c>
      <c r="I1218" s="1" t="s">
        <v>21588</v>
      </c>
      <c r="J1218" s="1">
        <v>7058120047</v>
      </c>
      <c r="K1218" s="1" t="s">
        <v>148</v>
      </c>
      <c r="L1218" s="1" t="s">
        <v>1394</v>
      </c>
      <c r="M1218" s="1" t="s">
        <v>81</v>
      </c>
      <c r="N1218" s="1" t="s">
        <v>21589</v>
      </c>
      <c r="O1218" s="1"/>
      <c r="P1218" s="1" t="s">
        <v>1298</v>
      </c>
      <c r="Q1218" s="1" t="s">
        <v>21590</v>
      </c>
      <c r="R1218" s="1" t="s">
        <v>1139</v>
      </c>
      <c r="S1218" s="1">
        <v>9422020047</v>
      </c>
      <c r="T1218" s="1" t="s">
        <v>496</v>
      </c>
      <c r="U1218" s="1" t="s">
        <v>5786</v>
      </c>
      <c r="V1218" s="1">
        <v>9404030627</v>
      </c>
      <c r="W1218" s="1" t="s">
        <v>156</v>
      </c>
      <c r="X1218" s="1" t="s">
        <v>21591</v>
      </c>
      <c r="Y1218" s="1" t="s">
        <v>191</v>
      </c>
      <c r="Z1218" s="1" t="s">
        <v>92</v>
      </c>
      <c r="AA1218" s="1" t="s">
        <v>21591</v>
      </c>
      <c r="AB1218" s="1" t="s">
        <v>191</v>
      </c>
      <c r="AC1218" s="1" t="s">
        <v>92</v>
      </c>
      <c r="AD1218" s="1" t="s">
        <v>93</v>
      </c>
      <c r="AE1218" s="1" t="s">
        <v>93</v>
      </c>
      <c r="AF1218" s="1" t="s">
        <v>21592</v>
      </c>
      <c r="AG1218" s="1" t="s">
        <v>21593</v>
      </c>
      <c r="AH1218" s="1" t="s">
        <v>678</v>
      </c>
      <c r="AI1218" s="1" t="s">
        <v>1307</v>
      </c>
      <c r="AJ1218" s="1">
        <v>95.8</v>
      </c>
      <c r="AK1218" s="1"/>
      <c r="AL1218" s="1" t="s">
        <v>21594</v>
      </c>
      <c r="AM1218" s="1" t="s">
        <v>21594</v>
      </c>
      <c r="AN1218" s="1" t="s">
        <v>1065</v>
      </c>
      <c r="AO1218" s="1" t="s">
        <v>1834</v>
      </c>
      <c r="AP1218" s="1">
        <v>75.85</v>
      </c>
      <c r="AQ1218" s="1"/>
      <c r="AR1218" s="1"/>
      <c r="AS1218" s="1"/>
      <c r="AT1218" s="1"/>
      <c r="AU1218" s="1"/>
      <c r="AV1218" s="1"/>
      <c r="AW1218" s="1"/>
      <c r="AX1218" s="1" t="s">
        <v>14158</v>
      </c>
      <c r="AY1218" s="1" t="s">
        <v>21595</v>
      </c>
      <c r="AZ1218" s="1" t="s">
        <v>363</v>
      </c>
      <c r="BA1218" s="1" t="s">
        <v>1408</v>
      </c>
      <c r="BB1218" s="1">
        <v>65.9</v>
      </c>
      <c r="BC1218" s="1">
        <v>7.34</v>
      </c>
      <c r="BD1218" s="1"/>
      <c r="BE1218" s="1"/>
      <c r="BF1218" s="1"/>
      <c r="BG1218" s="1"/>
      <c r="BH1218" s="1"/>
      <c r="BI1218" s="1"/>
      <c r="BJ1218" s="1" t="s">
        <v>21596</v>
      </c>
      <c r="BK1218" s="1"/>
      <c r="BL1218" s="1"/>
      <c r="BM1218" s="1" t="s">
        <v>21597</v>
      </c>
      <c r="BN1218" s="1">
        <v>27</v>
      </c>
      <c r="BO1218" s="1"/>
      <c r="BP1218" s="1" t="str">
        <f>HYPERLINK("https://nconnect.nicmar.ac.in/storage/profile/ProfilePhoto_P25704012_517239.jpg","Download")</f>
        <v>0</v>
      </c>
      <c r="BQ1218" s="3"/>
      <c r="BR1218" s="3"/>
    </row>
    <row r="1219" spans="1:70">
      <c r="A1219" s="1" t="s">
        <v>967</v>
      </c>
      <c r="B1219" s="1" t="s">
        <v>1269</v>
      </c>
      <c r="C1219" s="1" t="s">
        <v>21598</v>
      </c>
      <c r="D1219" s="1" t="s">
        <v>13869</v>
      </c>
      <c r="E1219" s="1" t="s">
        <v>16987</v>
      </c>
      <c r="F1219" s="1" t="s">
        <v>12840</v>
      </c>
      <c r="G1219" s="1" t="s">
        <v>21599</v>
      </c>
      <c r="H1219" s="1" t="s">
        <v>21600</v>
      </c>
      <c r="I1219" s="1" t="s">
        <v>21601</v>
      </c>
      <c r="J1219" s="1">
        <v>8766998118</v>
      </c>
      <c r="K1219" s="1" t="s">
        <v>148</v>
      </c>
      <c r="L1219" s="1" t="s">
        <v>8833</v>
      </c>
      <c r="M1219" s="1" t="s">
        <v>81</v>
      </c>
      <c r="N1219" s="1" t="s">
        <v>6219</v>
      </c>
      <c r="O1219" s="1"/>
      <c r="P1219" s="1" t="s">
        <v>1323</v>
      </c>
      <c r="Q1219" s="1" t="s">
        <v>21602</v>
      </c>
      <c r="R1219" s="1" t="s">
        <v>16987</v>
      </c>
      <c r="S1219" s="1">
        <v>9421351542</v>
      </c>
      <c r="T1219" s="1" t="s">
        <v>842</v>
      </c>
      <c r="U1219" s="1" t="s">
        <v>21603</v>
      </c>
      <c r="V1219" s="1">
        <v>9403290326</v>
      </c>
      <c r="W1219" s="1" t="s">
        <v>156</v>
      </c>
      <c r="X1219" s="1" t="s">
        <v>21604</v>
      </c>
      <c r="Y1219" s="1" t="s">
        <v>91</v>
      </c>
      <c r="Z1219" s="1" t="s">
        <v>92</v>
      </c>
      <c r="AA1219" s="1" t="s">
        <v>21604</v>
      </c>
      <c r="AB1219" s="1" t="s">
        <v>91</v>
      </c>
      <c r="AC1219" s="1" t="s">
        <v>92</v>
      </c>
      <c r="AD1219" s="1" t="s">
        <v>93</v>
      </c>
      <c r="AE1219" s="1" t="s">
        <v>93</v>
      </c>
      <c r="AF1219" s="1" t="s">
        <v>20847</v>
      </c>
      <c r="AG1219" s="1" t="s">
        <v>160</v>
      </c>
      <c r="AH1219" s="1" t="s">
        <v>165</v>
      </c>
      <c r="AI1219" s="1" t="s">
        <v>281</v>
      </c>
      <c r="AJ1219" s="1">
        <v>89.4</v>
      </c>
      <c r="AK1219" s="1"/>
      <c r="AL1219" s="1" t="s">
        <v>21605</v>
      </c>
      <c r="AM1219" s="1" t="s">
        <v>160</v>
      </c>
      <c r="AN1219" s="1" t="s">
        <v>433</v>
      </c>
      <c r="AO1219" s="1" t="s">
        <v>360</v>
      </c>
      <c r="AP1219" s="1">
        <v>59.23</v>
      </c>
      <c r="AQ1219" s="1"/>
      <c r="AR1219" s="1"/>
      <c r="AS1219" s="1"/>
      <c r="AT1219" s="1"/>
      <c r="AU1219" s="1"/>
      <c r="AV1219" s="1"/>
      <c r="AW1219" s="1"/>
      <c r="AX1219" s="1" t="s">
        <v>20850</v>
      </c>
      <c r="AY1219" s="1" t="s">
        <v>21606</v>
      </c>
      <c r="AZ1219" s="1" t="s">
        <v>699</v>
      </c>
      <c r="BA1219" s="1" t="s">
        <v>1361</v>
      </c>
      <c r="BB1219" s="1">
        <v>72.5</v>
      </c>
      <c r="BC1219" s="1">
        <v>7.75</v>
      </c>
      <c r="BD1219" s="1"/>
      <c r="BE1219" s="1"/>
      <c r="BF1219" s="1"/>
      <c r="BG1219" s="1"/>
      <c r="BH1219" s="1"/>
      <c r="BI1219" s="1"/>
      <c r="BJ1219" s="1" t="s">
        <v>21607</v>
      </c>
      <c r="BK1219" s="1"/>
      <c r="BL1219" s="1"/>
      <c r="BM1219" s="1" t="s">
        <v>21608</v>
      </c>
      <c r="BN1219" s="1">
        <v>27</v>
      </c>
      <c r="BO1219" s="1" t="s">
        <v>1715</v>
      </c>
      <c r="BP1219" s="1" t="str">
        <f>HYPERLINK("https://nconnect.nicmar.ac.in/storage/profile/ProfilePhoto_P25704014_271968.jpg","Download")</f>
        <v>0</v>
      </c>
      <c r="BQ1219" s="3"/>
      <c r="BR1219" s="3"/>
    </row>
    <row r="1220" spans="1:70">
      <c r="A1220" s="1" t="s">
        <v>967</v>
      </c>
      <c r="B1220" s="1" t="s">
        <v>1269</v>
      </c>
      <c r="C1220" s="1" t="s">
        <v>21609</v>
      </c>
      <c r="D1220" s="1" t="s">
        <v>17337</v>
      </c>
      <c r="E1220" s="1" t="s">
        <v>21610</v>
      </c>
      <c r="F1220" s="1" t="s">
        <v>21611</v>
      </c>
      <c r="G1220" s="1" t="s">
        <v>21612</v>
      </c>
      <c r="H1220" s="1" t="s">
        <v>21613</v>
      </c>
      <c r="I1220" s="1" t="s">
        <v>21614</v>
      </c>
      <c r="J1220" s="1">
        <v>9767870910</v>
      </c>
      <c r="K1220" s="1" t="s">
        <v>79</v>
      </c>
      <c r="L1220" s="1" t="s">
        <v>10489</v>
      </c>
      <c r="M1220" s="1" t="s">
        <v>81</v>
      </c>
      <c r="N1220" s="1" t="s">
        <v>1418</v>
      </c>
      <c r="O1220" s="1"/>
      <c r="P1220" s="1" t="s">
        <v>1298</v>
      </c>
      <c r="Q1220" s="1" t="s">
        <v>21615</v>
      </c>
      <c r="R1220" s="1" t="s">
        <v>21610</v>
      </c>
      <c r="S1220" s="1">
        <v>9371528152</v>
      </c>
      <c r="T1220" s="1" t="s">
        <v>154</v>
      </c>
      <c r="U1220" s="1" t="s">
        <v>977</v>
      </c>
      <c r="V1220" s="1">
        <v>9922541564</v>
      </c>
      <c r="W1220" s="1" t="s">
        <v>156</v>
      </c>
      <c r="X1220" s="1" t="s">
        <v>21616</v>
      </c>
      <c r="Y1220" s="1" t="s">
        <v>1174</v>
      </c>
      <c r="Z1220" s="1" t="s">
        <v>92</v>
      </c>
      <c r="AA1220" s="1" t="s">
        <v>21616</v>
      </c>
      <c r="AB1220" s="1" t="s">
        <v>1174</v>
      </c>
      <c r="AC1220" s="1" t="s">
        <v>92</v>
      </c>
      <c r="AD1220" s="1" t="s">
        <v>93</v>
      </c>
      <c r="AE1220" s="1" t="s">
        <v>93</v>
      </c>
      <c r="AF1220" s="1" t="s">
        <v>21617</v>
      </c>
      <c r="AG1220" s="1" t="s">
        <v>4110</v>
      </c>
      <c r="AH1220" s="1" t="s">
        <v>678</v>
      </c>
      <c r="AI1220" s="1" t="s">
        <v>308</v>
      </c>
      <c r="AJ1220" s="1">
        <v>83.2</v>
      </c>
      <c r="AK1220" s="1"/>
      <c r="AL1220" s="1" t="s">
        <v>21618</v>
      </c>
      <c r="AM1220" s="1" t="s">
        <v>160</v>
      </c>
      <c r="AN1220" s="1" t="s">
        <v>310</v>
      </c>
      <c r="AO1220" s="1" t="s">
        <v>436</v>
      </c>
      <c r="AP1220" s="1">
        <v>88.5</v>
      </c>
      <c r="AQ1220" s="1"/>
      <c r="AR1220" s="1"/>
      <c r="AS1220" s="1"/>
      <c r="AT1220" s="1"/>
      <c r="AU1220" s="1"/>
      <c r="AV1220" s="1"/>
      <c r="AW1220" s="1"/>
      <c r="AX1220" s="1" t="s">
        <v>361</v>
      </c>
      <c r="AY1220" s="1" t="s">
        <v>21619</v>
      </c>
      <c r="AZ1220" s="1" t="s">
        <v>897</v>
      </c>
      <c r="BA1220" s="1" t="s">
        <v>1714</v>
      </c>
      <c r="BB1220" s="1">
        <v>59</v>
      </c>
      <c r="BC1220" s="1">
        <v>6.65</v>
      </c>
      <c r="BD1220" s="1"/>
      <c r="BE1220" s="1"/>
      <c r="BF1220" s="1"/>
      <c r="BG1220" s="1"/>
      <c r="BH1220" s="1"/>
      <c r="BI1220" s="1"/>
      <c r="BJ1220" s="1" t="s">
        <v>21620</v>
      </c>
      <c r="BK1220" s="1"/>
      <c r="BL1220" s="1"/>
      <c r="BM1220" s="1" t="s">
        <v>21621</v>
      </c>
      <c r="BN1220" s="1">
        <v>4</v>
      </c>
      <c r="BO1220" s="1"/>
      <c r="BP1220" s="1" t="str">
        <f>HYPERLINK("https://nconnect.nicmar.ac.in/storage/profile/ProfilePhoto_P25704015_271856.jpg","Download")</f>
        <v>0</v>
      </c>
      <c r="BQ1220" s="3"/>
      <c r="BR1220" s="3"/>
    </row>
    <row r="1221" spans="1:70">
      <c r="A1221" s="1" t="s">
        <v>967</v>
      </c>
      <c r="B1221" s="1" t="s">
        <v>1269</v>
      </c>
      <c r="C1221" s="1" t="s">
        <v>21622</v>
      </c>
      <c r="D1221" s="1" t="s">
        <v>970</v>
      </c>
      <c r="E1221" s="1" t="s">
        <v>756</v>
      </c>
      <c r="F1221" s="1" t="s">
        <v>21623</v>
      </c>
      <c r="G1221" s="1" t="s">
        <v>21624</v>
      </c>
      <c r="H1221" s="1" t="s">
        <v>21625</v>
      </c>
      <c r="I1221" s="1" t="s">
        <v>21626</v>
      </c>
      <c r="J1221" s="1">
        <v>7447591122</v>
      </c>
      <c r="K1221" s="1" t="s">
        <v>148</v>
      </c>
      <c r="L1221" s="1" t="s">
        <v>21627</v>
      </c>
      <c r="M1221" s="1" t="s">
        <v>81</v>
      </c>
      <c r="N1221" s="1" t="s">
        <v>1418</v>
      </c>
      <c r="O1221" s="1"/>
      <c r="P1221" s="1" t="s">
        <v>1278</v>
      </c>
      <c r="Q1221" s="1" t="s">
        <v>21628</v>
      </c>
      <c r="R1221" s="1" t="s">
        <v>21629</v>
      </c>
      <c r="S1221" s="1">
        <v>9850309305</v>
      </c>
      <c r="T1221" s="1" t="s">
        <v>8410</v>
      </c>
      <c r="U1221" s="1" t="s">
        <v>21630</v>
      </c>
      <c r="V1221" s="1">
        <v>9623359586</v>
      </c>
      <c r="W1221" s="1" t="s">
        <v>156</v>
      </c>
      <c r="X1221" s="1" t="s">
        <v>21631</v>
      </c>
      <c r="Y1221" s="1" t="s">
        <v>191</v>
      </c>
      <c r="Z1221" s="1" t="s">
        <v>92</v>
      </c>
      <c r="AA1221" s="1" t="s">
        <v>21632</v>
      </c>
      <c r="AB1221" s="1" t="s">
        <v>379</v>
      </c>
      <c r="AC1221" s="1" t="s">
        <v>92</v>
      </c>
      <c r="AD1221" s="1" t="s">
        <v>93</v>
      </c>
      <c r="AE1221" s="1" t="s">
        <v>93</v>
      </c>
      <c r="AF1221" s="1" t="s">
        <v>21633</v>
      </c>
      <c r="AG1221" s="1" t="s">
        <v>21634</v>
      </c>
      <c r="AH1221" s="1" t="s">
        <v>161</v>
      </c>
      <c r="AI1221" s="1" t="s">
        <v>456</v>
      </c>
      <c r="AJ1221" s="1">
        <v>89.8</v>
      </c>
      <c r="AK1221" s="1">
        <v>0</v>
      </c>
      <c r="AL1221" s="1" t="s">
        <v>21635</v>
      </c>
      <c r="AM1221" s="1" t="s">
        <v>21634</v>
      </c>
      <c r="AN1221" s="1" t="s">
        <v>162</v>
      </c>
      <c r="AO1221" s="1" t="s">
        <v>457</v>
      </c>
      <c r="AP1221" s="1">
        <v>74.77</v>
      </c>
      <c r="AQ1221" s="1">
        <v>0</v>
      </c>
      <c r="AR1221" s="1"/>
      <c r="AS1221" s="1"/>
      <c r="AT1221" s="1"/>
      <c r="AU1221" s="1"/>
      <c r="AV1221" s="1"/>
      <c r="AW1221" s="1"/>
      <c r="AX1221" s="1" t="s">
        <v>361</v>
      </c>
      <c r="AY1221" s="1" t="s">
        <v>21636</v>
      </c>
      <c r="AZ1221" s="1" t="s">
        <v>636</v>
      </c>
      <c r="BA1221" s="1" t="s">
        <v>174</v>
      </c>
      <c r="BB1221" s="1">
        <v>80.28</v>
      </c>
      <c r="BC1221" s="1">
        <v>9.01</v>
      </c>
      <c r="BD1221" s="1"/>
      <c r="BE1221" s="1"/>
      <c r="BF1221" s="1"/>
      <c r="BG1221" s="1"/>
      <c r="BH1221" s="1"/>
      <c r="BI1221" s="1"/>
      <c r="BJ1221" s="1" t="s">
        <v>21637</v>
      </c>
      <c r="BK1221" s="1" t="s">
        <v>21638</v>
      </c>
      <c r="BL1221" s="1" t="s">
        <v>1920</v>
      </c>
      <c r="BM1221" s="1" t="s">
        <v>21639</v>
      </c>
      <c r="BN1221" s="1">
        <v>35</v>
      </c>
      <c r="BO1221" s="1" t="s">
        <v>21640</v>
      </c>
      <c r="BP1221" s="1" t="str">
        <f>HYPERLINK("https://nconnect.nicmar.ac.in/storage/profile/ProfilePhoto_P25704016_615842.jpg","Download")</f>
        <v>0</v>
      </c>
      <c r="BQ1221" s="3"/>
      <c r="BR1221" s="3"/>
    </row>
    <row r="1222" spans="1:70">
      <c r="A1222" s="1" t="s">
        <v>967</v>
      </c>
      <c r="B1222" s="1" t="s">
        <v>1269</v>
      </c>
      <c r="C1222" s="1" t="s">
        <v>21641</v>
      </c>
      <c r="D1222" s="1" t="s">
        <v>7481</v>
      </c>
      <c r="E1222" s="1" t="s">
        <v>21642</v>
      </c>
      <c r="F1222" s="1" t="s">
        <v>21643</v>
      </c>
      <c r="G1222" s="1" t="s">
        <v>21644</v>
      </c>
      <c r="H1222" s="1" t="s">
        <v>21645</v>
      </c>
      <c r="I1222" s="1" t="s">
        <v>21646</v>
      </c>
      <c r="J1222" s="1">
        <v>6309077168</v>
      </c>
      <c r="K1222" s="1" t="s">
        <v>79</v>
      </c>
      <c r="L1222" s="1" t="s">
        <v>10765</v>
      </c>
      <c r="M1222" s="1" t="s">
        <v>81</v>
      </c>
      <c r="N1222" s="1" t="s">
        <v>21647</v>
      </c>
      <c r="O1222" s="1"/>
      <c r="P1222" s="1" t="s">
        <v>1278</v>
      </c>
      <c r="Q1222" s="1" t="s">
        <v>21648</v>
      </c>
      <c r="R1222" s="1" t="s">
        <v>21649</v>
      </c>
      <c r="S1222" s="1">
        <v>9848420368</v>
      </c>
      <c r="T1222" s="1" t="s">
        <v>122</v>
      </c>
      <c r="U1222" s="1" t="s">
        <v>21650</v>
      </c>
      <c r="V1222" s="1">
        <v>9490809361</v>
      </c>
      <c r="W1222" s="1" t="s">
        <v>21651</v>
      </c>
      <c r="X1222" s="1" t="s">
        <v>21652</v>
      </c>
      <c r="Y1222" s="1" t="s">
        <v>13719</v>
      </c>
      <c r="Z1222" s="1" t="s">
        <v>276</v>
      </c>
      <c r="AA1222" s="1" t="s">
        <v>21652</v>
      </c>
      <c r="AB1222" s="1" t="s">
        <v>13719</v>
      </c>
      <c r="AC1222" s="1" t="s">
        <v>276</v>
      </c>
      <c r="AD1222" s="1" t="s">
        <v>93</v>
      </c>
      <c r="AE1222" s="1" t="s">
        <v>93</v>
      </c>
      <c r="AF1222" s="1" t="s">
        <v>21653</v>
      </c>
      <c r="AG1222" s="1" t="s">
        <v>9727</v>
      </c>
      <c r="AH1222" s="1" t="s">
        <v>101</v>
      </c>
      <c r="AI1222" s="1" t="s">
        <v>433</v>
      </c>
      <c r="AJ1222" s="1">
        <v>77.2</v>
      </c>
      <c r="AK1222" s="1"/>
      <c r="AL1222" s="1" t="s">
        <v>21653</v>
      </c>
      <c r="AM1222" s="1" t="s">
        <v>9727</v>
      </c>
      <c r="AN1222" s="1" t="s">
        <v>310</v>
      </c>
      <c r="AO1222" s="1" t="s">
        <v>1131</v>
      </c>
      <c r="AP1222" s="1">
        <v>78</v>
      </c>
      <c r="AQ1222" s="1"/>
      <c r="AR1222" s="1"/>
      <c r="AS1222" s="1"/>
      <c r="AT1222" s="1"/>
      <c r="AU1222" s="1"/>
      <c r="AV1222" s="1"/>
      <c r="AW1222" s="1"/>
      <c r="AX1222" s="1" t="s">
        <v>21654</v>
      </c>
      <c r="AY1222" s="1" t="s">
        <v>21655</v>
      </c>
      <c r="AZ1222" s="1" t="s">
        <v>436</v>
      </c>
      <c r="BA1222" s="1" t="s">
        <v>1361</v>
      </c>
      <c r="BB1222" s="1">
        <v>83.42</v>
      </c>
      <c r="BC1222" s="1">
        <v>8.84</v>
      </c>
      <c r="BD1222" s="1"/>
      <c r="BE1222" s="1"/>
      <c r="BF1222" s="1"/>
      <c r="BG1222" s="1"/>
      <c r="BH1222" s="1"/>
      <c r="BI1222" s="1"/>
      <c r="BJ1222" s="1" t="s">
        <v>21656</v>
      </c>
      <c r="BK1222" s="1"/>
      <c r="BL1222" s="1"/>
      <c r="BM1222" s="1" t="s">
        <v>21657</v>
      </c>
      <c r="BN1222" s="1">
        <v>13</v>
      </c>
      <c r="BO1222" s="1" t="s">
        <v>21658</v>
      </c>
      <c r="BP1222" s="1" t="str">
        <f>HYPERLINK("https://nconnect.nicmar.ac.in/storage/profile/ProfilePhoto_P25704017_891326.jpg","Download")</f>
        <v>0</v>
      </c>
      <c r="BQ1222" s="3"/>
      <c r="BR1222" s="3"/>
    </row>
    <row r="1223" spans="1:70">
      <c r="A1223" s="1" t="s">
        <v>967</v>
      </c>
      <c r="B1223" s="1" t="s">
        <v>1269</v>
      </c>
      <c r="C1223" s="1" t="s">
        <v>21659</v>
      </c>
      <c r="D1223" s="1" t="s">
        <v>21660</v>
      </c>
      <c r="E1223" s="1" t="s">
        <v>21661</v>
      </c>
      <c r="F1223" s="1" t="s">
        <v>112</v>
      </c>
      <c r="G1223" s="1" t="s">
        <v>21662</v>
      </c>
      <c r="H1223" s="1" t="s">
        <v>21663</v>
      </c>
      <c r="I1223" s="1" t="s">
        <v>21664</v>
      </c>
      <c r="J1223" s="1">
        <v>9446826334</v>
      </c>
      <c r="K1223" s="1" t="s">
        <v>148</v>
      </c>
      <c r="L1223" s="1" t="s">
        <v>12255</v>
      </c>
      <c r="M1223" s="1" t="s">
        <v>81</v>
      </c>
      <c r="N1223" s="1" t="s">
        <v>5950</v>
      </c>
      <c r="O1223" s="1"/>
      <c r="P1223" s="1" t="s">
        <v>1323</v>
      </c>
      <c r="Q1223" s="1" t="s">
        <v>21665</v>
      </c>
      <c r="R1223" s="1" t="s">
        <v>21661</v>
      </c>
      <c r="S1223" s="1">
        <v>9447040302</v>
      </c>
      <c r="T1223" s="1" t="s">
        <v>120</v>
      </c>
      <c r="U1223" s="1" t="s">
        <v>4044</v>
      </c>
      <c r="V1223" s="1">
        <v>9447428660</v>
      </c>
      <c r="W1223" s="1" t="s">
        <v>21666</v>
      </c>
      <c r="X1223" s="1" t="s">
        <v>21667</v>
      </c>
      <c r="Y1223" s="1" t="s">
        <v>3998</v>
      </c>
      <c r="Z1223" s="1" t="s">
        <v>125</v>
      </c>
      <c r="AA1223" s="1" t="s">
        <v>21667</v>
      </c>
      <c r="AB1223" s="1" t="s">
        <v>3998</v>
      </c>
      <c r="AC1223" s="1" t="s">
        <v>125</v>
      </c>
      <c r="AD1223" s="1" t="s">
        <v>93</v>
      </c>
      <c r="AE1223" s="1" t="s">
        <v>93</v>
      </c>
      <c r="AF1223" s="1" t="s">
        <v>4109</v>
      </c>
      <c r="AG1223" s="1" t="s">
        <v>21668</v>
      </c>
      <c r="AH1223" s="1" t="s">
        <v>101</v>
      </c>
      <c r="AI1223" s="1" t="s">
        <v>308</v>
      </c>
      <c r="AJ1223" s="1">
        <v>95.3</v>
      </c>
      <c r="AK1223" s="1"/>
      <c r="AL1223" s="1" t="s">
        <v>21669</v>
      </c>
      <c r="AM1223" s="1" t="s">
        <v>21670</v>
      </c>
      <c r="AN1223" s="1" t="s">
        <v>412</v>
      </c>
      <c r="AO1223" s="1" t="s">
        <v>1712</v>
      </c>
      <c r="AP1223" s="1">
        <v>91</v>
      </c>
      <c r="AQ1223" s="1"/>
      <c r="AR1223" s="1"/>
      <c r="AS1223" s="1"/>
      <c r="AT1223" s="1"/>
      <c r="AU1223" s="1"/>
      <c r="AV1223" s="1"/>
      <c r="AW1223" s="1"/>
      <c r="AX1223" s="1" t="s">
        <v>3182</v>
      </c>
      <c r="AY1223" s="1" t="s">
        <v>21671</v>
      </c>
      <c r="AZ1223" s="1" t="s">
        <v>135</v>
      </c>
      <c r="BA1223" s="1" t="s">
        <v>1408</v>
      </c>
      <c r="BB1223" s="1">
        <v>84.4</v>
      </c>
      <c r="BC1223" s="1">
        <v>8.48</v>
      </c>
      <c r="BD1223" s="1"/>
      <c r="BE1223" s="1"/>
      <c r="BF1223" s="1"/>
      <c r="BG1223" s="1"/>
      <c r="BH1223" s="1"/>
      <c r="BI1223" s="1"/>
      <c r="BJ1223" s="1" t="s">
        <v>21672</v>
      </c>
      <c r="BK1223" s="1"/>
      <c r="BL1223" s="1"/>
      <c r="BM1223" s="1" t="s">
        <v>21673</v>
      </c>
      <c r="BN1223" s="1">
        <v>24</v>
      </c>
      <c r="BO1223" s="1"/>
      <c r="BP1223" s="1" t="str">
        <f>HYPERLINK("https://nconnect.nicmar.ac.in/storage/profile/ProfilePhoto_P25704018_982543.jpg","Download")</f>
        <v>0</v>
      </c>
      <c r="BQ1223" s="3"/>
      <c r="BR1223" s="3"/>
    </row>
    <row r="1224" spans="1:70">
      <c r="A1224" s="1" t="s">
        <v>967</v>
      </c>
      <c r="B1224" s="1" t="s">
        <v>1269</v>
      </c>
      <c r="C1224" s="1" t="s">
        <v>21674</v>
      </c>
      <c r="D1224" s="1" t="s">
        <v>16301</v>
      </c>
      <c r="E1224" s="1" t="s">
        <v>392</v>
      </c>
      <c r="F1224" s="1" t="s">
        <v>21675</v>
      </c>
      <c r="G1224" s="1" t="s">
        <v>21676</v>
      </c>
      <c r="H1224" s="1" t="s">
        <v>21677</v>
      </c>
      <c r="I1224" s="1" t="s">
        <v>21678</v>
      </c>
      <c r="J1224" s="1">
        <v>8459862239</v>
      </c>
      <c r="K1224" s="1" t="s">
        <v>79</v>
      </c>
      <c r="L1224" s="1" t="s">
        <v>12164</v>
      </c>
      <c r="M1224" s="1" t="s">
        <v>81</v>
      </c>
      <c r="N1224" s="1" t="s">
        <v>3874</v>
      </c>
      <c r="O1224" s="1"/>
      <c r="P1224" s="1" t="s">
        <v>1766</v>
      </c>
      <c r="Q1224" s="1" t="s">
        <v>21679</v>
      </c>
      <c r="R1224" s="1" t="s">
        <v>392</v>
      </c>
      <c r="S1224" s="1">
        <v>9763180181</v>
      </c>
      <c r="T1224" s="1" t="s">
        <v>7444</v>
      </c>
      <c r="U1224" s="1" t="s">
        <v>21680</v>
      </c>
      <c r="V1224" s="1">
        <v>9921891029</v>
      </c>
      <c r="W1224" s="1" t="s">
        <v>156</v>
      </c>
      <c r="X1224" s="1" t="s">
        <v>21681</v>
      </c>
      <c r="Y1224" s="1" t="s">
        <v>191</v>
      </c>
      <c r="Z1224" s="1" t="s">
        <v>92</v>
      </c>
      <c r="AA1224" s="1" t="s">
        <v>21681</v>
      </c>
      <c r="AB1224" s="1" t="s">
        <v>191</v>
      </c>
      <c r="AC1224" s="1" t="s">
        <v>92</v>
      </c>
      <c r="AD1224" s="1" t="s">
        <v>93</v>
      </c>
      <c r="AE1224" s="1" t="s">
        <v>93</v>
      </c>
      <c r="AF1224" s="1" t="s">
        <v>21682</v>
      </c>
      <c r="AG1224" s="1" t="s">
        <v>21683</v>
      </c>
      <c r="AH1224" s="1" t="s">
        <v>8032</v>
      </c>
      <c r="AI1224" s="1" t="s">
        <v>281</v>
      </c>
      <c r="AJ1224" s="1">
        <v>86.6</v>
      </c>
      <c r="AK1224" s="1"/>
      <c r="AL1224" s="1" t="s">
        <v>21684</v>
      </c>
      <c r="AM1224" s="1" t="s">
        <v>21683</v>
      </c>
      <c r="AN1224" s="1" t="s">
        <v>636</v>
      </c>
      <c r="AO1224" s="1" t="s">
        <v>360</v>
      </c>
      <c r="AP1224" s="1">
        <v>70.15</v>
      </c>
      <c r="AQ1224" s="1"/>
      <c r="AR1224" s="1"/>
      <c r="AS1224" s="1"/>
      <c r="AT1224" s="1"/>
      <c r="AU1224" s="1"/>
      <c r="AV1224" s="1"/>
      <c r="AW1224" s="1"/>
      <c r="AX1224" s="1" t="s">
        <v>361</v>
      </c>
      <c r="AY1224" s="1" t="s">
        <v>21685</v>
      </c>
      <c r="AZ1224" s="1" t="s">
        <v>681</v>
      </c>
      <c r="BA1224" s="1" t="s">
        <v>1714</v>
      </c>
      <c r="BB1224" s="1">
        <v>62.92</v>
      </c>
      <c r="BC1224" s="1">
        <v>7.07</v>
      </c>
      <c r="BD1224" s="1"/>
      <c r="BE1224" s="1"/>
      <c r="BF1224" s="1"/>
      <c r="BG1224" s="1"/>
      <c r="BH1224" s="1"/>
      <c r="BI1224" s="1"/>
      <c r="BJ1224" s="1" t="s">
        <v>21686</v>
      </c>
      <c r="BK1224" s="1"/>
      <c r="BL1224" s="1"/>
      <c r="BM1224" s="1" t="s">
        <v>21687</v>
      </c>
      <c r="BN1224" s="1">
        <v>32</v>
      </c>
      <c r="BO1224" s="1"/>
      <c r="BP1224" s="1" t="str">
        <f>HYPERLINK("https://nconnect.nicmar.ac.in/storage/profile/ProfilePhoto_P25704019_593674.jpg","Download")</f>
        <v>0</v>
      </c>
      <c r="BQ1224" s="3"/>
      <c r="BR1224" s="3"/>
    </row>
    <row r="1225" spans="1:70">
      <c r="A1225" s="1" t="s">
        <v>967</v>
      </c>
      <c r="B1225" s="1" t="s">
        <v>1269</v>
      </c>
      <c r="C1225" s="1" t="s">
        <v>21688</v>
      </c>
      <c r="D1225" s="1" t="s">
        <v>9078</v>
      </c>
      <c r="E1225" s="1" t="s">
        <v>21689</v>
      </c>
      <c r="F1225" s="1" t="s">
        <v>8795</v>
      </c>
      <c r="G1225" s="1" t="s">
        <v>21690</v>
      </c>
      <c r="H1225" s="1" t="s">
        <v>21691</v>
      </c>
      <c r="I1225" s="1" t="s">
        <v>21692</v>
      </c>
      <c r="J1225" s="1">
        <v>7385920021</v>
      </c>
      <c r="K1225" s="1" t="s">
        <v>79</v>
      </c>
      <c r="L1225" s="1" t="s">
        <v>20223</v>
      </c>
      <c r="M1225" s="1" t="s">
        <v>81</v>
      </c>
      <c r="N1225" s="1" t="s">
        <v>1418</v>
      </c>
      <c r="O1225" s="1"/>
      <c r="P1225" s="1" t="s">
        <v>1298</v>
      </c>
      <c r="Q1225" s="1" t="s">
        <v>21693</v>
      </c>
      <c r="R1225" s="1" t="s">
        <v>21694</v>
      </c>
      <c r="S1225" s="1">
        <v>9096420350</v>
      </c>
      <c r="T1225" s="1" t="s">
        <v>496</v>
      </c>
      <c r="U1225" s="1" t="s">
        <v>21695</v>
      </c>
      <c r="V1225" s="1">
        <v>7709782974</v>
      </c>
      <c r="W1225" s="1" t="s">
        <v>976</v>
      </c>
      <c r="X1225" s="1" t="s">
        <v>21696</v>
      </c>
      <c r="Y1225" s="1" t="s">
        <v>1887</v>
      </c>
      <c r="Z1225" s="1" t="s">
        <v>92</v>
      </c>
      <c r="AA1225" s="1" t="s">
        <v>21696</v>
      </c>
      <c r="AB1225" s="1" t="s">
        <v>1887</v>
      </c>
      <c r="AC1225" s="1" t="s">
        <v>92</v>
      </c>
      <c r="AD1225" s="1" t="s">
        <v>93</v>
      </c>
      <c r="AE1225" s="1" t="s">
        <v>93</v>
      </c>
      <c r="AF1225" s="1" t="s">
        <v>21697</v>
      </c>
      <c r="AG1225" s="1" t="s">
        <v>160</v>
      </c>
      <c r="AH1225" s="1" t="s">
        <v>165</v>
      </c>
      <c r="AI1225" s="1" t="s">
        <v>101</v>
      </c>
      <c r="AJ1225" s="1">
        <v>60.4</v>
      </c>
      <c r="AK1225" s="1"/>
      <c r="AL1225" s="1" t="s">
        <v>21697</v>
      </c>
      <c r="AM1225" s="1" t="s">
        <v>160</v>
      </c>
      <c r="AN1225" s="1" t="s">
        <v>433</v>
      </c>
      <c r="AO1225" s="1" t="s">
        <v>360</v>
      </c>
      <c r="AP1225" s="1">
        <v>56</v>
      </c>
      <c r="AQ1225" s="1"/>
      <c r="AR1225" s="1"/>
      <c r="AS1225" s="1"/>
      <c r="AT1225" s="1"/>
      <c r="AU1225" s="1"/>
      <c r="AV1225" s="1"/>
      <c r="AW1225" s="1"/>
      <c r="AX1225" s="1" t="s">
        <v>9001</v>
      </c>
      <c r="AY1225" s="1" t="s">
        <v>9002</v>
      </c>
      <c r="AZ1225" s="1" t="s">
        <v>920</v>
      </c>
      <c r="BA1225" s="1" t="s">
        <v>1939</v>
      </c>
      <c r="BB1225" s="1">
        <v>69</v>
      </c>
      <c r="BC1225" s="1">
        <v>7.4</v>
      </c>
      <c r="BD1225" s="1"/>
      <c r="BE1225" s="1"/>
      <c r="BF1225" s="1"/>
      <c r="BG1225" s="1"/>
      <c r="BH1225" s="1"/>
      <c r="BI1225" s="1"/>
      <c r="BJ1225" s="1" t="s">
        <v>21698</v>
      </c>
      <c r="BK1225" s="1"/>
      <c r="BL1225" s="1"/>
      <c r="BM1225" s="1" t="s">
        <v>21699</v>
      </c>
      <c r="BN1225" s="1">
        <v>8</v>
      </c>
      <c r="BO1225" s="1" t="s">
        <v>21700</v>
      </c>
      <c r="BP1225" s="1" t="str">
        <f>HYPERLINK("https://nconnect.nicmar.ac.in/storage/profile/ProfilePhoto_P25704020_278361.jpg","Download")</f>
        <v>0</v>
      </c>
      <c r="BQ1225" s="3"/>
      <c r="BR1225" s="3"/>
    </row>
    <row r="1226" spans="1:70">
      <c r="A1226" s="1" t="s">
        <v>967</v>
      </c>
      <c r="B1226" s="1" t="s">
        <v>1269</v>
      </c>
      <c r="C1226" s="1" t="s">
        <v>21701</v>
      </c>
      <c r="D1226" s="1" t="s">
        <v>5815</v>
      </c>
      <c r="E1226" s="1" t="s">
        <v>181</v>
      </c>
      <c r="F1226" s="1" t="s">
        <v>21702</v>
      </c>
      <c r="G1226" s="1" t="s">
        <v>21703</v>
      </c>
      <c r="H1226" s="1" t="s">
        <v>21704</v>
      </c>
      <c r="I1226" s="1" t="s">
        <v>21705</v>
      </c>
      <c r="J1226" s="1">
        <v>7558449363</v>
      </c>
      <c r="K1226" s="1" t="s">
        <v>79</v>
      </c>
      <c r="L1226" s="1" t="s">
        <v>21706</v>
      </c>
      <c r="M1226" s="1" t="s">
        <v>81</v>
      </c>
      <c r="N1226" s="1" t="s">
        <v>1418</v>
      </c>
      <c r="O1226" s="1"/>
      <c r="P1226" s="1" t="s">
        <v>1298</v>
      </c>
      <c r="Q1226" s="1" t="s">
        <v>21707</v>
      </c>
      <c r="R1226" s="1" t="s">
        <v>21708</v>
      </c>
      <c r="S1226" s="1">
        <v>9922420665</v>
      </c>
      <c r="T1226" s="1" t="s">
        <v>3217</v>
      </c>
      <c r="U1226" s="1" t="s">
        <v>21709</v>
      </c>
      <c r="V1226" s="1">
        <v>9763078203</v>
      </c>
      <c r="W1226" s="1" t="s">
        <v>156</v>
      </c>
      <c r="X1226" s="1" t="s">
        <v>21710</v>
      </c>
      <c r="Y1226" s="1" t="s">
        <v>191</v>
      </c>
      <c r="Z1226" s="1" t="s">
        <v>92</v>
      </c>
      <c r="AA1226" s="1" t="s">
        <v>21710</v>
      </c>
      <c r="AB1226" s="1" t="s">
        <v>191</v>
      </c>
      <c r="AC1226" s="1" t="s">
        <v>92</v>
      </c>
      <c r="AD1226" s="1" t="s">
        <v>93</v>
      </c>
      <c r="AE1226" s="1" t="s">
        <v>93</v>
      </c>
      <c r="AF1226" s="1" t="s">
        <v>21711</v>
      </c>
      <c r="AG1226" s="1" t="s">
        <v>12575</v>
      </c>
      <c r="AH1226" s="1" t="s">
        <v>165</v>
      </c>
      <c r="AI1226" s="1" t="s">
        <v>281</v>
      </c>
      <c r="AJ1226" s="1">
        <v>85.6</v>
      </c>
      <c r="AK1226" s="1"/>
      <c r="AL1226" s="1" t="s">
        <v>21712</v>
      </c>
      <c r="AM1226" s="1" t="s">
        <v>12575</v>
      </c>
      <c r="AN1226" s="1" t="s">
        <v>433</v>
      </c>
      <c r="AO1226" s="1" t="s">
        <v>360</v>
      </c>
      <c r="AP1226" s="1">
        <v>73.38</v>
      </c>
      <c r="AQ1226" s="1"/>
      <c r="AR1226" s="1"/>
      <c r="AS1226" s="1"/>
      <c r="AT1226" s="1"/>
      <c r="AU1226" s="1"/>
      <c r="AV1226" s="1"/>
      <c r="AW1226" s="1"/>
      <c r="AX1226" s="1" t="s">
        <v>21713</v>
      </c>
      <c r="AY1226" s="1" t="s">
        <v>21714</v>
      </c>
      <c r="AZ1226" s="1" t="s">
        <v>699</v>
      </c>
      <c r="BA1226" s="1" t="s">
        <v>1714</v>
      </c>
      <c r="BB1226" s="1">
        <v>66.1</v>
      </c>
      <c r="BC1226" s="1">
        <v>7.36</v>
      </c>
      <c r="BD1226" s="1"/>
      <c r="BE1226" s="1"/>
      <c r="BF1226" s="1"/>
      <c r="BG1226" s="1"/>
      <c r="BH1226" s="1"/>
      <c r="BI1226" s="1"/>
      <c r="BJ1226" s="1" t="s">
        <v>21715</v>
      </c>
      <c r="BK1226" s="1"/>
      <c r="BL1226" s="1"/>
      <c r="BM1226" s="1" t="s">
        <v>21716</v>
      </c>
      <c r="BN1226" s="1">
        <v>26</v>
      </c>
      <c r="BO1226" s="1" t="s">
        <v>21717</v>
      </c>
      <c r="BP1226" s="1" t="str">
        <f>HYPERLINK("https://nconnect.nicmar.ac.in/storage/profile/ProfilePhoto_P25704021_426987.jpg","Download")</f>
        <v>0</v>
      </c>
      <c r="BQ1226" s="3"/>
      <c r="BR1226" s="3"/>
    </row>
    <row r="1227" spans="1:70">
      <c r="A1227" s="1" t="s">
        <v>967</v>
      </c>
      <c r="B1227" s="1" t="s">
        <v>1269</v>
      </c>
      <c r="C1227" s="1" t="s">
        <v>21718</v>
      </c>
      <c r="D1227" s="1" t="s">
        <v>21719</v>
      </c>
      <c r="E1227" s="1"/>
      <c r="F1227" s="1" t="s">
        <v>21720</v>
      </c>
      <c r="G1227" s="1" t="s">
        <v>21721</v>
      </c>
      <c r="H1227" s="1" t="s">
        <v>21722</v>
      </c>
      <c r="I1227" s="1" t="s">
        <v>21723</v>
      </c>
      <c r="J1227" s="1">
        <v>8249358297</v>
      </c>
      <c r="K1227" s="1" t="s">
        <v>79</v>
      </c>
      <c r="L1227" s="1" t="s">
        <v>21724</v>
      </c>
      <c r="M1227" s="1" t="s">
        <v>81</v>
      </c>
      <c r="N1227" s="1" t="s">
        <v>13837</v>
      </c>
      <c r="O1227" s="1"/>
      <c r="P1227" s="1" t="s">
        <v>1278</v>
      </c>
      <c r="Q1227" s="1" t="s">
        <v>21725</v>
      </c>
      <c r="R1227" s="1" t="s">
        <v>21726</v>
      </c>
      <c r="S1227" s="1">
        <v>7008067559</v>
      </c>
      <c r="T1227" s="1" t="s">
        <v>6251</v>
      </c>
      <c r="U1227" s="1" t="s">
        <v>21727</v>
      </c>
      <c r="V1227" s="1">
        <v>8144939202</v>
      </c>
      <c r="W1227" s="1" t="s">
        <v>89</v>
      </c>
      <c r="X1227" s="1" t="s">
        <v>21728</v>
      </c>
      <c r="Y1227" s="1" t="s">
        <v>20546</v>
      </c>
      <c r="Z1227" s="1" t="s">
        <v>1731</v>
      </c>
      <c r="AA1227" s="1" t="s">
        <v>21729</v>
      </c>
      <c r="AB1227" s="1" t="s">
        <v>21730</v>
      </c>
      <c r="AC1227" s="1" t="s">
        <v>1731</v>
      </c>
      <c r="AD1227" s="1" t="s">
        <v>93</v>
      </c>
      <c r="AE1227" s="1" t="s">
        <v>93</v>
      </c>
      <c r="AF1227" s="1" t="s">
        <v>21731</v>
      </c>
      <c r="AG1227" s="1" t="s">
        <v>16647</v>
      </c>
      <c r="AH1227" s="1" t="s">
        <v>657</v>
      </c>
      <c r="AI1227" s="1" t="s">
        <v>128</v>
      </c>
      <c r="AJ1227" s="1">
        <v>62</v>
      </c>
      <c r="AK1227" s="1"/>
      <c r="AL1227" s="1" t="s">
        <v>21732</v>
      </c>
      <c r="AM1227" s="1" t="s">
        <v>21733</v>
      </c>
      <c r="AN1227" s="1" t="s">
        <v>128</v>
      </c>
      <c r="AO1227" s="1" t="s">
        <v>1197</v>
      </c>
      <c r="AP1227" s="1">
        <v>59</v>
      </c>
      <c r="AQ1227" s="1"/>
      <c r="AR1227" s="1"/>
      <c r="AS1227" s="1"/>
      <c r="AT1227" s="1"/>
      <c r="AU1227" s="1"/>
      <c r="AV1227" s="1"/>
      <c r="AW1227" s="1"/>
      <c r="AX1227" s="1" t="s">
        <v>21734</v>
      </c>
      <c r="AY1227" s="1" t="s">
        <v>21735</v>
      </c>
      <c r="AZ1227" s="1" t="s">
        <v>130</v>
      </c>
      <c r="BA1227" s="1" t="s">
        <v>636</v>
      </c>
      <c r="BB1227" s="1">
        <v>66.9</v>
      </c>
      <c r="BC1227" s="1">
        <v>7.2</v>
      </c>
      <c r="BD1227" s="1"/>
      <c r="BE1227" s="1"/>
      <c r="BF1227" s="1"/>
      <c r="BG1227" s="1"/>
      <c r="BH1227" s="1"/>
      <c r="BI1227" s="1"/>
      <c r="BJ1227" s="1" t="s">
        <v>255</v>
      </c>
      <c r="BK1227" s="1" t="s">
        <v>21736</v>
      </c>
      <c r="BL1227" s="1" t="s">
        <v>21737</v>
      </c>
      <c r="BM1227" s="1" t="s">
        <v>21738</v>
      </c>
      <c r="BN1227" s="1">
        <v>9</v>
      </c>
      <c r="BO1227" s="1"/>
      <c r="BP1227" s="1" t="str">
        <f>HYPERLINK("https://nconnect.nicmar.ac.in/storage/profile/ProfilePhoto_P25704022_561872.jpg","Download")</f>
        <v>0</v>
      </c>
      <c r="BQ1227" s="3"/>
      <c r="BR1227" s="3"/>
    </row>
    <row r="1228" spans="1:70">
      <c r="A1228" s="1" t="s">
        <v>967</v>
      </c>
      <c r="B1228" s="1" t="s">
        <v>1269</v>
      </c>
      <c r="C1228" s="1" t="s">
        <v>21739</v>
      </c>
      <c r="D1228" s="1" t="s">
        <v>21740</v>
      </c>
      <c r="E1228" s="1" t="s">
        <v>1138</v>
      </c>
      <c r="F1228" s="1" t="s">
        <v>21741</v>
      </c>
      <c r="G1228" s="1" t="s">
        <v>21742</v>
      </c>
      <c r="H1228" s="1" t="s">
        <v>21743</v>
      </c>
      <c r="I1228" s="1" t="s">
        <v>21744</v>
      </c>
      <c r="J1228" s="1">
        <v>7776034424</v>
      </c>
      <c r="K1228" s="1" t="s">
        <v>148</v>
      </c>
      <c r="L1228" s="1" t="s">
        <v>15491</v>
      </c>
      <c r="M1228" s="1" t="s">
        <v>150</v>
      </c>
      <c r="N1228" s="1" t="s">
        <v>1418</v>
      </c>
      <c r="O1228" s="1"/>
      <c r="P1228" s="1" t="s">
        <v>1278</v>
      </c>
      <c r="Q1228" s="1" t="s">
        <v>21745</v>
      </c>
      <c r="R1228" s="1" t="s">
        <v>21746</v>
      </c>
      <c r="S1228" s="1">
        <v>9823048680</v>
      </c>
      <c r="T1228" s="1" t="s">
        <v>21747</v>
      </c>
      <c r="U1228" s="1" t="s">
        <v>21748</v>
      </c>
      <c r="V1228" s="1">
        <v>7744094569</v>
      </c>
      <c r="W1228" s="1" t="s">
        <v>273</v>
      </c>
      <c r="X1228" s="1" t="s">
        <v>21749</v>
      </c>
      <c r="Y1228" s="1" t="s">
        <v>191</v>
      </c>
      <c r="Z1228" s="1" t="s">
        <v>92</v>
      </c>
      <c r="AA1228" s="1" t="s">
        <v>21750</v>
      </c>
      <c r="AB1228" s="1" t="s">
        <v>91</v>
      </c>
      <c r="AC1228" s="1" t="s">
        <v>92</v>
      </c>
      <c r="AD1228" s="1" t="s">
        <v>93</v>
      </c>
      <c r="AE1228" s="1" t="s">
        <v>93</v>
      </c>
      <c r="AF1228" s="1" t="s">
        <v>21751</v>
      </c>
      <c r="AG1228" s="1" t="s">
        <v>11812</v>
      </c>
      <c r="AH1228" s="1" t="s">
        <v>128</v>
      </c>
      <c r="AI1228" s="1" t="s">
        <v>479</v>
      </c>
      <c r="AJ1228" s="1">
        <v>63.4</v>
      </c>
      <c r="AK1228" s="1"/>
      <c r="AL1228" s="1" t="s">
        <v>21752</v>
      </c>
      <c r="AM1228" s="1" t="s">
        <v>21753</v>
      </c>
      <c r="AN1228" s="1" t="s">
        <v>225</v>
      </c>
      <c r="AO1228" s="1" t="s">
        <v>308</v>
      </c>
      <c r="AP1228" s="1">
        <v>71.23</v>
      </c>
      <c r="AQ1228" s="1"/>
      <c r="AR1228" s="1"/>
      <c r="AS1228" s="1"/>
      <c r="AT1228" s="1"/>
      <c r="AU1228" s="1"/>
      <c r="AV1228" s="1"/>
      <c r="AW1228" s="1"/>
      <c r="AX1228" s="1" t="s">
        <v>21754</v>
      </c>
      <c r="AY1228" s="1" t="s">
        <v>21755</v>
      </c>
      <c r="AZ1228" s="1" t="s">
        <v>201</v>
      </c>
      <c r="BA1228" s="1" t="s">
        <v>413</v>
      </c>
      <c r="BB1228" s="1">
        <v>73.1</v>
      </c>
      <c r="BC1228" s="1">
        <v>7.81</v>
      </c>
      <c r="BD1228" s="1"/>
      <c r="BE1228" s="1"/>
      <c r="BF1228" s="1"/>
      <c r="BG1228" s="1"/>
      <c r="BH1228" s="1"/>
      <c r="BI1228" s="1"/>
      <c r="BJ1228" s="1" t="s">
        <v>21756</v>
      </c>
      <c r="BK1228" s="1" t="s">
        <v>21757</v>
      </c>
      <c r="BL1228" s="1" t="s">
        <v>484</v>
      </c>
      <c r="BM1228" s="1" t="s">
        <v>21758</v>
      </c>
      <c r="BN1228" s="1">
        <v>19</v>
      </c>
      <c r="BO1228" s="1" t="s">
        <v>21759</v>
      </c>
      <c r="BP1228" s="1" t="str">
        <f>HYPERLINK("https://nconnect.nicmar.ac.in/storage/profile/ProfilePhoto_P25704023_534962.jpg","Download")</f>
        <v>0</v>
      </c>
      <c r="BQ1228" s="3"/>
      <c r="BR1228" s="3"/>
    </row>
    <row r="1229" spans="1:70">
      <c r="A1229" s="1" t="s">
        <v>967</v>
      </c>
      <c r="B1229" s="1" t="s">
        <v>1269</v>
      </c>
      <c r="C1229" s="1" t="s">
        <v>21760</v>
      </c>
      <c r="D1229" s="1" t="s">
        <v>5530</v>
      </c>
      <c r="E1229" s="1" t="s">
        <v>8846</v>
      </c>
      <c r="F1229" s="1" t="s">
        <v>8508</v>
      </c>
      <c r="G1229" s="1" t="s">
        <v>21761</v>
      </c>
      <c r="H1229" s="1" t="s">
        <v>21762</v>
      </c>
      <c r="I1229" s="1" t="s">
        <v>21763</v>
      </c>
      <c r="J1229" s="1">
        <v>8668546058</v>
      </c>
      <c r="K1229" s="1" t="s">
        <v>148</v>
      </c>
      <c r="L1229" s="1" t="s">
        <v>16975</v>
      </c>
      <c r="M1229" s="1" t="s">
        <v>81</v>
      </c>
      <c r="N1229" s="1" t="s">
        <v>21764</v>
      </c>
      <c r="O1229" s="1"/>
      <c r="P1229" s="1" t="s">
        <v>1278</v>
      </c>
      <c r="Q1229" s="1" t="s">
        <v>21765</v>
      </c>
      <c r="R1229" s="1" t="s">
        <v>8846</v>
      </c>
      <c r="S1229" s="1">
        <v>9370088881</v>
      </c>
      <c r="T1229" s="1" t="s">
        <v>993</v>
      </c>
      <c r="U1229" s="1" t="s">
        <v>6819</v>
      </c>
      <c r="V1229" s="1">
        <v>9370238072</v>
      </c>
      <c r="W1229" s="1" t="s">
        <v>273</v>
      </c>
      <c r="X1229" s="1" t="s">
        <v>21766</v>
      </c>
      <c r="Y1229" s="1" t="s">
        <v>405</v>
      </c>
      <c r="Z1229" s="1" t="s">
        <v>92</v>
      </c>
      <c r="AA1229" s="1" t="s">
        <v>21766</v>
      </c>
      <c r="AB1229" s="1" t="s">
        <v>405</v>
      </c>
      <c r="AC1229" s="1" t="s">
        <v>92</v>
      </c>
      <c r="AD1229" s="1" t="s">
        <v>93</v>
      </c>
      <c r="AE1229" s="1" t="s">
        <v>93</v>
      </c>
      <c r="AF1229" s="1" t="s">
        <v>21767</v>
      </c>
      <c r="AG1229" s="1" t="s">
        <v>307</v>
      </c>
      <c r="AH1229" s="1" t="s">
        <v>162</v>
      </c>
      <c r="AI1229" s="1" t="s">
        <v>195</v>
      </c>
      <c r="AJ1229" s="1">
        <v>85.5</v>
      </c>
      <c r="AK1229" s="1">
        <v>9</v>
      </c>
      <c r="AL1229" s="1" t="s">
        <v>21768</v>
      </c>
      <c r="AM1229" s="1" t="s">
        <v>160</v>
      </c>
      <c r="AN1229" s="1" t="s">
        <v>201</v>
      </c>
      <c r="AO1229" s="1" t="s">
        <v>412</v>
      </c>
      <c r="AP1229" s="1">
        <v>55.69</v>
      </c>
      <c r="AQ1229" s="1"/>
      <c r="AR1229" s="1"/>
      <c r="AS1229" s="1"/>
      <c r="AT1229" s="1"/>
      <c r="AU1229" s="1"/>
      <c r="AV1229" s="1"/>
      <c r="AW1229" s="1"/>
      <c r="AX1229" s="1" t="s">
        <v>410</v>
      </c>
      <c r="AY1229" s="1" t="s">
        <v>21769</v>
      </c>
      <c r="AZ1229" s="1" t="s">
        <v>363</v>
      </c>
      <c r="BA1229" s="1" t="s">
        <v>1714</v>
      </c>
      <c r="BB1229" s="1">
        <v>72.1</v>
      </c>
      <c r="BC1229" s="1">
        <v>7.21</v>
      </c>
      <c r="BD1229" s="1"/>
      <c r="BE1229" s="1"/>
      <c r="BF1229" s="1"/>
      <c r="BG1229" s="1"/>
      <c r="BH1229" s="1"/>
      <c r="BI1229" s="1"/>
      <c r="BJ1229" s="1" t="s">
        <v>21770</v>
      </c>
      <c r="BK1229" s="1"/>
      <c r="BL1229" s="1"/>
      <c r="BM1229" s="1" t="s">
        <v>21771</v>
      </c>
      <c r="BN1229" s="1">
        <v>27</v>
      </c>
      <c r="BO1229" s="1" t="s">
        <v>21772</v>
      </c>
      <c r="BP1229" s="1" t="str">
        <f>HYPERLINK("https://nconnect.nicmar.ac.in/storage/profile/ProfilePhoto_P25704024_853971.jpg","Download")</f>
        <v>0</v>
      </c>
      <c r="BQ1229" s="3"/>
      <c r="BR1229" s="3"/>
    </row>
    <row r="1230" spans="1:70">
      <c r="A1230" s="1" t="s">
        <v>967</v>
      </c>
      <c r="B1230" s="1" t="s">
        <v>1269</v>
      </c>
      <c r="C1230" s="1" t="s">
        <v>21773</v>
      </c>
      <c r="D1230" s="1" t="s">
        <v>19393</v>
      </c>
      <c r="E1230" s="1" t="s">
        <v>3208</v>
      </c>
      <c r="F1230" s="1" t="s">
        <v>21774</v>
      </c>
      <c r="G1230" s="1" t="s">
        <v>21775</v>
      </c>
      <c r="H1230" s="1" t="s">
        <v>21776</v>
      </c>
      <c r="I1230" s="1" t="s">
        <v>21777</v>
      </c>
      <c r="J1230" s="1">
        <v>9359271182</v>
      </c>
      <c r="K1230" s="1" t="s">
        <v>148</v>
      </c>
      <c r="L1230" s="1" t="s">
        <v>21778</v>
      </c>
      <c r="M1230" s="1" t="s">
        <v>81</v>
      </c>
      <c r="N1230" s="1" t="s">
        <v>3194</v>
      </c>
      <c r="O1230" s="1"/>
      <c r="P1230" s="1" t="s">
        <v>1766</v>
      </c>
      <c r="Q1230" s="1" t="s">
        <v>21779</v>
      </c>
      <c r="R1230" s="1" t="s">
        <v>21780</v>
      </c>
      <c r="S1230" s="1">
        <v>8605072625</v>
      </c>
      <c r="T1230" s="1" t="s">
        <v>763</v>
      </c>
      <c r="U1230" s="1" t="s">
        <v>21781</v>
      </c>
      <c r="V1230" s="1">
        <v>8668820837</v>
      </c>
      <c r="W1230" s="1" t="s">
        <v>156</v>
      </c>
      <c r="X1230" s="1" t="s">
        <v>21782</v>
      </c>
      <c r="Y1230" s="1" t="s">
        <v>328</v>
      </c>
      <c r="Z1230" s="1" t="s">
        <v>92</v>
      </c>
      <c r="AA1230" s="1" t="s">
        <v>21782</v>
      </c>
      <c r="AB1230" s="1" t="s">
        <v>328</v>
      </c>
      <c r="AC1230" s="1" t="s">
        <v>92</v>
      </c>
      <c r="AD1230" s="1" t="s">
        <v>93</v>
      </c>
      <c r="AE1230" s="1" t="s">
        <v>93</v>
      </c>
      <c r="AF1230" s="1" t="s">
        <v>21783</v>
      </c>
      <c r="AG1230" s="1" t="s">
        <v>21784</v>
      </c>
      <c r="AH1230" s="1" t="s">
        <v>131</v>
      </c>
      <c r="AI1230" s="1" t="s">
        <v>101</v>
      </c>
      <c r="AJ1230" s="1">
        <v>90.2</v>
      </c>
      <c r="AK1230" s="1">
        <v>7.6</v>
      </c>
      <c r="AL1230" s="1" t="s">
        <v>21785</v>
      </c>
      <c r="AM1230" s="1" t="s">
        <v>21784</v>
      </c>
      <c r="AN1230" s="1" t="s">
        <v>101</v>
      </c>
      <c r="AO1230" s="1" t="s">
        <v>173</v>
      </c>
      <c r="AP1230" s="1">
        <v>74.62</v>
      </c>
      <c r="AQ1230" s="1"/>
      <c r="AR1230" s="1"/>
      <c r="AS1230" s="1"/>
      <c r="AT1230" s="1"/>
      <c r="AU1230" s="1"/>
      <c r="AV1230" s="1"/>
      <c r="AW1230" s="1"/>
      <c r="AX1230" s="1" t="s">
        <v>361</v>
      </c>
      <c r="AY1230" s="1" t="s">
        <v>16291</v>
      </c>
      <c r="AZ1230" s="1" t="s">
        <v>363</v>
      </c>
      <c r="BA1230" s="1" t="s">
        <v>1408</v>
      </c>
      <c r="BB1230" s="1">
        <v>68.35</v>
      </c>
      <c r="BC1230" s="1"/>
      <c r="BD1230" s="1"/>
      <c r="BE1230" s="1"/>
      <c r="BF1230" s="1"/>
      <c r="BG1230" s="1"/>
      <c r="BH1230" s="1"/>
      <c r="BI1230" s="1"/>
      <c r="BJ1230" s="1" t="s">
        <v>21786</v>
      </c>
      <c r="BK1230" s="1"/>
      <c r="BL1230" s="1"/>
      <c r="BM1230" s="1" t="s">
        <v>21787</v>
      </c>
      <c r="BN1230" s="1">
        <v>32</v>
      </c>
      <c r="BO1230" s="1"/>
      <c r="BP1230" s="1" t="str">
        <f>HYPERLINK("https://nconnect.nicmar.ac.in/storage/profile/ProfilePhoto_P25704025_279518.jpg","Download")</f>
        <v>0</v>
      </c>
      <c r="BQ1230" s="3"/>
      <c r="BR1230" s="3"/>
    </row>
    <row r="1231" spans="1:70">
      <c r="A1231" s="1" t="s">
        <v>967</v>
      </c>
      <c r="B1231" s="1" t="s">
        <v>1269</v>
      </c>
      <c r="C1231" s="1" t="s">
        <v>21788</v>
      </c>
      <c r="D1231" s="1" t="s">
        <v>21789</v>
      </c>
      <c r="E1231" s="1" t="s">
        <v>15079</v>
      </c>
      <c r="F1231" s="1" t="s">
        <v>13346</v>
      </c>
      <c r="G1231" s="1" t="s">
        <v>21790</v>
      </c>
      <c r="H1231" s="1" t="s">
        <v>21791</v>
      </c>
      <c r="I1231" s="1" t="s">
        <v>21792</v>
      </c>
      <c r="J1231" s="1">
        <v>9136230303</v>
      </c>
      <c r="K1231" s="1" t="s">
        <v>148</v>
      </c>
      <c r="L1231" s="1" t="s">
        <v>21793</v>
      </c>
      <c r="M1231" s="1" t="s">
        <v>81</v>
      </c>
      <c r="N1231" s="1" t="s">
        <v>860</v>
      </c>
      <c r="O1231" s="1"/>
      <c r="P1231" s="1" t="s">
        <v>1298</v>
      </c>
      <c r="Q1231" s="1" t="s">
        <v>21794</v>
      </c>
      <c r="R1231" s="1" t="s">
        <v>21795</v>
      </c>
      <c r="S1231" s="1">
        <v>9969227370</v>
      </c>
      <c r="T1231" s="1" t="s">
        <v>120</v>
      </c>
      <c r="U1231" s="1" t="s">
        <v>21796</v>
      </c>
      <c r="V1231" s="1">
        <v>9004719297</v>
      </c>
      <c r="W1231" s="1" t="s">
        <v>156</v>
      </c>
      <c r="X1231" s="1" t="s">
        <v>21797</v>
      </c>
      <c r="Y1231" s="1" t="s">
        <v>1018</v>
      </c>
      <c r="Z1231" s="1" t="s">
        <v>92</v>
      </c>
      <c r="AA1231" s="1" t="s">
        <v>21797</v>
      </c>
      <c r="AB1231" s="1" t="s">
        <v>1018</v>
      </c>
      <c r="AC1231" s="1" t="s">
        <v>92</v>
      </c>
      <c r="AD1231" s="1" t="s">
        <v>93</v>
      </c>
      <c r="AE1231" s="1" t="s">
        <v>93</v>
      </c>
      <c r="AF1231" s="1" t="s">
        <v>21798</v>
      </c>
      <c r="AG1231" s="1" t="s">
        <v>160</v>
      </c>
      <c r="AH1231" s="1" t="s">
        <v>162</v>
      </c>
      <c r="AI1231" s="1" t="s">
        <v>165</v>
      </c>
      <c r="AJ1231" s="1">
        <v>83</v>
      </c>
      <c r="AK1231" s="1"/>
      <c r="AL1231" s="1" t="s">
        <v>21799</v>
      </c>
      <c r="AM1231" s="1" t="s">
        <v>160</v>
      </c>
      <c r="AN1231" s="1" t="s">
        <v>101</v>
      </c>
      <c r="AO1231" s="1" t="s">
        <v>308</v>
      </c>
      <c r="AP1231" s="1">
        <v>68.31</v>
      </c>
      <c r="AQ1231" s="1"/>
      <c r="AR1231" s="1"/>
      <c r="AS1231" s="1"/>
      <c r="AT1231" s="1"/>
      <c r="AU1231" s="1"/>
      <c r="AV1231" s="1"/>
      <c r="AW1231" s="1"/>
      <c r="AX1231" s="1" t="s">
        <v>253</v>
      </c>
      <c r="AY1231" s="1" t="s">
        <v>19588</v>
      </c>
      <c r="AZ1231" s="1" t="s">
        <v>201</v>
      </c>
      <c r="BA1231" s="1" t="s">
        <v>413</v>
      </c>
      <c r="BB1231" s="1">
        <v>67.87</v>
      </c>
      <c r="BC1231" s="1">
        <v>7.55</v>
      </c>
      <c r="BD1231" s="1"/>
      <c r="BE1231" s="1"/>
      <c r="BF1231" s="1"/>
      <c r="BG1231" s="1"/>
      <c r="BH1231" s="1"/>
      <c r="BI1231" s="1"/>
      <c r="BJ1231" s="1" t="s">
        <v>21800</v>
      </c>
      <c r="BK1231" s="1"/>
      <c r="BL1231" s="1"/>
      <c r="BM1231" s="1" t="s">
        <v>21801</v>
      </c>
      <c r="BN1231" s="1">
        <v>27</v>
      </c>
      <c r="BO1231" s="1"/>
      <c r="BP1231" s="1" t="str">
        <f>HYPERLINK("https://nconnect.nicmar.ac.in/storage/profile/ProfilePhoto_P25704026_986524.jpg","Download")</f>
        <v>0</v>
      </c>
      <c r="BQ1231" s="3"/>
      <c r="BR1231" s="3"/>
    </row>
    <row r="1232" spans="1:70">
      <c r="A1232" s="1" t="s">
        <v>967</v>
      </c>
      <c r="B1232" s="1" t="s">
        <v>1269</v>
      </c>
      <c r="C1232" s="1" t="s">
        <v>21802</v>
      </c>
      <c r="D1232" s="1" t="s">
        <v>3968</v>
      </c>
      <c r="E1232" s="1" t="s">
        <v>110</v>
      </c>
      <c r="F1232" s="1" t="s">
        <v>21803</v>
      </c>
      <c r="G1232" s="1" t="s">
        <v>21804</v>
      </c>
      <c r="H1232" s="1" t="s">
        <v>21805</v>
      </c>
      <c r="I1232" s="1" t="s">
        <v>21806</v>
      </c>
      <c r="J1232" s="1">
        <v>9370219155</v>
      </c>
      <c r="K1232" s="1" t="s">
        <v>148</v>
      </c>
      <c r="L1232" s="1" t="s">
        <v>2352</v>
      </c>
      <c r="M1232" s="1" t="s">
        <v>81</v>
      </c>
      <c r="N1232" s="1" t="s">
        <v>8166</v>
      </c>
      <c r="O1232" s="1"/>
      <c r="P1232" s="1" t="s">
        <v>1298</v>
      </c>
      <c r="Q1232" s="1" t="s">
        <v>21807</v>
      </c>
      <c r="R1232" s="1" t="s">
        <v>21808</v>
      </c>
      <c r="S1232" s="1">
        <v>9822210464</v>
      </c>
      <c r="T1232" s="1" t="s">
        <v>87</v>
      </c>
      <c r="U1232" s="1" t="s">
        <v>21809</v>
      </c>
      <c r="V1232" s="1">
        <v>7387386748</v>
      </c>
      <c r="W1232" s="1" t="s">
        <v>14051</v>
      </c>
      <c r="X1232" s="1" t="s">
        <v>21810</v>
      </c>
      <c r="Y1232" s="1" t="s">
        <v>523</v>
      </c>
      <c r="Z1232" s="1" t="s">
        <v>92</v>
      </c>
      <c r="AA1232" s="1" t="s">
        <v>21810</v>
      </c>
      <c r="AB1232" s="1" t="s">
        <v>523</v>
      </c>
      <c r="AC1232" s="1" t="s">
        <v>92</v>
      </c>
      <c r="AD1232" s="1" t="s">
        <v>93</v>
      </c>
      <c r="AE1232" s="1" t="s">
        <v>93</v>
      </c>
      <c r="AF1232" s="1" t="s">
        <v>21811</v>
      </c>
      <c r="AG1232" s="1" t="s">
        <v>544</v>
      </c>
      <c r="AH1232" s="1" t="s">
        <v>165</v>
      </c>
      <c r="AI1232" s="1" t="s">
        <v>281</v>
      </c>
      <c r="AJ1232" s="1">
        <v>89.6</v>
      </c>
      <c r="AK1232" s="1">
        <v>0</v>
      </c>
      <c r="AL1232" s="1" t="s">
        <v>21812</v>
      </c>
      <c r="AM1232" s="1" t="s">
        <v>544</v>
      </c>
      <c r="AN1232" s="1" t="s">
        <v>169</v>
      </c>
      <c r="AO1232" s="1" t="s">
        <v>173</v>
      </c>
      <c r="AP1232" s="1">
        <v>68.77</v>
      </c>
      <c r="AQ1232" s="1">
        <v>0</v>
      </c>
      <c r="AR1232" s="1"/>
      <c r="AS1232" s="1"/>
      <c r="AT1232" s="1"/>
      <c r="AU1232" s="1"/>
      <c r="AV1232" s="1"/>
      <c r="AW1232" s="1"/>
      <c r="AX1232" s="1" t="s">
        <v>21813</v>
      </c>
      <c r="AY1232" s="1" t="s">
        <v>21814</v>
      </c>
      <c r="AZ1232" s="1" t="s">
        <v>363</v>
      </c>
      <c r="BA1232" s="1" t="s">
        <v>1408</v>
      </c>
      <c r="BB1232" s="1">
        <v>62.83</v>
      </c>
      <c r="BC1232" s="1">
        <v>7.06</v>
      </c>
      <c r="BD1232" s="1"/>
      <c r="BE1232" s="1"/>
      <c r="BF1232" s="1"/>
      <c r="BG1232" s="1"/>
      <c r="BH1232" s="1"/>
      <c r="BI1232" s="1"/>
      <c r="BJ1232" s="1" t="s">
        <v>21815</v>
      </c>
      <c r="BK1232" s="1"/>
      <c r="BL1232" s="1"/>
      <c r="BM1232" s="1" t="s">
        <v>21816</v>
      </c>
      <c r="BN1232" s="1">
        <v>33</v>
      </c>
      <c r="BO1232" s="1"/>
      <c r="BP1232" s="1" t="str">
        <f>HYPERLINK("https://nconnect.nicmar.ac.in/storage/profile/ProfilePhoto_P25704027_845267.jpg","Download")</f>
        <v>0</v>
      </c>
      <c r="BQ1232" s="3"/>
      <c r="BR1232" s="3"/>
    </row>
    <row r="1233" spans="1:70">
      <c r="A1233" s="1" t="s">
        <v>967</v>
      </c>
      <c r="B1233" s="1" t="s">
        <v>1269</v>
      </c>
      <c r="C1233" s="1" t="s">
        <v>21817</v>
      </c>
      <c r="D1233" s="1" t="s">
        <v>21818</v>
      </c>
      <c r="E1233" s="1" t="s">
        <v>181</v>
      </c>
      <c r="F1233" s="1" t="s">
        <v>21819</v>
      </c>
      <c r="G1233" s="1" t="s">
        <v>21820</v>
      </c>
      <c r="H1233" s="1" t="s">
        <v>21821</v>
      </c>
      <c r="I1233" s="1" t="s">
        <v>21822</v>
      </c>
      <c r="J1233" s="1">
        <v>8850959089</v>
      </c>
      <c r="K1233" s="1" t="s">
        <v>79</v>
      </c>
      <c r="L1233" s="1" t="s">
        <v>1785</v>
      </c>
      <c r="M1233" s="1" t="s">
        <v>81</v>
      </c>
      <c r="N1233" s="1" t="s">
        <v>1765</v>
      </c>
      <c r="O1233" s="1"/>
      <c r="P1233" s="1" t="s">
        <v>1298</v>
      </c>
      <c r="Q1233" s="1" t="s">
        <v>21823</v>
      </c>
      <c r="R1233" s="1" t="s">
        <v>181</v>
      </c>
      <c r="S1233" s="1">
        <v>9004675329</v>
      </c>
      <c r="T1233" s="1" t="s">
        <v>496</v>
      </c>
      <c r="U1233" s="1" t="s">
        <v>21824</v>
      </c>
      <c r="V1233" s="1">
        <v>7498205772</v>
      </c>
      <c r="W1233" s="1" t="s">
        <v>156</v>
      </c>
      <c r="X1233" s="1" t="s">
        <v>21825</v>
      </c>
      <c r="Y1233" s="1" t="s">
        <v>5080</v>
      </c>
      <c r="Z1233" s="1" t="s">
        <v>92</v>
      </c>
      <c r="AA1233" s="1" t="s">
        <v>21825</v>
      </c>
      <c r="AB1233" s="1" t="s">
        <v>5080</v>
      </c>
      <c r="AC1233" s="1" t="s">
        <v>92</v>
      </c>
      <c r="AD1233" s="1" t="s">
        <v>93</v>
      </c>
      <c r="AE1233" s="1" t="s">
        <v>93</v>
      </c>
      <c r="AF1233" s="1" t="s">
        <v>17945</v>
      </c>
      <c r="AG1233" s="1" t="s">
        <v>939</v>
      </c>
      <c r="AH1233" s="1" t="s">
        <v>1307</v>
      </c>
      <c r="AI1233" s="1" t="s">
        <v>308</v>
      </c>
      <c r="AJ1233" s="1">
        <v>56.6</v>
      </c>
      <c r="AK1233" s="1">
        <v>0</v>
      </c>
      <c r="AL1233" s="1" t="s">
        <v>21826</v>
      </c>
      <c r="AM1233" s="1" t="s">
        <v>21827</v>
      </c>
      <c r="AN1233" s="1" t="s">
        <v>310</v>
      </c>
      <c r="AO1233" s="1" t="s">
        <v>1712</v>
      </c>
      <c r="AP1233" s="1">
        <v>71.5</v>
      </c>
      <c r="AQ1233" s="1"/>
      <c r="AR1233" s="1"/>
      <c r="AS1233" s="1"/>
      <c r="AT1233" s="1"/>
      <c r="AU1233" s="1"/>
      <c r="AV1233" s="1"/>
      <c r="AW1233" s="1"/>
      <c r="AX1233" s="1" t="s">
        <v>1024</v>
      </c>
      <c r="AY1233" s="1" t="s">
        <v>21828</v>
      </c>
      <c r="AZ1233" s="1" t="s">
        <v>897</v>
      </c>
      <c r="BA1233" s="1" t="s">
        <v>1714</v>
      </c>
      <c r="BB1233" s="1">
        <v>61.52</v>
      </c>
      <c r="BC1233" s="1">
        <v>6.75</v>
      </c>
      <c r="BD1233" s="1"/>
      <c r="BE1233" s="1"/>
      <c r="BF1233" s="1"/>
      <c r="BG1233" s="1"/>
      <c r="BH1233" s="1"/>
      <c r="BI1233" s="1"/>
      <c r="BJ1233" s="1" t="s">
        <v>255</v>
      </c>
      <c r="BK1233" s="1"/>
      <c r="BL1233" s="1"/>
      <c r="BM1233" s="1" t="s">
        <v>21829</v>
      </c>
      <c r="BN1233" s="1">
        <v>4</v>
      </c>
      <c r="BO1233" s="1"/>
      <c r="BP1233" s="1" t="str">
        <f>HYPERLINK("https://nconnect.nicmar.ac.in/storage/profile/ProfilePhoto_P25704028_759214.jpg","Download")</f>
        <v>0</v>
      </c>
      <c r="BQ1233" s="3"/>
      <c r="BR1233" s="3"/>
    </row>
    <row r="1234" spans="1:70">
      <c r="A1234" s="1" t="s">
        <v>967</v>
      </c>
      <c r="B1234" s="1" t="s">
        <v>1269</v>
      </c>
      <c r="C1234" s="1" t="s">
        <v>21830</v>
      </c>
      <c r="D1234" s="1" t="s">
        <v>2150</v>
      </c>
      <c r="E1234" s="1" t="s">
        <v>1032</v>
      </c>
      <c r="F1234" s="1" t="s">
        <v>8011</v>
      </c>
      <c r="G1234" s="1" t="s">
        <v>21831</v>
      </c>
      <c r="H1234" s="1" t="s">
        <v>21832</v>
      </c>
      <c r="I1234" s="1" t="s">
        <v>21833</v>
      </c>
      <c r="J1234" s="1">
        <v>9604960952</v>
      </c>
      <c r="K1234" s="1" t="s">
        <v>79</v>
      </c>
      <c r="L1234" s="1" t="s">
        <v>14661</v>
      </c>
      <c r="M1234" s="1" t="s">
        <v>81</v>
      </c>
      <c r="N1234" s="1" t="s">
        <v>5654</v>
      </c>
      <c r="O1234" s="1"/>
      <c r="P1234" s="1" t="s">
        <v>1298</v>
      </c>
      <c r="Q1234" s="1" t="s">
        <v>21834</v>
      </c>
      <c r="R1234" s="1" t="s">
        <v>1032</v>
      </c>
      <c r="S1234" s="1">
        <v>9850013087</v>
      </c>
      <c r="T1234" s="1" t="s">
        <v>154</v>
      </c>
      <c r="U1234" s="1" t="s">
        <v>1071</v>
      </c>
      <c r="V1234" s="1">
        <v>9970201464</v>
      </c>
      <c r="W1234" s="1" t="s">
        <v>156</v>
      </c>
      <c r="X1234" s="1" t="s">
        <v>21835</v>
      </c>
      <c r="Y1234" s="1" t="s">
        <v>191</v>
      </c>
      <c r="Z1234" s="1" t="s">
        <v>92</v>
      </c>
      <c r="AA1234" s="1" t="s">
        <v>21836</v>
      </c>
      <c r="AB1234" s="1" t="s">
        <v>5937</v>
      </c>
      <c r="AC1234" s="1" t="s">
        <v>92</v>
      </c>
      <c r="AD1234" s="1" t="s">
        <v>93</v>
      </c>
      <c r="AE1234" s="1" t="s">
        <v>93</v>
      </c>
      <c r="AF1234" s="1" t="s">
        <v>21837</v>
      </c>
      <c r="AG1234" s="1" t="s">
        <v>160</v>
      </c>
      <c r="AH1234" s="1" t="s">
        <v>162</v>
      </c>
      <c r="AI1234" s="1" t="s">
        <v>165</v>
      </c>
      <c r="AJ1234" s="1">
        <v>85.6</v>
      </c>
      <c r="AK1234" s="1"/>
      <c r="AL1234" s="1" t="s">
        <v>21838</v>
      </c>
      <c r="AM1234" s="1" t="s">
        <v>160</v>
      </c>
      <c r="AN1234" s="1" t="s">
        <v>383</v>
      </c>
      <c r="AO1234" s="1" t="s">
        <v>433</v>
      </c>
      <c r="AP1234" s="1">
        <v>60</v>
      </c>
      <c r="AQ1234" s="1"/>
      <c r="AR1234" s="1"/>
      <c r="AS1234" s="1"/>
      <c r="AT1234" s="1"/>
      <c r="AU1234" s="1"/>
      <c r="AV1234" s="1"/>
      <c r="AW1234" s="1"/>
      <c r="AX1234" s="1" t="s">
        <v>361</v>
      </c>
      <c r="AY1234" s="1" t="s">
        <v>21839</v>
      </c>
      <c r="AZ1234" s="1" t="s">
        <v>310</v>
      </c>
      <c r="BA1234" s="1" t="s">
        <v>3165</v>
      </c>
      <c r="BB1234" s="1">
        <v>61</v>
      </c>
      <c r="BC1234" s="1">
        <v>6.85</v>
      </c>
      <c r="BD1234" s="1"/>
      <c r="BE1234" s="1"/>
      <c r="BF1234" s="1"/>
      <c r="BG1234" s="1"/>
      <c r="BH1234" s="1"/>
      <c r="BI1234" s="1"/>
      <c r="BJ1234" s="1" t="s">
        <v>21840</v>
      </c>
      <c r="BK1234" s="1" t="s">
        <v>21841</v>
      </c>
      <c r="BL1234" s="1" t="s">
        <v>1920</v>
      </c>
      <c r="BM1234" s="1" t="s">
        <v>21842</v>
      </c>
      <c r="BN1234" s="1">
        <v>33</v>
      </c>
      <c r="BO1234" s="1"/>
      <c r="BP1234" s="1" t="str">
        <f>HYPERLINK("https://nconnect.nicmar.ac.in/storage/profile/ProfilePhoto_P25704029_425917.jpg","Download")</f>
        <v>0</v>
      </c>
      <c r="BQ1234" s="3"/>
      <c r="BR1234" s="3"/>
    </row>
    <row r="1235" spans="1:70">
      <c r="A1235" s="1" t="s">
        <v>967</v>
      </c>
      <c r="B1235" s="1" t="s">
        <v>1269</v>
      </c>
      <c r="C1235" s="1" t="s">
        <v>21843</v>
      </c>
      <c r="D1235" s="1" t="s">
        <v>18521</v>
      </c>
      <c r="E1235" s="1" t="s">
        <v>2128</v>
      </c>
      <c r="F1235" s="1" t="s">
        <v>21844</v>
      </c>
      <c r="G1235" s="1" t="s">
        <v>21845</v>
      </c>
      <c r="H1235" s="1" t="s">
        <v>21846</v>
      </c>
      <c r="I1235" s="1" t="s">
        <v>21847</v>
      </c>
      <c r="J1235" s="1">
        <v>9022158429</v>
      </c>
      <c r="K1235" s="1" t="s">
        <v>148</v>
      </c>
      <c r="L1235" s="1" t="s">
        <v>7820</v>
      </c>
      <c r="M1235" s="1" t="s">
        <v>81</v>
      </c>
      <c r="N1235" s="1" t="s">
        <v>3194</v>
      </c>
      <c r="O1235" s="1"/>
      <c r="P1235" s="1" t="s">
        <v>1462</v>
      </c>
      <c r="Q1235" s="1" t="s">
        <v>21848</v>
      </c>
      <c r="R1235" s="1" t="s">
        <v>21849</v>
      </c>
      <c r="S1235" s="1">
        <v>9881515251</v>
      </c>
      <c r="T1235" s="1" t="s">
        <v>21850</v>
      </c>
      <c r="U1235" s="1" t="s">
        <v>21851</v>
      </c>
      <c r="V1235" s="1">
        <v>8888180179</v>
      </c>
      <c r="W1235" s="1" t="s">
        <v>156</v>
      </c>
      <c r="X1235" s="1" t="s">
        <v>21852</v>
      </c>
      <c r="Y1235" s="1" t="s">
        <v>5840</v>
      </c>
      <c r="Z1235" s="1" t="s">
        <v>92</v>
      </c>
      <c r="AA1235" s="1" t="s">
        <v>21852</v>
      </c>
      <c r="AB1235" s="1" t="s">
        <v>5840</v>
      </c>
      <c r="AC1235" s="1" t="s">
        <v>92</v>
      </c>
      <c r="AD1235" s="1" t="s">
        <v>93</v>
      </c>
      <c r="AE1235" s="1" t="s">
        <v>93</v>
      </c>
      <c r="AF1235" s="1" t="s">
        <v>21853</v>
      </c>
      <c r="AG1235" s="1" t="s">
        <v>12313</v>
      </c>
      <c r="AH1235" s="1" t="s">
        <v>479</v>
      </c>
      <c r="AI1235" s="1" t="s">
        <v>166</v>
      </c>
      <c r="AJ1235" s="1">
        <v>77</v>
      </c>
      <c r="AK1235" s="1"/>
      <c r="AL1235" s="1" t="s">
        <v>12626</v>
      </c>
      <c r="AM1235" s="1" t="s">
        <v>544</v>
      </c>
      <c r="AN1235" s="1" t="s">
        <v>169</v>
      </c>
      <c r="AO1235" s="1" t="s">
        <v>360</v>
      </c>
      <c r="AP1235" s="1">
        <v>65.08</v>
      </c>
      <c r="AQ1235" s="1"/>
      <c r="AR1235" s="1"/>
      <c r="AS1235" s="1"/>
      <c r="AT1235" s="1"/>
      <c r="AU1235" s="1"/>
      <c r="AV1235" s="1"/>
      <c r="AW1235" s="1"/>
      <c r="AX1235" s="1" t="s">
        <v>361</v>
      </c>
      <c r="AY1235" s="1" t="s">
        <v>21854</v>
      </c>
      <c r="AZ1235" s="1" t="s">
        <v>2016</v>
      </c>
      <c r="BA1235" s="1" t="s">
        <v>1714</v>
      </c>
      <c r="BB1235" s="1">
        <v>60.6</v>
      </c>
      <c r="BC1235" s="1">
        <v>6.81</v>
      </c>
      <c r="BD1235" s="1"/>
      <c r="BE1235" s="1"/>
      <c r="BF1235" s="1"/>
      <c r="BG1235" s="1"/>
      <c r="BH1235" s="1"/>
      <c r="BI1235" s="1"/>
      <c r="BJ1235" s="1" t="s">
        <v>255</v>
      </c>
      <c r="BK1235" s="1"/>
      <c r="BL1235" s="1"/>
      <c r="BM1235" s="1" t="s">
        <v>21855</v>
      </c>
      <c r="BN1235" s="1">
        <v>26</v>
      </c>
      <c r="BO1235" s="1"/>
      <c r="BP1235" s="1" t="str">
        <f>HYPERLINK("https://nconnect.nicmar.ac.in/storage/profile/ProfilePhoto_P25704030_279351.jpg","Download")</f>
        <v>0</v>
      </c>
      <c r="BQ1235" s="3"/>
      <c r="BR1235" s="3"/>
    </row>
    <row r="1236" spans="1:70">
      <c r="A1236" s="1" t="s">
        <v>967</v>
      </c>
      <c r="B1236" s="1" t="s">
        <v>1269</v>
      </c>
      <c r="C1236" s="1" t="s">
        <v>21856</v>
      </c>
      <c r="D1236" s="1" t="s">
        <v>21857</v>
      </c>
      <c r="E1236" s="1" t="s">
        <v>5088</v>
      </c>
      <c r="F1236" s="1" t="s">
        <v>13346</v>
      </c>
      <c r="G1236" s="1" t="s">
        <v>21858</v>
      </c>
      <c r="H1236" s="1" t="s">
        <v>21859</v>
      </c>
      <c r="I1236" s="1" t="s">
        <v>21860</v>
      </c>
      <c r="J1236" s="1">
        <v>7045705702</v>
      </c>
      <c r="K1236" s="1" t="s">
        <v>79</v>
      </c>
      <c r="L1236" s="1" t="s">
        <v>5990</v>
      </c>
      <c r="M1236" s="1" t="s">
        <v>81</v>
      </c>
      <c r="N1236" s="1" t="s">
        <v>9198</v>
      </c>
      <c r="O1236" s="1"/>
      <c r="P1236" s="1" t="s">
        <v>1323</v>
      </c>
      <c r="Q1236" s="1" t="s">
        <v>21861</v>
      </c>
      <c r="R1236" s="1" t="s">
        <v>5088</v>
      </c>
      <c r="S1236" s="1">
        <v>9892672860</v>
      </c>
      <c r="T1236" s="1" t="s">
        <v>763</v>
      </c>
      <c r="U1236" s="1" t="s">
        <v>1071</v>
      </c>
      <c r="V1236" s="1">
        <v>9967691349</v>
      </c>
      <c r="W1236" s="1" t="s">
        <v>156</v>
      </c>
      <c r="X1236" s="1" t="s">
        <v>21862</v>
      </c>
      <c r="Y1236" s="1" t="s">
        <v>1018</v>
      </c>
      <c r="Z1236" s="1" t="s">
        <v>92</v>
      </c>
      <c r="AA1236" s="1" t="s">
        <v>21863</v>
      </c>
      <c r="AB1236" s="1" t="s">
        <v>1018</v>
      </c>
      <c r="AC1236" s="1" t="s">
        <v>92</v>
      </c>
      <c r="AD1236" s="1" t="s">
        <v>93</v>
      </c>
      <c r="AE1236" s="1" t="s">
        <v>93</v>
      </c>
      <c r="AF1236" s="1" t="s">
        <v>21864</v>
      </c>
      <c r="AG1236" s="1" t="s">
        <v>21865</v>
      </c>
      <c r="AH1236" s="1" t="s">
        <v>162</v>
      </c>
      <c r="AI1236" s="1" t="s">
        <v>678</v>
      </c>
      <c r="AJ1236" s="1">
        <v>73.4</v>
      </c>
      <c r="AK1236" s="1"/>
      <c r="AL1236" s="1" t="s">
        <v>21866</v>
      </c>
      <c r="AM1236" s="1" t="s">
        <v>476</v>
      </c>
      <c r="AN1236" s="1" t="s">
        <v>101</v>
      </c>
      <c r="AO1236" s="1" t="s">
        <v>198</v>
      </c>
      <c r="AP1236" s="1">
        <v>58.46</v>
      </c>
      <c r="AQ1236" s="1"/>
      <c r="AR1236" s="1"/>
      <c r="AS1236" s="1"/>
      <c r="AT1236" s="1"/>
      <c r="AU1236" s="1"/>
      <c r="AV1236" s="1"/>
      <c r="AW1236" s="1"/>
      <c r="AX1236" s="1" t="s">
        <v>253</v>
      </c>
      <c r="AY1236" s="1" t="s">
        <v>21867</v>
      </c>
      <c r="AZ1236" s="1" t="s">
        <v>310</v>
      </c>
      <c r="BA1236" s="1" t="s">
        <v>1361</v>
      </c>
      <c r="BB1236" s="1">
        <v>59.65</v>
      </c>
      <c r="BC1236" s="1">
        <v>6.44</v>
      </c>
      <c r="BD1236" s="1"/>
      <c r="BE1236" s="1"/>
      <c r="BF1236" s="1"/>
      <c r="BG1236" s="1"/>
      <c r="BH1236" s="1"/>
      <c r="BI1236" s="1"/>
      <c r="BJ1236" s="1" t="s">
        <v>21868</v>
      </c>
      <c r="BK1236" s="1"/>
      <c r="BL1236" s="1"/>
      <c r="BM1236" s="1" t="s">
        <v>21869</v>
      </c>
      <c r="BN1236" s="1">
        <v>26</v>
      </c>
      <c r="BO1236" s="1"/>
      <c r="BP1236" s="1" t="str">
        <f>HYPERLINK("https://nconnect.nicmar.ac.in/storage/profile/ProfilePhoto_P25704032_987163.jpg","Download")</f>
        <v>0</v>
      </c>
      <c r="BQ1236" s="3"/>
      <c r="BR1236" s="3"/>
    </row>
    <row r="1237" spans="1:70">
      <c r="A1237" s="1" t="s">
        <v>967</v>
      </c>
      <c r="B1237" s="1" t="s">
        <v>1269</v>
      </c>
      <c r="C1237" s="1" t="s">
        <v>21870</v>
      </c>
      <c r="D1237" s="1" t="s">
        <v>4024</v>
      </c>
      <c r="E1237" s="1" t="s">
        <v>1455</v>
      </c>
      <c r="F1237" s="1" t="s">
        <v>21871</v>
      </c>
      <c r="G1237" s="1" t="s">
        <v>21872</v>
      </c>
      <c r="H1237" s="1" t="s">
        <v>21873</v>
      </c>
      <c r="I1237" s="1" t="s">
        <v>21874</v>
      </c>
      <c r="J1237" s="1">
        <v>8080197980</v>
      </c>
      <c r="K1237" s="1" t="s">
        <v>148</v>
      </c>
      <c r="L1237" s="1" t="s">
        <v>13630</v>
      </c>
      <c r="M1237" s="1" t="s">
        <v>81</v>
      </c>
      <c r="N1237" s="1" t="s">
        <v>6219</v>
      </c>
      <c r="O1237" s="1"/>
      <c r="P1237" s="1" t="s">
        <v>1766</v>
      </c>
      <c r="Q1237" s="1" t="s">
        <v>21875</v>
      </c>
      <c r="R1237" s="1" t="s">
        <v>1455</v>
      </c>
      <c r="S1237" s="1">
        <v>9423425141</v>
      </c>
      <c r="T1237" s="1" t="s">
        <v>13840</v>
      </c>
      <c r="U1237" s="1" t="s">
        <v>13025</v>
      </c>
      <c r="V1237" s="1">
        <v>7774996646</v>
      </c>
      <c r="W1237" s="1" t="s">
        <v>13840</v>
      </c>
      <c r="X1237" s="1" t="s">
        <v>21876</v>
      </c>
      <c r="Y1237" s="1" t="s">
        <v>5840</v>
      </c>
      <c r="Z1237" s="1" t="s">
        <v>92</v>
      </c>
      <c r="AA1237" s="1" t="s">
        <v>21876</v>
      </c>
      <c r="AB1237" s="1" t="s">
        <v>5840</v>
      </c>
      <c r="AC1237" s="1" t="s">
        <v>92</v>
      </c>
      <c r="AD1237" s="1" t="s">
        <v>93</v>
      </c>
      <c r="AE1237" s="1" t="s">
        <v>93</v>
      </c>
      <c r="AF1237" s="1" t="s">
        <v>21877</v>
      </c>
      <c r="AG1237" s="1" t="s">
        <v>21878</v>
      </c>
      <c r="AH1237" s="1" t="s">
        <v>162</v>
      </c>
      <c r="AI1237" s="1" t="s">
        <v>479</v>
      </c>
      <c r="AJ1237" s="1">
        <v>86.4</v>
      </c>
      <c r="AK1237" s="1">
        <v>0</v>
      </c>
      <c r="AL1237" s="1" t="s">
        <v>21879</v>
      </c>
      <c r="AM1237" s="1" t="s">
        <v>21878</v>
      </c>
      <c r="AN1237" s="1" t="s">
        <v>101</v>
      </c>
      <c r="AO1237" s="1" t="s">
        <v>308</v>
      </c>
      <c r="AP1237" s="1">
        <v>64.31</v>
      </c>
      <c r="AQ1237" s="1">
        <v>0</v>
      </c>
      <c r="AR1237" s="1"/>
      <c r="AS1237" s="1"/>
      <c r="AT1237" s="1"/>
      <c r="AU1237" s="1"/>
      <c r="AV1237" s="1"/>
      <c r="AW1237" s="1"/>
      <c r="AX1237" s="1" t="s">
        <v>361</v>
      </c>
      <c r="AY1237" s="1" t="s">
        <v>21880</v>
      </c>
      <c r="AZ1237" s="1" t="s">
        <v>920</v>
      </c>
      <c r="BA1237" s="1" t="s">
        <v>1714</v>
      </c>
      <c r="BB1237" s="1">
        <v>71</v>
      </c>
      <c r="BC1237" s="1">
        <v>7.85</v>
      </c>
      <c r="BD1237" s="1"/>
      <c r="BE1237" s="1"/>
      <c r="BF1237" s="1"/>
      <c r="BG1237" s="1"/>
      <c r="BH1237" s="1"/>
      <c r="BI1237" s="1"/>
      <c r="BJ1237" s="1" t="s">
        <v>21881</v>
      </c>
      <c r="BK1237" s="1"/>
      <c r="BL1237" s="1"/>
      <c r="BM1237" s="1" t="s">
        <v>21882</v>
      </c>
      <c r="BN1237" s="1">
        <v>29</v>
      </c>
      <c r="BO1237" s="1"/>
      <c r="BP1237" s="1" t="str">
        <f>HYPERLINK("https://nconnect.nicmar.ac.in/storage/profile/ProfilePhoto_P25704033_491638.jpg","Download")</f>
        <v>0</v>
      </c>
      <c r="BQ1237" s="3"/>
      <c r="BR1237" s="3"/>
    </row>
    <row r="1238" spans="1:70">
      <c r="A1238" s="1" t="s">
        <v>967</v>
      </c>
      <c r="B1238" s="1" t="s">
        <v>1269</v>
      </c>
      <c r="C1238" s="1" t="s">
        <v>21883</v>
      </c>
      <c r="D1238" s="1" t="s">
        <v>21884</v>
      </c>
      <c r="E1238" s="1" t="s">
        <v>21885</v>
      </c>
      <c r="F1238" s="1" t="s">
        <v>21886</v>
      </c>
      <c r="G1238" s="1" t="s">
        <v>21887</v>
      </c>
      <c r="H1238" s="1" t="s">
        <v>21888</v>
      </c>
      <c r="I1238" s="1" t="s">
        <v>21889</v>
      </c>
      <c r="J1238" s="1">
        <v>9730746349</v>
      </c>
      <c r="K1238" s="1" t="s">
        <v>148</v>
      </c>
      <c r="L1238" s="1" t="s">
        <v>21890</v>
      </c>
      <c r="M1238" s="1" t="s">
        <v>81</v>
      </c>
      <c r="N1238" s="1" t="s">
        <v>2008</v>
      </c>
      <c r="O1238" s="1"/>
      <c r="P1238" s="1" t="s">
        <v>1278</v>
      </c>
      <c r="Q1238" s="1" t="s">
        <v>21891</v>
      </c>
      <c r="R1238" s="1" t="s">
        <v>21892</v>
      </c>
      <c r="S1238" s="1">
        <v>9561522155</v>
      </c>
      <c r="T1238" s="1" t="s">
        <v>21893</v>
      </c>
      <c r="U1238" s="1" t="s">
        <v>21894</v>
      </c>
      <c r="V1238" s="1">
        <v>8390276010</v>
      </c>
      <c r="W1238" s="1" t="s">
        <v>89</v>
      </c>
      <c r="X1238" s="1" t="s">
        <v>21895</v>
      </c>
      <c r="Y1238" s="1" t="s">
        <v>567</v>
      </c>
      <c r="Z1238" s="1" t="s">
        <v>92</v>
      </c>
      <c r="AA1238" s="1" t="s">
        <v>21895</v>
      </c>
      <c r="AB1238" s="1" t="s">
        <v>567</v>
      </c>
      <c r="AC1238" s="1" t="s">
        <v>92</v>
      </c>
      <c r="AD1238" s="1" t="s">
        <v>93</v>
      </c>
      <c r="AE1238" s="1" t="s">
        <v>93</v>
      </c>
      <c r="AF1238" s="1" t="s">
        <v>21896</v>
      </c>
      <c r="AG1238" s="1" t="s">
        <v>160</v>
      </c>
      <c r="AH1238" s="1" t="s">
        <v>161</v>
      </c>
      <c r="AI1238" s="1" t="s">
        <v>479</v>
      </c>
      <c r="AJ1238" s="1">
        <v>89.6</v>
      </c>
      <c r="AK1238" s="1">
        <v>0</v>
      </c>
      <c r="AL1238" s="1" t="s">
        <v>21897</v>
      </c>
      <c r="AM1238" s="1" t="s">
        <v>160</v>
      </c>
      <c r="AN1238" s="1" t="s">
        <v>165</v>
      </c>
      <c r="AO1238" s="1" t="s">
        <v>198</v>
      </c>
      <c r="AP1238" s="1">
        <v>75.38</v>
      </c>
      <c r="AQ1238" s="1">
        <v>0</v>
      </c>
      <c r="AR1238" s="1"/>
      <c r="AS1238" s="1"/>
      <c r="AT1238" s="1"/>
      <c r="AU1238" s="1"/>
      <c r="AV1238" s="1"/>
      <c r="AW1238" s="1"/>
      <c r="AX1238" s="1" t="s">
        <v>361</v>
      </c>
      <c r="AY1238" s="1" t="s">
        <v>21898</v>
      </c>
      <c r="AZ1238" s="1" t="s">
        <v>363</v>
      </c>
      <c r="BA1238" s="1" t="s">
        <v>1408</v>
      </c>
      <c r="BB1238" s="1">
        <v>78.68</v>
      </c>
      <c r="BC1238" s="1">
        <v>8.64</v>
      </c>
      <c r="BD1238" s="1"/>
      <c r="BE1238" s="1"/>
      <c r="BF1238" s="1"/>
      <c r="BG1238" s="1"/>
      <c r="BH1238" s="1"/>
      <c r="BI1238" s="1"/>
      <c r="BJ1238" s="1" t="s">
        <v>21899</v>
      </c>
      <c r="BK1238" s="1"/>
      <c r="BL1238" s="1"/>
      <c r="BM1238" s="1" t="s">
        <v>21900</v>
      </c>
      <c r="BN1238" s="1">
        <v>29</v>
      </c>
      <c r="BO1238" s="1" t="s">
        <v>21901</v>
      </c>
      <c r="BP1238" s="1" t="str">
        <f>HYPERLINK("https://nconnect.nicmar.ac.in/storage/profile/ProfilePhoto_P25704034_924785.jpg","Download")</f>
        <v>0</v>
      </c>
      <c r="BQ1238" s="3"/>
      <c r="BR1238" s="3"/>
    </row>
    <row r="1239" spans="1:70">
      <c r="A1239" s="1" t="s">
        <v>967</v>
      </c>
      <c r="B1239" s="1" t="s">
        <v>1269</v>
      </c>
      <c r="C1239" s="1" t="s">
        <v>21902</v>
      </c>
      <c r="D1239" s="1" t="s">
        <v>793</v>
      </c>
      <c r="E1239" s="1" t="s">
        <v>3251</v>
      </c>
      <c r="F1239" s="1" t="s">
        <v>21903</v>
      </c>
      <c r="G1239" s="1" t="s">
        <v>21904</v>
      </c>
      <c r="H1239" s="1" t="s">
        <v>21905</v>
      </c>
      <c r="I1239" s="1" t="s">
        <v>21906</v>
      </c>
      <c r="J1239" s="1">
        <v>7719001252</v>
      </c>
      <c r="K1239" s="1" t="s">
        <v>79</v>
      </c>
      <c r="L1239" s="1" t="s">
        <v>9904</v>
      </c>
      <c r="M1239" s="1" t="s">
        <v>81</v>
      </c>
      <c r="N1239" s="1" t="s">
        <v>1618</v>
      </c>
      <c r="O1239" s="1"/>
      <c r="P1239" s="1" t="s">
        <v>1298</v>
      </c>
      <c r="Q1239" s="1" t="s">
        <v>21907</v>
      </c>
      <c r="R1239" s="1" t="s">
        <v>21908</v>
      </c>
      <c r="S1239" s="1">
        <v>9011333951</v>
      </c>
      <c r="T1239" s="1" t="s">
        <v>154</v>
      </c>
      <c r="U1239" s="1" t="s">
        <v>21909</v>
      </c>
      <c r="V1239" s="1">
        <v>9172429639</v>
      </c>
      <c r="W1239" s="1" t="s">
        <v>89</v>
      </c>
      <c r="X1239" s="1" t="s">
        <v>21910</v>
      </c>
      <c r="Y1239" s="1" t="s">
        <v>191</v>
      </c>
      <c r="Z1239" s="1" t="s">
        <v>92</v>
      </c>
      <c r="AA1239" s="1" t="s">
        <v>21910</v>
      </c>
      <c r="AB1239" s="1" t="s">
        <v>191</v>
      </c>
      <c r="AC1239" s="1" t="s">
        <v>92</v>
      </c>
      <c r="AD1239" s="1" t="s">
        <v>93</v>
      </c>
      <c r="AE1239" s="1" t="s">
        <v>93</v>
      </c>
      <c r="AF1239" s="1" t="s">
        <v>21911</v>
      </c>
      <c r="AG1239" s="1" t="s">
        <v>21912</v>
      </c>
      <c r="AH1239" s="1" t="s">
        <v>161</v>
      </c>
      <c r="AI1239" s="1" t="s">
        <v>456</v>
      </c>
      <c r="AJ1239" s="1">
        <v>89</v>
      </c>
      <c r="AK1239" s="1">
        <v>0</v>
      </c>
      <c r="AL1239" s="1" t="s">
        <v>21913</v>
      </c>
      <c r="AM1239" s="1" t="s">
        <v>21912</v>
      </c>
      <c r="AN1239" s="1" t="s">
        <v>165</v>
      </c>
      <c r="AO1239" s="1" t="s">
        <v>457</v>
      </c>
      <c r="AP1239" s="1">
        <v>63.23</v>
      </c>
      <c r="AQ1239" s="1">
        <v>0</v>
      </c>
      <c r="AR1239" s="1"/>
      <c r="AS1239" s="1"/>
      <c r="AT1239" s="1"/>
      <c r="AU1239" s="1"/>
      <c r="AV1239" s="1"/>
      <c r="AW1239" s="1"/>
      <c r="AX1239" s="1" t="s">
        <v>361</v>
      </c>
      <c r="AY1239" s="1" t="s">
        <v>21898</v>
      </c>
      <c r="AZ1239" s="1" t="s">
        <v>310</v>
      </c>
      <c r="BA1239" s="1" t="s">
        <v>702</v>
      </c>
      <c r="BB1239" s="1">
        <v>68.8</v>
      </c>
      <c r="BC1239" s="1">
        <v>7.63</v>
      </c>
      <c r="BD1239" s="1"/>
      <c r="BE1239" s="1"/>
      <c r="BF1239" s="1"/>
      <c r="BG1239" s="1"/>
      <c r="BH1239" s="1"/>
      <c r="BI1239" s="1"/>
      <c r="BJ1239" s="1" t="s">
        <v>21914</v>
      </c>
      <c r="BK1239" s="1" t="s">
        <v>21915</v>
      </c>
      <c r="BL1239" s="1" t="s">
        <v>4933</v>
      </c>
      <c r="BM1239" s="1" t="s">
        <v>21916</v>
      </c>
      <c r="BN1239" s="1">
        <v>27</v>
      </c>
      <c r="BO1239" s="1" t="s">
        <v>21917</v>
      </c>
      <c r="BP1239" s="1" t="str">
        <f>HYPERLINK("https://nconnect.nicmar.ac.in/storage/profile/ProfilePhoto_P25704035_451867.jpg","Download")</f>
        <v>0</v>
      </c>
      <c r="BQ1239" s="3"/>
      <c r="BR1239" s="3"/>
    </row>
    <row r="1240" spans="1:70">
      <c r="A1240" s="1" t="s">
        <v>967</v>
      </c>
      <c r="B1240" s="1" t="s">
        <v>1269</v>
      </c>
      <c r="C1240" s="1" t="s">
        <v>21918</v>
      </c>
      <c r="D1240" s="1" t="s">
        <v>10822</v>
      </c>
      <c r="E1240" s="1" t="s">
        <v>21919</v>
      </c>
      <c r="F1240" s="1" t="s">
        <v>21920</v>
      </c>
      <c r="G1240" s="1" t="s">
        <v>21921</v>
      </c>
      <c r="H1240" s="1" t="s">
        <v>21922</v>
      </c>
      <c r="I1240" s="1" t="s">
        <v>21923</v>
      </c>
      <c r="J1240" s="1">
        <v>8329655532</v>
      </c>
      <c r="K1240" s="1" t="s">
        <v>148</v>
      </c>
      <c r="L1240" s="1" t="s">
        <v>21924</v>
      </c>
      <c r="M1240" s="1" t="s">
        <v>81</v>
      </c>
      <c r="N1240" s="1" t="s">
        <v>3194</v>
      </c>
      <c r="O1240" s="1"/>
      <c r="P1240" s="1" t="s">
        <v>1278</v>
      </c>
      <c r="Q1240" s="1" t="s">
        <v>21925</v>
      </c>
      <c r="R1240" s="1" t="s">
        <v>21926</v>
      </c>
      <c r="S1240" s="1">
        <v>9993562305</v>
      </c>
      <c r="T1240" s="1" t="s">
        <v>472</v>
      </c>
      <c r="U1240" s="1" t="s">
        <v>21927</v>
      </c>
      <c r="V1240" s="1">
        <v>9589392305</v>
      </c>
      <c r="W1240" s="1" t="s">
        <v>273</v>
      </c>
      <c r="X1240" s="1" t="s">
        <v>21928</v>
      </c>
      <c r="Y1240" s="1" t="s">
        <v>328</v>
      </c>
      <c r="Z1240" s="1" t="s">
        <v>92</v>
      </c>
      <c r="AA1240" s="1" t="s">
        <v>21928</v>
      </c>
      <c r="AB1240" s="1" t="s">
        <v>328</v>
      </c>
      <c r="AC1240" s="1" t="s">
        <v>92</v>
      </c>
      <c r="AD1240" s="1" t="s">
        <v>93</v>
      </c>
      <c r="AE1240" s="1" t="s">
        <v>93</v>
      </c>
      <c r="AF1240" s="1" t="s">
        <v>11564</v>
      </c>
      <c r="AG1240" s="1" t="s">
        <v>21929</v>
      </c>
      <c r="AH1240" s="1" t="s">
        <v>162</v>
      </c>
      <c r="AI1240" s="1" t="s">
        <v>195</v>
      </c>
      <c r="AJ1240" s="1">
        <v>72.2</v>
      </c>
      <c r="AK1240" s="1">
        <v>7.6</v>
      </c>
      <c r="AL1240" s="1" t="s">
        <v>21930</v>
      </c>
      <c r="AM1240" s="1" t="s">
        <v>544</v>
      </c>
      <c r="AN1240" s="1" t="s">
        <v>383</v>
      </c>
      <c r="AO1240" s="1" t="s">
        <v>173</v>
      </c>
      <c r="AP1240" s="1">
        <v>68.15</v>
      </c>
      <c r="AQ1240" s="1"/>
      <c r="AR1240" s="1"/>
      <c r="AS1240" s="1"/>
      <c r="AT1240" s="1"/>
      <c r="AU1240" s="1"/>
      <c r="AV1240" s="1"/>
      <c r="AW1240" s="1"/>
      <c r="AX1240" s="1" t="s">
        <v>361</v>
      </c>
      <c r="AY1240" s="1" t="s">
        <v>21931</v>
      </c>
      <c r="AZ1240" s="1" t="s">
        <v>363</v>
      </c>
      <c r="BA1240" s="1" t="s">
        <v>1584</v>
      </c>
      <c r="BB1240" s="1">
        <v>63.5</v>
      </c>
      <c r="BC1240" s="1"/>
      <c r="BD1240" s="1"/>
      <c r="BE1240" s="1"/>
      <c r="BF1240" s="1"/>
      <c r="BG1240" s="1"/>
      <c r="BH1240" s="1"/>
      <c r="BI1240" s="1"/>
      <c r="BJ1240" s="1" t="s">
        <v>21932</v>
      </c>
      <c r="BK1240" s="1"/>
      <c r="BL1240" s="1"/>
      <c r="BM1240" s="1" t="s">
        <v>21933</v>
      </c>
      <c r="BN1240" s="1">
        <v>36</v>
      </c>
      <c r="BO1240" s="1"/>
      <c r="BP1240" s="1" t="str">
        <f>HYPERLINK("https://nconnect.nicmar.ac.in/storage/profile/ProfilePhoto_P25704036_238451.jpg","Download")</f>
        <v>0</v>
      </c>
      <c r="BQ1240" s="3"/>
      <c r="BR1240" s="3"/>
    </row>
    <row r="1241" spans="1:70">
      <c r="A1241" s="1" t="s">
        <v>967</v>
      </c>
      <c r="B1241" s="1" t="s">
        <v>1269</v>
      </c>
      <c r="C1241" s="1" t="s">
        <v>21934</v>
      </c>
      <c r="D1241" s="1" t="s">
        <v>2896</v>
      </c>
      <c r="E1241" s="1" t="s">
        <v>2289</v>
      </c>
      <c r="F1241" s="1" t="s">
        <v>2024</v>
      </c>
      <c r="G1241" s="1" t="s">
        <v>21935</v>
      </c>
      <c r="H1241" s="1" t="s">
        <v>21936</v>
      </c>
      <c r="I1241" s="1" t="s">
        <v>21937</v>
      </c>
      <c r="J1241" s="1">
        <v>9594412009</v>
      </c>
      <c r="K1241" s="1" t="s">
        <v>79</v>
      </c>
      <c r="L1241" s="1" t="s">
        <v>11661</v>
      </c>
      <c r="M1241" s="1" t="s">
        <v>81</v>
      </c>
      <c r="N1241" s="1" t="s">
        <v>1144</v>
      </c>
      <c r="O1241" s="1"/>
      <c r="P1241" s="1" t="s">
        <v>1323</v>
      </c>
      <c r="Q1241" s="1" t="s">
        <v>21938</v>
      </c>
      <c r="R1241" s="1" t="s">
        <v>21939</v>
      </c>
      <c r="S1241" s="1">
        <v>9594412009</v>
      </c>
      <c r="T1241" s="1" t="s">
        <v>120</v>
      </c>
      <c r="U1241" s="1" t="s">
        <v>21940</v>
      </c>
      <c r="V1241" s="1">
        <v>8425089688</v>
      </c>
      <c r="W1241" s="1" t="s">
        <v>273</v>
      </c>
      <c r="X1241" s="1" t="s">
        <v>21941</v>
      </c>
      <c r="Y1241" s="1" t="s">
        <v>1018</v>
      </c>
      <c r="Z1241" s="1" t="s">
        <v>92</v>
      </c>
      <c r="AA1241" s="1" t="s">
        <v>21941</v>
      </c>
      <c r="AB1241" s="1" t="s">
        <v>1018</v>
      </c>
      <c r="AC1241" s="1" t="s">
        <v>92</v>
      </c>
      <c r="AD1241" s="1" t="s">
        <v>93</v>
      </c>
      <c r="AE1241" s="1" t="s">
        <v>93</v>
      </c>
      <c r="AF1241" s="1" t="s">
        <v>21942</v>
      </c>
      <c r="AG1241" s="1" t="s">
        <v>160</v>
      </c>
      <c r="AH1241" s="1" t="s">
        <v>162</v>
      </c>
      <c r="AI1241" s="1" t="s">
        <v>195</v>
      </c>
      <c r="AJ1241" s="1">
        <v>73</v>
      </c>
      <c r="AK1241" s="1"/>
      <c r="AL1241" s="1" t="s">
        <v>21943</v>
      </c>
      <c r="AM1241" s="1" t="s">
        <v>160</v>
      </c>
      <c r="AN1241" s="1" t="s">
        <v>165</v>
      </c>
      <c r="AO1241" s="1" t="s">
        <v>198</v>
      </c>
      <c r="AP1241" s="1">
        <v>55.23</v>
      </c>
      <c r="AQ1241" s="1"/>
      <c r="AR1241" s="1"/>
      <c r="AS1241" s="1"/>
      <c r="AT1241" s="1"/>
      <c r="AU1241" s="1"/>
      <c r="AV1241" s="1"/>
      <c r="AW1241" s="1"/>
      <c r="AX1241" s="1" t="s">
        <v>1024</v>
      </c>
      <c r="AY1241" s="1" t="s">
        <v>21944</v>
      </c>
      <c r="AZ1241" s="1" t="s">
        <v>506</v>
      </c>
      <c r="BA1241" s="1" t="s">
        <v>1361</v>
      </c>
      <c r="BB1241" s="1">
        <v>66.39</v>
      </c>
      <c r="BC1241" s="1">
        <v>7.35</v>
      </c>
      <c r="BD1241" s="1"/>
      <c r="BE1241" s="1"/>
      <c r="BF1241" s="1"/>
      <c r="BG1241" s="1"/>
      <c r="BH1241" s="1"/>
      <c r="BI1241" s="1"/>
      <c r="BJ1241" s="1" t="s">
        <v>21945</v>
      </c>
      <c r="BK1241" s="1"/>
      <c r="BL1241" s="1"/>
      <c r="BM1241" s="1" t="s">
        <v>21946</v>
      </c>
      <c r="BN1241" s="1">
        <v>24</v>
      </c>
      <c r="BO1241" s="1"/>
      <c r="BP1241" s="1" t="str">
        <f>HYPERLINK("https://nconnect.nicmar.ac.in/storage/profile/ProfilePhoto_P25704038_832517.jpg","Download")</f>
        <v>0</v>
      </c>
      <c r="BQ1241" s="3"/>
      <c r="BR1241" s="3"/>
    </row>
  </sheetData>
  <hyperlinks>
    <hyperlink ref="BP2" r:id="rId_hyperlink_1" tooltip="Download" display="Download"/>
    <hyperlink ref="BP3" r:id="rId_hyperlink_2" tooltip="Download" display="Download"/>
    <hyperlink ref="BP4" r:id="rId_hyperlink_3" tooltip="Download" display="Download"/>
    <hyperlink ref="BP5" r:id="rId_hyperlink_4" tooltip="Download" display="Download"/>
    <hyperlink ref="BP6" r:id="rId_hyperlink_5" tooltip="Download" display="Download"/>
    <hyperlink ref="BP7" r:id="rId_hyperlink_6" tooltip="Download" display="Download"/>
    <hyperlink ref="BP8" r:id="rId_hyperlink_7" tooltip="Download" display="Download"/>
    <hyperlink ref="BP9" r:id="rId_hyperlink_8" tooltip="Download" display="Download"/>
    <hyperlink ref="BP10" r:id="rId_hyperlink_9" tooltip="Download" display="Download"/>
    <hyperlink ref="BP11" r:id="rId_hyperlink_10" tooltip="Download" display="Download"/>
    <hyperlink ref="BP12" r:id="rId_hyperlink_11" tooltip="Download" display="Download"/>
    <hyperlink ref="BP13" r:id="rId_hyperlink_12" tooltip="Download" display="Download"/>
    <hyperlink ref="BP14" r:id="rId_hyperlink_13" tooltip="Download" display="Download"/>
    <hyperlink ref="BP15" r:id="rId_hyperlink_14" tooltip="Download" display="Download"/>
    <hyperlink ref="BP16" r:id="rId_hyperlink_15" tooltip="Download" display="Download"/>
    <hyperlink ref="BP17" r:id="rId_hyperlink_16" tooltip="Download" display="Download"/>
    <hyperlink ref="BP18" r:id="rId_hyperlink_17" tooltip="Download" display="Download"/>
    <hyperlink ref="BP19" r:id="rId_hyperlink_18" tooltip="Download" display="Download"/>
    <hyperlink ref="BP20" r:id="rId_hyperlink_19" tooltip="Download" display="Download"/>
    <hyperlink ref="BP21" r:id="rId_hyperlink_20" tooltip="Download" display="Download"/>
    <hyperlink ref="BP22" r:id="rId_hyperlink_21" tooltip="Download" display="Download"/>
    <hyperlink ref="BP23" r:id="rId_hyperlink_22" tooltip="Download" display="Download"/>
    <hyperlink ref="BP24" r:id="rId_hyperlink_23" tooltip="Download" display="Download"/>
    <hyperlink ref="BP25" r:id="rId_hyperlink_24" tooltip="Download" display="Download"/>
    <hyperlink ref="BP26" r:id="rId_hyperlink_25" tooltip="Download" display="Download"/>
    <hyperlink ref="BP27" r:id="rId_hyperlink_26" tooltip="Download" display="Download"/>
    <hyperlink ref="BP28" r:id="rId_hyperlink_27" tooltip="Download" display="Download"/>
    <hyperlink ref="BP29" r:id="rId_hyperlink_28" tooltip="Download" display="Download"/>
    <hyperlink ref="BP30" r:id="rId_hyperlink_29" tooltip="Download" display="Download"/>
    <hyperlink ref="BP31" r:id="rId_hyperlink_30" tooltip="Download" display="Download"/>
    <hyperlink ref="BP32" r:id="rId_hyperlink_31" tooltip="Download" display="Download"/>
    <hyperlink ref="BP33" r:id="rId_hyperlink_32" tooltip="Download" display="Download"/>
    <hyperlink ref="BP34" r:id="rId_hyperlink_33" tooltip="Download" display="Download"/>
    <hyperlink ref="BP35" r:id="rId_hyperlink_34" tooltip="Download" display="Download"/>
    <hyperlink ref="BP36" r:id="rId_hyperlink_35" tooltip="Download" display="Download"/>
    <hyperlink ref="BP37" r:id="rId_hyperlink_36" tooltip="Download" display="Download"/>
    <hyperlink ref="BP38" r:id="rId_hyperlink_37" tooltip="Download" display="Download"/>
    <hyperlink ref="BP39" r:id="rId_hyperlink_38" tooltip="Download" display="Download"/>
    <hyperlink ref="BP40" r:id="rId_hyperlink_39" tooltip="Download" display="Download"/>
    <hyperlink ref="BP41" r:id="rId_hyperlink_40" tooltip="Download" display="Download"/>
    <hyperlink ref="BP43" r:id="rId_hyperlink_41" tooltip="Download" display="Download"/>
    <hyperlink ref="BP44" r:id="rId_hyperlink_42" tooltip="Download" display="Download"/>
    <hyperlink ref="BP45" r:id="rId_hyperlink_43" tooltip="Download" display="Download"/>
    <hyperlink ref="BP46" r:id="rId_hyperlink_44" tooltip="Download" display="Download"/>
    <hyperlink ref="BP47" r:id="rId_hyperlink_45" tooltip="Download" display="Download"/>
    <hyperlink ref="BP48" r:id="rId_hyperlink_46" tooltip="Download" display="Download"/>
    <hyperlink ref="BP49" r:id="rId_hyperlink_47" tooltip="Download" display="Download"/>
    <hyperlink ref="BP50" r:id="rId_hyperlink_48" tooltip="Download" display="Download"/>
    <hyperlink ref="BP51" r:id="rId_hyperlink_49" tooltip="Download" display="Download"/>
    <hyperlink ref="BP52" r:id="rId_hyperlink_50" tooltip="Download" display="Download"/>
    <hyperlink ref="BP53" r:id="rId_hyperlink_51" tooltip="Download" display="Download"/>
    <hyperlink ref="BP54" r:id="rId_hyperlink_52" tooltip="Download" display="Download"/>
    <hyperlink ref="BP55" r:id="rId_hyperlink_53" tooltip="Download" display="Download"/>
    <hyperlink ref="BP56" r:id="rId_hyperlink_54" tooltip="Download" display="Download"/>
    <hyperlink ref="BP57" r:id="rId_hyperlink_55" tooltip="Download" display="Download"/>
    <hyperlink ref="BP58" r:id="rId_hyperlink_56" tooltip="Download" display="Download"/>
    <hyperlink ref="BP59" r:id="rId_hyperlink_57" tooltip="Download" display="Download"/>
    <hyperlink ref="BP60" r:id="rId_hyperlink_58" tooltip="Download" display="Download"/>
    <hyperlink ref="BP61" r:id="rId_hyperlink_59" tooltip="Download" display="Download"/>
    <hyperlink ref="BP62" r:id="rId_hyperlink_60" tooltip="Download" display="Download"/>
    <hyperlink ref="BP63" r:id="rId_hyperlink_61" tooltip="Download" display="Download"/>
    <hyperlink ref="BP64" r:id="rId_hyperlink_62" tooltip="Download" display="Download"/>
    <hyperlink ref="BP65" r:id="rId_hyperlink_63" tooltip="Download" display="Download"/>
    <hyperlink ref="BP66" r:id="rId_hyperlink_64" tooltip="Download" display="Download"/>
    <hyperlink ref="BP67" r:id="rId_hyperlink_65" tooltip="Download" display="Download"/>
    <hyperlink ref="BP68" r:id="rId_hyperlink_66" tooltip="Download" display="Download"/>
    <hyperlink ref="BP69" r:id="rId_hyperlink_67" tooltip="Download" display="Download"/>
    <hyperlink ref="BP70" r:id="rId_hyperlink_68" tooltip="Download" display="Download"/>
    <hyperlink ref="BP71" r:id="rId_hyperlink_69" tooltip="Download" display="Download"/>
    <hyperlink ref="BP72" r:id="rId_hyperlink_70" tooltip="Download" display="Download"/>
    <hyperlink ref="BP73" r:id="rId_hyperlink_71" tooltip="Download" display="Download"/>
    <hyperlink ref="BP74" r:id="rId_hyperlink_72" tooltip="Download" display="Download"/>
    <hyperlink ref="BP75" r:id="rId_hyperlink_73" tooltip="Download" display="Download"/>
    <hyperlink ref="BP76" r:id="rId_hyperlink_74" tooltip="Download" display="Download"/>
    <hyperlink ref="BP77" r:id="rId_hyperlink_75" tooltip="Download" display="Download"/>
    <hyperlink ref="BP78" r:id="rId_hyperlink_76" tooltip="Download" display="Download"/>
    <hyperlink ref="BP79" r:id="rId_hyperlink_77" tooltip="Download" display="Download"/>
    <hyperlink ref="BP80" r:id="rId_hyperlink_78" tooltip="Download" display="Download"/>
    <hyperlink ref="BP81" r:id="rId_hyperlink_79" tooltip="Download" display="Download"/>
    <hyperlink ref="BP82" r:id="rId_hyperlink_80" tooltip="Download" display="Download"/>
    <hyperlink ref="BP83" r:id="rId_hyperlink_81" tooltip="Download" display="Download"/>
    <hyperlink ref="BP84" r:id="rId_hyperlink_82" tooltip="Download" display="Download"/>
    <hyperlink ref="BP85" r:id="rId_hyperlink_83" tooltip="Download" display="Download"/>
    <hyperlink ref="BP86" r:id="rId_hyperlink_84" tooltip="Download" display="Download"/>
    <hyperlink ref="BP87" r:id="rId_hyperlink_85" tooltip="Download" display="Download"/>
    <hyperlink ref="BP88" r:id="rId_hyperlink_86" tooltip="Download" display="Download"/>
    <hyperlink ref="BP89" r:id="rId_hyperlink_87" tooltip="Download" display="Download"/>
    <hyperlink ref="BP90" r:id="rId_hyperlink_88" tooltip="Download" display="Download"/>
    <hyperlink ref="BP91" r:id="rId_hyperlink_89" tooltip="Download" display="Download"/>
    <hyperlink ref="BP92" r:id="rId_hyperlink_90" tooltip="Download" display="Download"/>
    <hyperlink ref="BP93" r:id="rId_hyperlink_91" tooltip="Download" display="Download"/>
    <hyperlink ref="BP94" r:id="rId_hyperlink_92" tooltip="Download" display="Download"/>
    <hyperlink ref="BP95" r:id="rId_hyperlink_93" tooltip="Download" display="Download"/>
    <hyperlink ref="BP96" r:id="rId_hyperlink_94" tooltip="Download" display="Download"/>
    <hyperlink ref="BP97" r:id="rId_hyperlink_95" tooltip="Download" display="Download"/>
    <hyperlink ref="BP98" r:id="rId_hyperlink_96" tooltip="Download" display="Download"/>
    <hyperlink ref="BP99" r:id="rId_hyperlink_97" tooltip="Download" display="Download"/>
    <hyperlink ref="BP100" r:id="rId_hyperlink_98" tooltip="Download" display="Download"/>
    <hyperlink ref="BP101" r:id="rId_hyperlink_99" tooltip="Download" display="Download"/>
    <hyperlink ref="BP102" r:id="rId_hyperlink_100" tooltip="Download" display="Download"/>
    <hyperlink ref="BP103" r:id="rId_hyperlink_101" tooltip="Download" display="Download"/>
    <hyperlink ref="BP104" r:id="rId_hyperlink_102" tooltip="Download" display="Download"/>
    <hyperlink ref="BP105" r:id="rId_hyperlink_103" tooltip="Download" display="Download"/>
    <hyperlink ref="BP106" r:id="rId_hyperlink_104" tooltip="Download" display="Download"/>
    <hyperlink ref="BP107" r:id="rId_hyperlink_105" tooltip="Download" display="Download"/>
    <hyperlink ref="BP108" r:id="rId_hyperlink_106" tooltip="Download" display="Download"/>
    <hyperlink ref="BP109" r:id="rId_hyperlink_107" tooltip="Download" display="Download"/>
    <hyperlink ref="BP110" r:id="rId_hyperlink_108" tooltip="Download" display="Download"/>
    <hyperlink ref="BP111" r:id="rId_hyperlink_109" tooltip="Download" display="Download"/>
    <hyperlink ref="BP112" r:id="rId_hyperlink_110" tooltip="Download" display="Download"/>
    <hyperlink ref="BP113" r:id="rId_hyperlink_111" tooltip="Download" display="Download"/>
    <hyperlink ref="BP114" r:id="rId_hyperlink_112" tooltip="Download" display="Download"/>
    <hyperlink ref="BP115" r:id="rId_hyperlink_113" tooltip="Download" display="Download"/>
    <hyperlink ref="BP116" r:id="rId_hyperlink_114" tooltip="Download" display="Download"/>
    <hyperlink ref="BP117" r:id="rId_hyperlink_115" tooltip="Download" display="Download"/>
    <hyperlink ref="BP118" r:id="rId_hyperlink_116" tooltip="Download" display="Download"/>
    <hyperlink ref="BP119" r:id="rId_hyperlink_117" tooltip="Download" display="Download"/>
    <hyperlink ref="BP120" r:id="rId_hyperlink_118" tooltip="Download" display="Download"/>
    <hyperlink ref="BP121" r:id="rId_hyperlink_119" tooltip="Download" display="Download"/>
    <hyperlink ref="BP122" r:id="rId_hyperlink_120" tooltip="Download" display="Download"/>
    <hyperlink ref="BP123" r:id="rId_hyperlink_121" tooltip="Download" display="Download"/>
    <hyperlink ref="BP124" r:id="rId_hyperlink_122" tooltip="Download" display="Download"/>
    <hyperlink ref="BP125" r:id="rId_hyperlink_123" tooltip="Download" display="Download"/>
    <hyperlink ref="BP126" r:id="rId_hyperlink_124" tooltip="Download" display="Download"/>
    <hyperlink ref="BP127" r:id="rId_hyperlink_125" tooltip="Download" display="Download"/>
    <hyperlink ref="BP128" r:id="rId_hyperlink_126" tooltip="Download" display="Download"/>
    <hyperlink ref="BP129" r:id="rId_hyperlink_127" tooltip="Download" display="Download"/>
    <hyperlink ref="BP130" r:id="rId_hyperlink_128" tooltip="Download" display="Download"/>
    <hyperlink ref="BP131" r:id="rId_hyperlink_129" tooltip="Download" display="Download"/>
    <hyperlink ref="BP132" r:id="rId_hyperlink_130" tooltip="Download" display="Download"/>
    <hyperlink ref="BP133" r:id="rId_hyperlink_131" tooltip="Download" display="Download"/>
    <hyperlink ref="BP134" r:id="rId_hyperlink_132" tooltip="Download" display="Download"/>
    <hyperlink ref="BP135" r:id="rId_hyperlink_133" tooltip="Download" display="Download"/>
    <hyperlink ref="BP136" r:id="rId_hyperlink_134" tooltip="Download" display="Download"/>
    <hyperlink ref="BP137" r:id="rId_hyperlink_135" tooltip="Download" display="Download"/>
    <hyperlink ref="BP138" r:id="rId_hyperlink_136" tooltip="Download" display="Download"/>
    <hyperlink ref="BP139" r:id="rId_hyperlink_137" tooltip="Download" display="Download"/>
    <hyperlink ref="BP140" r:id="rId_hyperlink_138" tooltip="Download" display="Download"/>
    <hyperlink ref="BP141" r:id="rId_hyperlink_139" tooltip="Download" display="Download"/>
    <hyperlink ref="BP142" r:id="rId_hyperlink_140" tooltip="Download" display="Download"/>
    <hyperlink ref="BP143" r:id="rId_hyperlink_141" tooltip="Download" display="Download"/>
    <hyperlink ref="BP144" r:id="rId_hyperlink_142" tooltip="Download" display="Download"/>
    <hyperlink ref="BP145" r:id="rId_hyperlink_143" tooltip="Download" display="Download"/>
    <hyperlink ref="BP146" r:id="rId_hyperlink_144" tooltip="Download" display="Download"/>
    <hyperlink ref="BP147" r:id="rId_hyperlink_145" tooltip="Download" display="Download"/>
    <hyperlink ref="BP148" r:id="rId_hyperlink_146" tooltip="Download" display="Download"/>
    <hyperlink ref="BP149" r:id="rId_hyperlink_147" tooltip="Download" display="Download"/>
    <hyperlink ref="BP150" r:id="rId_hyperlink_148" tooltip="Download" display="Download"/>
    <hyperlink ref="BP151" r:id="rId_hyperlink_149" tooltip="Download" display="Download"/>
    <hyperlink ref="BP152" r:id="rId_hyperlink_150" tooltip="Download" display="Download"/>
    <hyperlink ref="BP153" r:id="rId_hyperlink_151" tooltip="Download" display="Download"/>
    <hyperlink ref="BP154" r:id="rId_hyperlink_152" tooltip="Download" display="Download"/>
    <hyperlink ref="BP155" r:id="rId_hyperlink_153" tooltip="Download" display="Download"/>
    <hyperlink ref="BP156" r:id="rId_hyperlink_154" tooltip="Download" display="Download"/>
    <hyperlink ref="BP157" r:id="rId_hyperlink_155" tooltip="Download" display="Download"/>
    <hyperlink ref="BP158" r:id="rId_hyperlink_156" tooltip="Download" display="Download"/>
    <hyperlink ref="BP159" r:id="rId_hyperlink_157" tooltip="Download" display="Download"/>
    <hyperlink ref="BP160" r:id="rId_hyperlink_158" tooltip="Download" display="Download"/>
    <hyperlink ref="BP161" r:id="rId_hyperlink_159" tooltip="Download" display="Download"/>
    <hyperlink ref="BP162" r:id="rId_hyperlink_160" tooltip="Download" display="Download"/>
    <hyperlink ref="BP163" r:id="rId_hyperlink_161" tooltip="Download" display="Download"/>
    <hyperlink ref="BP164" r:id="rId_hyperlink_162" tooltip="Download" display="Download"/>
    <hyperlink ref="BP165" r:id="rId_hyperlink_163" tooltip="Download" display="Download"/>
    <hyperlink ref="BP166" r:id="rId_hyperlink_164" tooltip="Download" display="Download"/>
    <hyperlink ref="BP167" r:id="rId_hyperlink_165" tooltip="Download" display="Download"/>
    <hyperlink ref="BP168" r:id="rId_hyperlink_166" tooltip="Download" display="Download"/>
    <hyperlink ref="BP169" r:id="rId_hyperlink_167" tooltip="Download" display="Download"/>
    <hyperlink ref="BP170" r:id="rId_hyperlink_168" tooltip="Download" display="Download"/>
    <hyperlink ref="BP171" r:id="rId_hyperlink_169" tooltip="Download" display="Download"/>
    <hyperlink ref="BP172" r:id="rId_hyperlink_170" tooltip="Download" display="Download"/>
    <hyperlink ref="BP173" r:id="rId_hyperlink_171" tooltip="Download" display="Download"/>
    <hyperlink ref="BP174" r:id="rId_hyperlink_172" tooltip="Download" display="Download"/>
    <hyperlink ref="BP175" r:id="rId_hyperlink_173" tooltip="Download" display="Download"/>
    <hyperlink ref="BP176" r:id="rId_hyperlink_174" tooltip="Download" display="Download"/>
    <hyperlink ref="BP177" r:id="rId_hyperlink_175" tooltip="Download" display="Download"/>
    <hyperlink ref="BP178" r:id="rId_hyperlink_176" tooltip="Download" display="Download"/>
    <hyperlink ref="BP179" r:id="rId_hyperlink_177" tooltip="Download" display="Download"/>
    <hyperlink ref="BP180" r:id="rId_hyperlink_178" tooltip="Download" display="Download"/>
    <hyperlink ref="BP181" r:id="rId_hyperlink_179" tooltip="Download" display="Download"/>
    <hyperlink ref="BP182" r:id="rId_hyperlink_180" tooltip="Download" display="Download"/>
    <hyperlink ref="BP183" r:id="rId_hyperlink_181" tooltip="Download" display="Download"/>
    <hyperlink ref="BP184" r:id="rId_hyperlink_182" tooltip="Download" display="Download"/>
    <hyperlink ref="BP185" r:id="rId_hyperlink_183" tooltip="Download" display="Download"/>
    <hyperlink ref="BP186" r:id="rId_hyperlink_184" tooltip="Download" display="Download"/>
    <hyperlink ref="BP187" r:id="rId_hyperlink_185" tooltip="Download" display="Download"/>
    <hyperlink ref="BP188" r:id="rId_hyperlink_186" tooltip="Download" display="Download"/>
    <hyperlink ref="BP189" r:id="rId_hyperlink_187" tooltip="Download" display="Download"/>
    <hyperlink ref="BP190" r:id="rId_hyperlink_188" tooltip="Download" display="Download"/>
    <hyperlink ref="BP191" r:id="rId_hyperlink_189" tooltip="Download" display="Download"/>
    <hyperlink ref="BP192" r:id="rId_hyperlink_190" tooltip="Download" display="Download"/>
    <hyperlink ref="BP193" r:id="rId_hyperlink_191" tooltip="Download" display="Download"/>
    <hyperlink ref="BP194" r:id="rId_hyperlink_192" tooltip="Download" display="Download"/>
    <hyperlink ref="BP195" r:id="rId_hyperlink_193" tooltip="Download" display="Download"/>
    <hyperlink ref="BP196" r:id="rId_hyperlink_194" tooltip="Download" display="Download"/>
    <hyperlink ref="BP197" r:id="rId_hyperlink_195" tooltip="Download" display="Download"/>
    <hyperlink ref="BP198" r:id="rId_hyperlink_196" tooltip="Download" display="Download"/>
    <hyperlink ref="BP199" r:id="rId_hyperlink_197" tooltip="Download" display="Download"/>
    <hyperlink ref="BP200" r:id="rId_hyperlink_198" tooltip="Download" display="Download"/>
    <hyperlink ref="BP201" r:id="rId_hyperlink_199" tooltip="Download" display="Download"/>
    <hyperlink ref="BP202" r:id="rId_hyperlink_200" tooltip="Download" display="Download"/>
    <hyperlink ref="BP203" r:id="rId_hyperlink_201" tooltip="Download" display="Download"/>
    <hyperlink ref="BP204" r:id="rId_hyperlink_202" tooltip="Download" display="Download"/>
    <hyperlink ref="BP205" r:id="rId_hyperlink_203" tooltip="Download" display="Download"/>
    <hyperlink ref="BP206" r:id="rId_hyperlink_204" tooltip="Download" display="Download"/>
    <hyperlink ref="BP207" r:id="rId_hyperlink_205" tooltip="Download" display="Download"/>
    <hyperlink ref="BP208" r:id="rId_hyperlink_206" tooltip="Download" display="Download"/>
    <hyperlink ref="BP209" r:id="rId_hyperlink_207" tooltip="Download" display="Download"/>
    <hyperlink ref="BP210" r:id="rId_hyperlink_208" tooltip="Download" display="Download"/>
    <hyperlink ref="BP211" r:id="rId_hyperlink_209" tooltip="Download" display="Download"/>
    <hyperlink ref="BP212" r:id="rId_hyperlink_210" tooltip="Download" display="Download"/>
    <hyperlink ref="BP213" r:id="rId_hyperlink_211" tooltip="Download" display="Download"/>
    <hyperlink ref="BP214" r:id="rId_hyperlink_212" tooltip="Download" display="Download"/>
    <hyperlink ref="BP215" r:id="rId_hyperlink_213" tooltip="Download" display="Download"/>
    <hyperlink ref="BP216" r:id="rId_hyperlink_214" tooltip="Download" display="Download"/>
    <hyperlink ref="BP217" r:id="rId_hyperlink_215" tooltip="Download" display="Download"/>
    <hyperlink ref="BP218" r:id="rId_hyperlink_216" tooltip="Download" display="Download"/>
    <hyperlink ref="BP219" r:id="rId_hyperlink_217" tooltip="Download" display="Download"/>
    <hyperlink ref="BP220" r:id="rId_hyperlink_218" tooltip="Download" display="Download"/>
    <hyperlink ref="BP221" r:id="rId_hyperlink_219" tooltip="Download" display="Download"/>
    <hyperlink ref="BP222" r:id="rId_hyperlink_220" tooltip="Download" display="Download"/>
    <hyperlink ref="BP223" r:id="rId_hyperlink_221" tooltip="Download" display="Download"/>
    <hyperlink ref="BP224" r:id="rId_hyperlink_222" tooltip="Download" display="Download"/>
    <hyperlink ref="BP225" r:id="rId_hyperlink_223" tooltip="Download" display="Download"/>
    <hyperlink ref="BP226" r:id="rId_hyperlink_224" tooltip="Download" display="Download"/>
    <hyperlink ref="BP227" r:id="rId_hyperlink_225" tooltip="Download" display="Download"/>
    <hyperlink ref="BP228" r:id="rId_hyperlink_226" tooltip="Download" display="Download"/>
    <hyperlink ref="BP229" r:id="rId_hyperlink_227" tooltip="Download" display="Download"/>
    <hyperlink ref="BP230" r:id="rId_hyperlink_228" tooltip="Download" display="Download"/>
    <hyperlink ref="BP231" r:id="rId_hyperlink_229" tooltip="Download" display="Download"/>
    <hyperlink ref="BP232" r:id="rId_hyperlink_230" tooltip="Download" display="Download"/>
    <hyperlink ref="BP233" r:id="rId_hyperlink_231" tooltip="Download" display="Download"/>
    <hyperlink ref="BP234" r:id="rId_hyperlink_232" tooltip="Download" display="Download"/>
    <hyperlink ref="BP235" r:id="rId_hyperlink_233" tooltip="Download" display="Download"/>
    <hyperlink ref="BP236" r:id="rId_hyperlink_234" tooltip="Download" display="Download"/>
    <hyperlink ref="BP237" r:id="rId_hyperlink_235" tooltip="Download" display="Download"/>
    <hyperlink ref="BP238" r:id="rId_hyperlink_236" tooltip="Download" display="Download"/>
    <hyperlink ref="BP239" r:id="rId_hyperlink_237" tooltip="Download" display="Download"/>
    <hyperlink ref="BP240" r:id="rId_hyperlink_238" tooltip="Download" display="Download"/>
    <hyperlink ref="BP241" r:id="rId_hyperlink_239" tooltip="Download" display="Download"/>
    <hyperlink ref="BP242" r:id="rId_hyperlink_240" tooltip="Download" display="Download"/>
    <hyperlink ref="BP243" r:id="rId_hyperlink_241" tooltip="Download" display="Download"/>
    <hyperlink ref="BP244" r:id="rId_hyperlink_242" tooltip="Download" display="Download"/>
    <hyperlink ref="BP245" r:id="rId_hyperlink_243" tooltip="Download" display="Download"/>
    <hyperlink ref="BP246" r:id="rId_hyperlink_244" tooltip="Download" display="Download"/>
    <hyperlink ref="BP247" r:id="rId_hyperlink_245" tooltip="Download" display="Download"/>
    <hyperlink ref="BP248" r:id="rId_hyperlink_246" tooltip="Download" display="Download"/>
    <hyperlink ref="BP249" r:id="rId_hyperlink_247" tooltip="Download" display="Download"/>
    <hyperlink ref="BP250" r:id="rId_hyperlink_248" tooltip="Download" display="Download"/>
    <hyperlink ref="BP251" r:id="rId_hyperlink_249" tooltip="Download" display="Download"/>
    <hyperlink ref="BP252" r:id="rId_hyperlink_250" tooltip="Download" display="Download"/>
    <hyperlink ref="BP253" r:id="rId_hyperlink_251" tooltip="Download" display="Download"/>
    <hyperlink ref="BP254" r:id="rId_hyperlink_252" tooltip="Download" display="Download"/>
    <hyperlink ref="BP255" r:id="rId_hyperlink_253" tooltip="Download" display="Download"/>
    <hyperlink ref="BP256" r:id="rId_hyperlink_254" tooltip="Download" display="Download"/>
    <hyperlink ref="BP257" r:id="rId_hyperlink_255" tooltip="Download" display="Download"/>
    <hyperlink ref="BP258" r:id="rId_hyperlink_256" tooltip="Download" display="Download"/>
    <hyperlink ref="BP259" r:id="rId_hyperlink_257" tooltip="Download" display="Download"/>
    <hyperlink ref="BP260" r:id="rId_hyperlink_258" tooltip="Download" display="Download"/>
    <hyperlink ref="BP261" r:id="rId_hyperlink_259" tooltip="Download" display="Download"/>
    <hyperlink ref="BP262" r:id="rId_hyperlink_260" tooltip="Download" display="Download"/>
    <hyperlink ref="BP263" r:id="rId_hyperlink_261" tooltip="Download" display="Download"/>
    <hyperlink ref="BP264" r:id="rId_hyperlink_262" tooltip="Download" display="Download"/>
    <hyperlink ref="BP265" r:id="rId_hyperlink_263" tooltip="Download" display="Download"/>
    <hyperlink ref="BP266" r:id="rId_hyperlink_264" tooltip="Download" display="Download"/>
    <hyperlink ref="BP267" r:id="rId_hyperlink_265" tooltip="Download" display="Download"/>
    <hyperlink ref="BP268" r:id="rId_hyperlink_266" tooltip="Download" display="Download"/>
    <hyperlink ref="BP269" r:id="rId_hyperlink_267" tooltip="Download" display="Download"/>
    <hyperlink ref="BP270" r:id="rId_hyperlink_268" tooltip="Download" display="Download"/>
    <hyperlink ref="BP271" r:id="rId_hyperlink_269" tooltip="Download" display="Download"/>
    <hyperlink ref="BP272" r:id="rId_hyperlink_270" tooltip="Download" display="Download"/>
    <hyperlink ref="BP273" r:id="rId_hyperlink_271" tooltip="Download" display="Download"/>
    <hyperlink ref="BP274" r:id="rId_hyperlink_272" tooltip="Download" display="Download"/>
    <hyperlink ref="BP275" r:id="rId_hyperlink_273" tooltip="Download" display="Download"/>
    <hyperlink ref="BP276" r:id="rId_hyperlink_274" tooltip="Download" display="Download"/>
    <hyperlink ref="BP277" r:id="rId_hyperlink_275" tooltip="Download" display="Download"/>
    <hyperlink ref="BP278" r:id="rId_hyperlink_276" tooltip="Download" display="Download"/>
    <hyperlink ref="BP279" r:id="rId_hyperlink_277" tooltip="Download" display="Download"/>
    <hyperlink ref="BP280" r:id="rId_hyperlink_278" tooltip="Download" display="Download"/>
    <hyperlink ref="BP281" r:id="rId_hyperlink_279" tooltip="Download" display="Download"/>
    <hyperlink ref="BP282" r:id="rId_hyperlink_280" tooltip="Download" display="Download"/>
    <hyperlink ref="BP283" r:id="rId_hyperlink_281" tooltip="Download" display="Download"/>
    <hyperlink ref="BP284" r:id="rId_hyperlink_282" tooltip="Download" display="Download"/>
    <hyperlink ref="BP285" r:id="rId_hyperlink_283" tooltip="Download" display="Download"/>
    <hyperlink ref="BP286" r:id="rId_hyperlink_284" tooltip="Download" display="Download"/>
    <hyperlink ref="BP287" r:id="rId_hyperlink_285" tooltip="Download" display="Download"/>
    <hyperlink ref="BP288" r:id="rId_hyperlink_286" tooltip="Download" display="Download"/>
    <hyperlink ref="BP289" r:id="rId_hyperlink_287" tooltip="Download" display="Download"/>
    <hyperlink ref="BP290" r:id="rId_hyperlink_288" tooltip="Download" display="Download"/>
    <hyperlink ref="BP291" r:id="rId_hyperlink_289" tooltip="Download" display="Download"/>
    <hyperlink ref="BP292" r:id="rId_hyperlink_290" tooltip="Download" display="Download"/>
    <hyperlink ref="BP293" r:id="rId_hyperlink_291" tooltip="Download" display="Download"/>
    <hyperlink ref="BP294" r:id="rId_hyperlink_292" tooltip="Download" display="Download"/>
    <hyperlink ref="BP295" r:id="rId_hyperlink_293" tooltip="Download" display="Download"/>
    <hyperlink ref="BP296" r:id="rId_hyperlink_294" tooltip="Download" display="Download"/>
    <hyperlink ref="BP297" r:id="rId_hyperlink_295" tooltip="Download" display="Download"/>
    <hyperlink ref="BP298" r:id="rId_hyperlink_296" tooltip="Download" display="Download"/>
    <hyperlink ref="BP299" r:id="rId_hyperlink_297" tooltip="Download" display="Download"/>
    <hyperlink ref="BP300" r:id="rId_hyperlink_298" tooltip="Download" display="Download"/>
    <hyperlink ref="BP301" r:id="rId_hyperlink_299" tooltip="Download" display="Download"/>
    <hyperlink ref="BP302" r:id="rId_hyperlink_300" tooltip="Download" display="Download"/>
    <hyperlink ref="BP303" r:id="rId_hyperlink_301" tooltip="Download" display="Download"/>
    <hyperlink ref="BP304" r:id="rId_hyperlink_302" tooltip="Download" display="Download"/>
    <hyperlink ref="BP305" r:id="rId_hyperlink_303" tooltip="Download" display="Download"/>
    <hyperlink ref="BP306" r:id="rId_hyperlink_304" tooltip="Download" display="Download"/>
    <hyperlink ref="BP307" r:id="rId_hyperlink_305" tooltip="Download" display="Download"/>
    <hyperlink ref="BP308" r:id="rId_hyperlink_306" tooltip="Download" display="Download"/>
    <hyperlink ref="BP310" r:id="rId_hyperlink_307" tooltip="Download" display="Download"/>
    <hyperlink ref="BP311" r:id="rId_hyperlink_308" tooltip="Download" display="Download"/>
    <hyperlink ref="BP312" r:id="rId_hyperlink_309" tooltip="Download" display="Download"/>
    <hyperlink ref="BP313" r:id="rId_hyperlink_310" tooltip="Download" display="Download"/>
    <hyperlink ref="BP314" r:id="rId_hyperlink_311" tooltip="Download" display="Download"/>
    <hyperlink ref="BP315" r:id="rId_hyperlink_312" tooltip="Download" display="Download"/>
    <hyperlink ref="BP316" r:id="rId_hyperlink_313" tooltip="Download" display="Download"/>
    <hyperlink ref="BP317" r:id="rId_hyperlink_314" tooltip="Download" display="Download"/>
    <hyperlink ref="BP318" r:id="rId_hyperlink_315" tooltip="Download" display="Download"/>
    <hyperlink ref="BP319" r:id="rId_hyperlink_316" tooltip="Download" display="Download"/>
    <hyperlink ref="BP320" r:id="rId_hyperlink_317" tooltip="Download" display="Download"/>
    <hyperlink ref="BP321" r:id="rId_hyperlink_318" tooltip="Download" display="Download"/>
    <hyperlink ref="BP322" r:id="rId_hyperlink_319" tooltip="Download" display="Download"/>
    <hyperlink ref="BP323" r:id="rId_hyperlink_320" tooltip="Download" display="Download"/>
    <hyperlink ref="BP324" r:id="rId_hyperlink_321" tooltip="Download" display="Download"/>
    <hyperlink ref="BP325" r:id="rId_hyperlink_322" tooltip="Download" display="Download"/>
    <hyperlink ref="BP326" r:id="rId_hyperlink_323" tooltip="Download" display="Download"/>
    <hyperlink ref="BP327" r:id="rId_hyperlink_324" tooltip="Download" display="Download"/>
    <hyperlink ref="BP328" r:id="rId_hyperlink_325" tooltip="Download" display="Download"/>
    <hyperlink ref="BP329" r:id="rId_hyperlink_326" tooltip="Download" display="Download"/>
    <hyperlink ref="BP330" r:id="rId_hyperlink_327" tooltip="Download" display="Download"/>
    <hyperlink ref="BP331" r:id="rId_hyperlink_328" tooltip="Download" display="Download"/>
    <hyperlink ref="BP332" r:id="rId_hyperlink_329" tooltip="Download" display="Download"/>
    <hyperlink ref="BP333" r:id="rId_hyperlink_330" tooltip="Download" display="Download"/>
    <hyperlink ref="BP334" r:id="rId_hyperlink_331" tooltip="Download" display="Download"/>
    <hyperlink ref="BP335" r:id="rId_hyperlink_332" tooltip="Download" display="Download"/>
    <hyperlink ref="BP336" r:id="rId_hyperlink_333" tooltip="Download" display="Download"/>
    <hyperlink ref="BP337" r:id="rId_hyperlink_334" tooltip="Download" display="Download"/>
    <hyperlink ref="BP338" r:id="rId_hyperlink_335" tooltip="Download" display="Download"/>
    <hyperlink ref="BP339" r:id="rId_hyperlink_336" tooltip="Download" display="Download"/>
    <hyperlink ref="BP340" r:id="rId_hyperlink_337" tooltip="Download" display="Download"/>
    <hyperlink ref="BP341" r:id="rId_hyperlink_338" tooltip="Download" display="Download"/>
    <hyperlink ref="BP342" r:id="rId_hyperlink_339" tooltip="Download" display="Download"/>
    <hyperlink ref="BP343" r:id="rId_hyperlink_340" tooltip="Download" display="Download"/>
    <hyperlink ref="BP344" r:id="rId_hyperlink_341" tooltip="Download" display="Download"/>
    <hyperlink ref="BP345" r:id="rId_hyperlink_342" tooltip="Download" display="Download"/>
    <hyperlink ref="BP346" r:id="rId_hyperlink_343" tooltip="Download" display="Download"/>
    <hyperlink ref="BP347" r:id="rId_hyperlink_344" tooltip="Download" display="Download"/>
    <hyperlink ref="BP348" r:id="rId_hyperlink_345" tooltip="Download" display="Download"/>
    <hyperlink ref="BP349" r:id="rId_hyperlink_346" tooltip="Download" display="Download"/>
    <hyperlink ref="BP350" r:id="rId_hyperlink_347" tooltip="Download" display="Download"/>
    <hyperlink ref="BP351" r:id="rId_hyperlink_348" tooltip="Download" display="Download"/>
    <hyperlink ref="BP352" r:id="rId_hyperlink_349" tooltip="Download" display="Download"/>
    <hyperlink ref="BP353" r:id="rId_hyperlink_350" tooltip="Download" display="Download"/>
    <hyperlink ref="BP354" r:id="rId_hyperlink_351" tooltip="Download" display="Download"/>
    <hyperlink ref="BP355" r:id="rId_hyperlink_352" tooltip="Download" display="Download"/>
    <hyperlink ref="BP356" r:id="rId_hyperlink_353" tooltip="Download" display="Download"/>
    <hyperlink ref="BP357" r:id="rId_hyperlink_354" tooltip="Download" display="Download"/>
    <hyperlink ref="BP358" r:id="rId_hyperlink_355" tooltip="Download" display="Download"/>
    <hyperlink ref="BP359" r:id="rId_hyperlink_356" tooltip="Download" display="Download"/>
    <hyperlink ref="BP360" r:id="rId_hyperlink_357" tooltip="Download" display="Download"/>
    <hyperlink ref="BP361" r:id="rId_hyperlink_358" tooltip="Download" display="Download"/>
    <hyperlink ref="BP362" r:id="rId_hyperlink_359" tooltip="Download" display="Download"/>
    <hyperlink ref="BP363" r:id="rId_hyperlink_360" tooltip="Download" display="Download"/>
    <hyperlink ref="BP364" r:id="rId_hyperlink_361" tooltip="Download" display="Download"/>
    <hyperlink ref="BP365" r:id="rId_hyperlink_362" tooltip="Download" display="Download"/>
    <hyperlink ref="BP366" r:id="rId_hyperlink_363" tooltip="Download" display="Download"/>
    <hyperlink ref="BP367" r:id="rId_hyperlink_364" tooltip="Download" display="Download"/>
    <hyperlink ref="BP368" r:id="rId_hyperlink_365" tooltip="Download" display="Download"/>
    <hyperlink ref="BP369" r:id="rId_hyperlink_366" tooltip="Download" display="Download"/>
    <hyperlink ref="BP370" r:id="rId_hyperlink_367" tooltip="Download" display="Download"/>
    <hyperlink ref="BP371" r:id="rId_hyperlink_368" tooltip="Download" display="Download"/>
    <hyperlink ref="BP372" r:id="rId_hyperlink_369" tooltip="Download" display="Download"/>
    <hyperlink ref="BP373" r:id="rId_hyperlink_370" tooltip="Download" display="Download"/>
    <hyperlink ref="BP374" r:id="rId_hyperlink_371" tooltip="Download" display="Download"/>
    <hyperlink ref="BP375" r:id="rId_hyperlink_372" tooltip="Download" display="Download"/>
    <hyperlink ref="BP376" r:id="rId_hyperlink_373" tooltip="Download" display="Download"/>
    <hyperlink ref="BP377" r:id="rId_hyperlink_374" tooltip="Download" display="Download"/>
    <hyperlink ref="BP378" r:id="rId_hyperlink_375" tooltip="Download" display="Download"/>
    <hyperlink ref="BP379" r:id="rId_hyperlink_376" tooltip="Download" display="Download"/>
    <hyperlink ref="BP380" r:id="rId_hyperlink_377" tooltip="Download" display="Download"/>
    <hyperlink ref="BP381" r:id="rId_hyperlink_378" tooltip="Download" display="Download"/>
    <hyperlink ref="BP382" r:id="rId_hyperlink_379" tooltip="Download" display="Download"/>
    <hyperlink ref="BP383" r:id="rId_hyperlink_380" tooltip="Download" display="Download"/>
    <hyperlink ref="BP384" r:id="rId_hyperlink_381" tooltip="Download" display="Download"/>
    <hyperlink ref="BP385" r:id="rId_hyperlink_382" tooltip="Download" display="Download"/>
    <hyperlink ref="BP386" r:id="rId_hyperlink_383" tooltip="Download" display="Download"/>
    <hyperlink ref="BP387" r:id="rId_hyperlink_384" tooltip="Download" display="Download"/>
    <hyperlink ref="BP388" r:id="rId_hyperlink_385" tooltip="Download" display="Download"/>
    <hyperlink ref="BP389" r:id="rId_hyperlink_386" tooltip="Download" display="Download"/>
    <hyperlink ref="BP390" r:id="rId_hyperlink_387" tooltip="Download" display="Download"/>
    <hyperlink ref="BP391" r:id="rId_hyperlink_388" tooltip="Download" display="Download"/>
    <hyperlink ref="BP392" r:id="rId_hyperlink_389" tooltip="Download" display="Download"/>
    <hyperlink ref="BP393" r:id="rId_hyperlink_390" tooltip="Download" display="Download"/>
    <hyperlink ref="BP394" r:id="rId_hyperlink_391" tooltip="Download" display="Download"/>
    <hyperlink ref="BP395" r:id="rId_hyperlink_392" tooltip="Download" display="Download"/>
    <hyperlink ref="BP396" r:id="rId_hyperlink_393" tooltip="Download" display="Download"/>
    <hyperlink ref="BP397" r:id="rId_hyperlink_394" tooltip="Download" display="Download"/>
    <hyperlink ref="BP398" r:id="rId_hyperlink_395" tooltip="Download" display="Download"/>
    <hyperlink ref="BP399" r:id="rId_hyperlink_396" tooltip="Download" display="Download"/>
    <hyperlink ref="BP400" r:id="rId_hyperlink_397" tooltip="Download" display="Download"/>
    <hyperlink ref="BP401" r:id="rId_hyperlink_398" tooltip="Download" display="Download"/>
    <hyperlink ref="BP402" r:id="rId_hyperlink_399" tooltip="Download" display="Download"/>
    <hyperlink ref="BP403" r:id="rId_hyperlink_400" tooltip="Download" display="Download"/>
    <hyperlink ref="BP404" r:id="rId_hyperlink_401" tooltip="Download" display="Download"/>
    <hyperlink ref="BP405" r:id="rId_hyperlink_402" tooltip="Download" display="Download"/>
    <hyperlink ref="BP406" r:id="rId_hyperlink_403" tooltip="Download" display="Download"/>
    <hyperlink ref="BP407" r:id="rId_hyperlink_404" tooltip="Download" display="Download"/>
    <hyperlink ref="BP408" r:id="rId_hyperlink_405" tooltip="Download" display="Download"/>
    <hyperlink ref="BP409" r:id="rId_hyperlink_406" tooltip="Download" display="Download"/>
    <hyperlink ref="BP410" r:id="rId_hyperlink_407" tooltip="Download" display="Download"/>
    <hyperlink ref="BP411" r:id="rId_hyperlink_408" tooltip="Download" display="Download"/>
    <hyperlink ref="BP412" r:id="rId_hyperlink_409" tooltip="Download" display="Download"/>
    <hyperlink ref="BP413" r:id="rId_hyperlink_410" tooltip="Download" display="Download"/>
    <hyperlink ref="BP414" r:id="rId_hyperlink_411" tooltip="Download" display="Download"/>
    <hyperlink ref="BP415" r:id="rId_hyperlink_412" tooltip="Download" display="Download"/>
    <hyperlink ref="BP416" r:id="rId_hyperlink_413" tooltip="Download" display="Download"/>
    <hyperlink ref="BP417" r:id="rId_hyperlink_414" tooltip="Download" display="Download"/>
    <hyperlink ref="BP418" r:id="rId_hyperlink_415" tooltip="Download" display="Download"/>
    <hyperlink ref="BP419" r:id="rId_hyperlink_416" tooltip="Download" display="Download"/>
    <hyperlink ref="BP420" r:id="rId_hyperlink_417" tooltip="Download" display="Download"/>
    <hyperlink ref="BP421" r:id="rId_hyperlink_418" tooltip="Download" display="Download"/>
    <hyperlink ref="BP422" r:id="rId_hyperlink_419" tooltip="Download" display="Download"/>
    <hyperlink ref="BP423" r:id="rId_hyperlink_420" tooltip="Download" display="Download"/>
    <hyperlink ref="BP424" r:id="rId_hyperlink_421" tooltip="Download" display="Download"/>
    <hyperlink ref="BP425" r:id="rId_hyperlink_422" tooltip="Download" display="Download"/>
    <hyperlink ref="BP426" r:id="rId_hyperlink_423" tooltip="Download" display="Download"/>
    <hyperlink ref="BP427" r:id="rId_hyperlink_424" tooltip="Download" display="Download"/>
    <hyperlink ref="BP428" r:id="rId_hyperlink_425" tooltip="Download" display="Download"/>
    <hyperlink ref="BP429" r:id="rId_hyperlink_426" tooltip="Download" display="Download"/>
    <hyperlink ref="BP430" r:id="rId_hyperlink_427" tooltip="Download" display="Download"/>
    <hyperlink ref="BP431" r:id="rId_hyperlink_428" tooltip="Download" display="Download"/>
    <hyperlink ref="BP432" r:id="rId_hyperlink_429" tooltip="Download" display="Download"/>
    <hyperlink ref="BP433" r:id="rId_hyperlink_430" tooltip="Download" display="Download"/>
    <hyperlink ref="BP434" r:id="rId_hyperlink_431" tooltip="Download" display="Download"/>
    <hyperlink ref="BP435" r:id="rId_hyperlink_432" tooltip="Download" display="Download"/>
    <hyperlink ref="BP436" r:id="rId_hyperlink_433" tooltip="Download" display="Download"/>
    <hyperlink ref="BP437" r:id="rId_hyperlink_434" tooltip="Download" display="Download"/>
    <hyperlink ref="BP438" r:id="rId_hyperlink_435" tooltip="Download" display="Download"/>
    <hyperlink ref="BP439" r:id="rId_hyperlink_436" tooltip="Download" display="Download"/>
    <hyperlink ref="BP440" r:id="rId_hyperlink_437" tooltip="Download" display="Download"/>
    <hyperlink ref="BP441" r:id="rId_hyperlink_438" tooltip="Download" display="Download"/>
    <hyperlink ref="BP442" r:id="rId_hyperlink_439" tooltip="Download" display="Download"/>
    <hyperlink ref="BP443" r:id="rId_hyperlink_440" tooltip="Download" display="Download"/>
    <hyperlink ref="BP444" r:id="rId_hyperlink_441" tooltip="Download" display="Download"/>
    <hyperlink ref="BP445" r:id="rId_hyperlink_442" tooltip="Download" display="Download"/>
    <hyperlink ref="BP446" r:id="rId_hyperlink_443" tooltip="Download" display="Download"/>
    <hyperlink ref="BP447" r:id="rId_hyperlink_444" tooltip="Download" display="Download"/>
    <hyperlink ref="BP448" r:id="rId_hyperlink_445" tooltip="Download" display="Download"/>
    <hyperlink ref="BP449" r:id="rId_hyperlink_446" tooltip="Download" display="Download"/>
    <hyperlink ref="BP450" r:id="rId_hyperlink_447" tooltip="Download" display="Download"/>
    <hyperlink ref="BP451" r:id="rId_hyperlink_448" tooltip="Download" display="Download"/>
    <hyperlink ref="BP452" r:id="rId_hyperlink_449" tooltip="Download" display="Download"/>
    <hyperlink ref="BP453" r:id="rId_hyperlink_450" tooltip="Download" display="Download"/>
    <hyperlink ref="BP454" r:id="rId_hyperlink_451" tooltip="Download" display="Download"/>
    <hyperlink ref="BP455" r:id="rId_hyperlink_452" tooltip="Download" display="Download"/>
    <hyperlink ref="BP456" r:id="rId_hyperlink_453" tooltip="Download" display="Download"/>
    <hyperlink ref="BP457" r:id="rId_hyperlink_454" tooltip="Download" display="Download"/>
    <hyperlink ref="BP458" r:id="rId_hyperlink_455" tooltip="Download" display="Download"/>
    <hyperlink ref="BP459" r:id="rId_hyperlink_456" tooltip="Download" display="Download"/>
    <hyperlink ref="BP460" r:id="rId_hyperlink_457" tooltip="Download" display="Download"/>
    <hyperlink ref="BP461" r:id="rId_hyperlink_458" tooltip="Download" display="Download"/>
    <hyperlink ref="BP462" r:id="rId_hyperlink_459" tooltip="Download" display="Download"/>
    <hyperlink ref="BP463" r:id="rId_hyperlink_460" tooltip="Download" display="Download"/>
    <hyperlink ref="BP464" r:id="rId_hyperlink_461" tooltip="Download" display="Download"/>
    <hyperlink ref="BP465" r:id="rId_hyperlink_462" tooltip="Download" display="Download"/>
    <hyperlink ref="BP466" r:id="rId_hyperlink_463" tooltip="Download" display="Download"/>
    <hyperlink ref="BP467" r:id="rId_hyperlink_464" tooltip="Download" display="Download"/>
    <hyperlink ref="BP468" r:id="rId_hyperlink_465" tooltip="Download" display="Download"/>
    <hyperlink ref="BP469" r:id="rId_hyperlink_466" tooltip="Download" display="Download"/>
    <hyperlink ref="BP470" r:id="rId_hyperlink_467" tooltip="Download" display="Download"/>
    <hyperlink ref="BP471" r:id="rId_hyperlink_468" tooltip="Download" display="Download"/>
    <hyperlink ref="BP472" r:id="rId_hyperlink_469" tooltip="Download" display="Download"/>
    <hyperlink ref="BP473" r:id="rId_hyperlink_470" tooltip="Download" display="Download"/>
    <hyperlink ref="BP474" r:id="rId_hyperlink_471" tooltip="Download" display="Download"/>
    <hyperlink ref="BP475" r:id="rId_hyperlink_472" tooltip="Download" display="Download"/>
    <hyperlink ref="BP476" r:id="rId_hyperlink_473" tooltip="Download" display="Download"/>
    <hyperlink ref="BP477" r:id="rId_hyperlink_474" tooltip="Download" display="Download"/>
    <hyperlink ref="BP478" r:id="rId_hyperlink_475" tooltip="Download" display="Download"/>
    <hyperlink ref="BP479" r:id="rId_hyperlink_476" tooltip="Download" display="Download"/>
    <hyperlink ref="BP480" r:id="rId_hyperlink_477" tooltip="Download" display="Download"/>
    <hyperlink ref="BP481" r:id="rId_hyperlink_478" tooltip="Download" display="Download"/>
    <hyperlink ref="BP482" r:id="rId_hyperlink_479" tooltip="Download" display="Download"/>
    <hyperlink ref="BP483" r:id="rId_hyperlink_480" tooltip="Download" display="Download"/>
    <hyperlink ref="BP484" r:id="rId_hyperlink_481" tooltip="Download" display="Download"/>
    <hyperlink ref="BP485" r:id="rId_hyperlink_482" tooltip="Download" display="Download"/>
    <hyperlink ref="BP486" r:id="rId_hyperlink_483" tooltip="Download" display="Download"/>
    <hyperlink ref="BP487" r:id="rId_hyperlink_484" tooltip="Download" display="Download"/>
    <hyperlink ref="BP488" r:id="rId_hyperlink_485" tooltip="Download" display="Download"/>
    <hyperlink ref="BP489" r:id="rId_hyperlink_486" tooltip="Download" display="Download"/>
    <hyperlink ref="BP490" r:id="rId_hyperlink_487" tooltip="Download" display="Download"/>
    <hyperlink ref="BP491" r:id="rId_hyperlink_488" tooltip="Download" display="Download"/>
    <hyperlink ref="BP492" r:id="rId_hyperlink_489" tooltip="Download" display="Download"/>
    <hyperlink ref="BP493" r:id="rId_hyperlink_490" tooltip="Download" display="Download"/>
    <hyperlink ref="BP494" r:id="rId_hyperlink_491" tooltip="Download" display="Download"/>
    <hyperlink ref="BP495" r:id="rId_hyperlink_492" tooltip="Download" display="Download"/>
    <hyperlink ref="BP496" r:id="rId_hyperlink_493" tooltip="Download" display="Download"/>
    <hyperlink ref="BP497" r:id="rId_hyperlink_494" tooltip="Download" display="Download"/>
    <hyperlink ref="BP498" r:id="rId_hyperlink_495" tooltip="Download" display="Download"/>
    <hyperlink ref="BP499" r:id="rId_hyperlink_496" tooltip="Download" display="Download"/>
    <hyperlink ref="BP500" r:id="rId_hyperlink_497" tooltip="Download" display="Download"/>
    <hyperlink ref="BP501" r:id="rId_hyperlink_498" tooltip="Download" display="Download"/>
    <hyperlink ref="BP502" r:id="rId_hyperlink_499" tooltip="Download" display="Download"/>
    <hyperlink ref="BP503" r:id="rId_hyperlink_500" tooltip="Download" display="Download"/>
    <hyperlink ref="BP504" r:id="rId_hyperlink_501" tooltip="Download" display="Download"/>
    <hyperlink ref="BP505" r:id="rId_hyperlink_502" tooltip="Download" display="Download"/>
    <hyperlink ref="BP506" r:id="rId_hyperlink_503" tooltip="Download" display="Download"/>
    <hyperlink ref="BP507" r:id="rId_hyperlink_504" tooltip="Download" display="Download"/>
    <hyperlink ref="BP508" r:id="rId_hyperlink_505" tooltip="Download" display="Download"/>
    <hyperlink ref="BP509" r:id="rId_hyperlink_506" tooltip="Download" display="Download"/>
    <hyperlink ref="BP510" r:id="rId_hyperlink_507" tooltip="Download" display="Download"/>
    <hyperlink ref="BP511" r:id="rId_hyperlink_508" tooltip="Download" display="Download"/>
    <hyperlink ref="BP512" r:id="rId_hyperlink_509" tooltip="Download" display="Download"/>
    <hyperlink ref="BP513" r:id="rId_hyperlink_510" tooltip="Download" display="Download"/>
    <hyperlink ref="BP514" r:id="rId_hyperlink_511" tooltip="Download" display="Download"/>
    <hyperlink ref="BP515" r:id="rId_hyperlink_512" tooltip="Download" display="Download"/>
    <hyperlink ref="BP516" r:id="rId_hyperlink_513" tooltip="Download" display="Download"/>
    <hyperlink ref="BP517" r:id="rId_hyperlink_514" tooltip="Download" display="Download"/>
    <hyperlink ref="BP518" r:id="rId_hyperlink_515" tooltip="Download" display="Download"/>
    <hyperlink ref="BP519" r:id="rId_hyperlink_516" tooltip="Download" display="Download"/>
    <hyperlink ref="BP520" r:id="rId_hyperlink_517" tooltip="Download" display="Download"/>
    <hyperlink ref="BP521" r:id="rId_hyperlink_518" tooltip="Download" display="Download"/>
    <hyperlink ref="BP522" r:id="rId_hyperlink_519" tooltip="Download" display="Download"/>
    <hyperlink ref="BP523" r:id="rId_hyperlink_520" tooltip="Download" display="Download"/>
    <hyperlink ref="BP524" r:id="rId_hyperlink_521" tooltip="Download" display="Download"/>
    <hyperlink ref="BP525" r:id="rId_hyperlink_522" tooltip="Download" display="Download"/>
    <hyperlink ref="BP526" r:id="rId_hyperlink_523" tooltip="Download" display="Download"/>
    <hyperlink ref="BP527" r:id="rId_hyperlink_524" tooltip="Download" display="Download"/>
    <hyperlink ref="BP528" r:id="rId_hyperlink_525" tooltip="Download" display="Download"/>
    <hyperlink ref="BP529" r:id="rId_hyperlink_526" tooltip="Download" display="Download"/>
    <hyperlink ref="BP530" r:id="rId_hyperlink_527" tooltip="Download" display="Download"/>
    <hyperlink ref="BP531" r:id="rId_hyperlink_528" tooltip="Download" display="Download"/>
    <hyperlink ref="BP532" r:id="rId_hyperlink_529" tooltip="Download" display="Download"/>
    <hyperlink ref="BP533" r:id="rId_hyperlink_530" tooltip="Download" display="Download"/>
    <hyperlink ref="BP534" r:id="rId_hyperlink_531" tooltip="Download" display="Download"/>
    <hyperlink ref="BP535" r:id="rId_hyperlink_532" tooltip="Download" display="Download"/>
    <hyperlink ref="BP536" r:id="rId_hyperlink_533" tooltip="Download" display="Download"/>
    <hyperlink ref="BP537" r:id="rId_hyperlink_534" tooltip="Download" display="Download"/>
    <hyperlink ref="BP538" r:id="rId_hyperlink_535" tooltip="Download" display="Download"/>
    <hyperlink ref="BP539" r:id="rId_hyperlink_536" tooltip="Download" display="Download"/>
    <hyperlink ref="BP540" r:id="rId_hyperlink_537" tooltip="Download" display="Download"/>
    <hyperlink ref="BP541" r:id="rId_hyperlink_538" tooltip="Download" display="Download"/>
    <hyperlink ref="BP542" r:id="rId_hyperlink_539" tooltip="Download" display="Download"/>
    <hyperlink ref="BP543" r:id="rId_hyperlink_540" tooltip="Download" display="Download"/>
    <hyperlink ref="BP544" r:id="rId_hyperlink_541" tooltip="Download" display="Download"/>
    <hyperlink ref="BP545" r:id="rId_hyperlink_542" tooltip="Download" display="Download"/>
    <hyperlink ref="BP546" r:id="rId_hyperlink_543" tooltip="Download" display="Download"/>
    <hyperlink ref="BP547" r:id="rId_hyperlink_544" tooltip="Download" display="Download"/>
    <hyperlink ref="BP548" r:id="rId_hyperlink_545" tooltip="Download" display="Download"/>
    <hyperlink ref="BP549" r:id="rId_hyperlink_546" tooltip="Download" display="Download"/>
    <hyperlink ref="BP550" r:id="rId_hyperlink_547" tooltip="Download" display="Download"/>
    <hyperlink ref="BP551" r:id="rId_hyperlink_548" tooltip="Download" display="Download"/>
    <hyperlink ref="BP552" r:id="rId_hyperlink_549" tooltip="Download" display="Download"/>
    <hyperlink ref="BP553" r:id="rId_hyperlink_550" tooltip="Download" display="Download"/>
    <hyperlink ref="BP554" r:id="rId_hyperlink_551" tooltip="Download" display="Download"/>
    <hyperlink ref="BP555" r:id="rId_hyperlink_552" tooltip="Download" display="Download"/>
    <hyperlink ref="BP556" r:id="rId_hyperlink_553" tooltip="Download" display="Download"/>
    <hyperlink ref="BP557" r:id="rId_hyperlink_554" tooltip="Download" display="Download"/>
    <hyperlink ref="BP558" r:id="rId_hyperlink_555" tooltip="Download" display="Download"/>
    <hyperlink ref="BP559" r:id="rId_hyperlink_556" tooltip="Download" display="Download"/>
    <hyperlink ref="BP560" r:id="rId_hyperlink_557" tooltip="Download" display="Download"/>
    <hyperlink ref="BP561" r:id="rId_hyperlink_558" tooltip="Download" display="Download"/>
    <hyperlink ref="BP562" r:id="rId_hyperlink_559" tooltip="Download" display="Download"/>
    <hyperlink ref="BP563" r:id="rId_hyperlink_560" tooltip="Download" display="Download"/>
    <hyperlink ref="BP564" r:id="rId_hyperlink_561" tooltip="Download" display="Download"/>
    <hyperlink ref="BP565" r:id="rId_hyperlink_562" tooltip="Download" display="Download"/>
    <hyperlink ref="BP566" r:id="rId_hyperlink_563" tooltip="Download" display="Download"/>
    <hyperlink ref="BP567" r:id="rId_hyperlink_564" tooltip="Download" display="Download"/>
    <hyperlink ref="BP568" r:id="rId_hyperlink_565" tooltip="Download" display="Download"/>
    <hyperlink ref="BP569" r:id="rId_hyperlink_566" tooltip="Download" display="Download"/>
    <hyperlink ref="BP570" r:id="rId_hyperlink_567" tooltip="Download" display="Download"/>
    <hyperlink ref="BP571" r:id="rId_hyperlink_568" tooltip="Download" display="Download"/>
    <hyperlink ref="BP572" r:id="rId_hyperlink_569" tooltip="Download" display="Download"/>
    <hyperlink ref="BP573" r:id="rId_hyperlink_570" tooltip="Download" display="Download"/>
    <hyperlink ref="BP574" r:id="rId_hyperlink_571" tooltip="Download" display="Download"/>
    <hyperlink ref="BP575" r:id="rId_hyperlink_572" tooltip="Download" display="Download"/>
    <hyperlink ref="BP576" r:id="rId_hyperlink_573" tooltip="Download" display="Download"/>
    <hyperlink ref="BP577" r:id="rId_hyperlink_574" tooltip="Download" display="Download"/>
    <hyperlink ref="BP578" r:id="rId_hyperlink_575" tooltip="Download" display="Download"/>
    <hyperlink ref="BP579" r:id="rId_hyperlink_576" tooltip="Download" display="Download"/>
    <hyperlink ref="BP580" r:id="rId_hyperlink_577" tooltip="Download" display="Download"/>
    <hyperlink ref="BP581" r:id="rId_hyperlink_578" tooltip="Download" display="Download"/>
    <hyperlink ref="BP582" r:id="rId_hyperlink_579" tooltip="Download" display="Download"/>
    <hyperlink ref="BP583" r:id="rId_hyperlink_580" tooltip="Download" display="Download"/>
    <hyperlink ref="BP584" r:id="rId_hyperlink_581" tooltip="Download" display="Download"/>
    <hyperlink ref="BP585" r:id="rId_hyperlink_582" tooltip="Download" display="Download"/>
    <hyperlink ref="BP586" r:id="rId_hyperlink_583" tooltip="Download" display="Download"/>
    <hyperlink ref="BP587" r:id="rId_hyperlink_584" tooltip="Download" display="Download"/>
    <hyperlink ref="BP588" r:id="rId_hyperlink_585" tooltip="Download" display="Download"/>
    <hyperlink ref="BP589" r:id="rId_hyperlink_586" tooltip="Download" display="Download"/>
    <hyperlink ref="BP590" r:id="rId_hyperlink_587" tooltip="Download" display="Download"/>
    <hyperlink ref="BP591" r:id="rId_hyperlink_588" tooltip="Download" display="Download"/>
    <hyperlink ref="BP592" r:id="rId_hyperlink_589" tooltip="Download" display="Download"/>
    <hyperlink ref="BP593" r:id="rId_hyperlink_590" tooltip="Download" display="Download"/>
    <hyperlink ref="BP594" r:id="rId_hyperlink_591" tooltip="Download" display="Download"/>
    <hyperlink ref="BP595" r:id="rId_hyperlink_592" tooltip="Download" display="Download"/>
    <hyperlink ref="BP596" r:id="rId_hyperlink_593" tooltip="Download" display="Download"/>
    <hyperlink ref="BP597" r:id="rId_hyperlink_594" tooltip="Download" display="Download"/>
    <hyperlink ref="BP598" r:id="rId_hyperlink_595" tooltip="Download" display="Download"/>
    <hyperlink ref="BP599" r:id="rId_hyperlink_596" tooltip="Download" display="Download"/>
    <hyperlink ref="BP600" r:id="rId_hyperlink_597" tooltip="Download" display="Download"/>
    <hyperlink ref="BP601" r:id="rId_hyperlink_598" tooltip="Download" display="Download"/>
    <hyperlink ref="BP602" r:id="rId_hyperlink_599" tooltip="Download" display="Download"/>
    <hyperlink ref="BP603" r:id="rId_hyperlink_600" tooltip="Download" display="Download"/>
    <hyperlink ref="BP604" r:id="rId_hyperlink_601" tooltip="Download" display="Download"/>
    <hyperlink ref="BP605" r:id="rId_hyperlink_602" tooltip="Download" display="Download"/>
    <hyperlink ref="BP606" r:id="rId_hyperlink_603" tooltip="Download" display="Download"/>
    <hyperlink ref="BP607" r:id="rId_hyperlink_604" tooltip="Download" display="Download"/>
    <hyperlink ref="BP608" r:id="rId_hyperlink_605" tooltip="Download" display="Download"/>
    <hyperlink ref="BP609" r:id="rId_hyperlink_606" tooltip="Download" display="Download"/>
    <hyperlink ref="BP610" r:id="rId_hyperlink_607" tooltip="Download" display="Download"/>
    <hyperlink ref="BP611" r:id="rId_hyperlink_608" tooltip="Download" display="Download"/>
    <hyperlink ref="BP612" r:id="rId_hyperlink_609" tooltip="Download" display="Download"/>
    <hyperlink ref="BP613" r:id="rId_hyperlink_610" tooltip="Download" display="Download"/>
    <hyperlink ref="BP614" r:id="rId_hyperlink_611" tooltip="Download" display="Download"/>
    <hyperlink ref="BP615" r:id="rId_hyperlink_612" tooltip="Download" display="Download"/>
    <hyperlink ref="BP616" r:id="rId_hyperlink_613" tooltip="Download" display="Download"/>
    <hyperlink ref="BP617" r:id="rId_hyperlink_614" tooltip="Download" display="Download"/>
    <hyperlink ref="BP618" r:id="rId_hyperlink_615" tooltip="Download" display="Download"/>
    <hyperlink ref="BP619" r:id="rId_hyperlink_616" tooltip="Download" display="Download"/>
    <hyperlink ref="BP620" r:id="rId_hyperlink_617" tooltip="Download" display="Download"/>
    <hyperlink ref="BP621" r:id="rId_hyperlink_618" tooltip="Download" display="Download"/>
    <hyperlink ref="BP622" r:id="rId_hyperlink_619" tooltip="Download" display="Download"/>
    <hyperlink ref="BP623" r:id="rId_hyperlink_620" tooltip="Download" display="Download"/>
    <hyperlink ref="BP624" r:id="rId_hyperlink_621" tooltip="Download" display="Download"/>
    <hyperlink ref="BP625" r:id="rId_hyperlink_622" tooltip="Download" display="Download"/>
    <hyperlink ref="BP626" r:id="rId_hyperlink_623" tooltip="Download" display="Download"/>
    <hyperlink ref="BP627" r:id="rId_hyperlink_624" tooltip="Download" display="Download"/>
    <hyperlink ref="BP628" r:id="rId_hyperlink_625" tooltip="Download" display="Download"/>
    <hyperlink ref="BP629" r:id="rId_hyperlink_626" tooltip="Download" display="Download"/>
    <hyperlink ref="BP630" r:id="rId_hyperlink_627" tooltip="Download" display="Download"/>
    <hyperlink ref="BP631" r:id="rId_hyperlink_628" tooltip="Download" display="Download"/>
    <hyperlink ref="BP632" r:id="rId_hyperlink_629" tooltip="Download" display="Download"/>
    <hyperlink ref="BP633" r:id="rId_hyperlink_630" tooltip="Download" display="Download"/>
    <hyperlink ref="BP634" r:id="rId_hyperlink_631" tooltip="Download" display="Download"/>
    <hyperlink ref="BP635" r:id="rId_hyperlink_632" tooltip="Download" display="Download"/>
    <hyperlink ref="BP636" r:id="rId_hyperlink_633" tooltip="Download" display="Download"/>
    <hyperlink ref="BP637" r:id="rId_hyperlink_634" tooltip="Download" display="Download"/>
    <hyperlink ref="BP638" r:id="rId_hyperlink_635" tooltip="Download" display="Download"/>
    <hyperlink ref="BP639" r:id="rId_hyperlink_636" tooltip="Download" display="Download"/>
    <hyperlink ref="BP640" r:id="rId_hyperlink_637" tooltip="Download" display="Download"/>
    <hyperlink ref="BP641" r:id="rId_hyperlink_638" tooltip="Download" display="Download"/>
    <hyperlink ref="BP642" r:id="rId_hyperlink_639" tooltip="Download" display="Download"/>
    <hyperlink ref="BP643" r:id="rId_hyperlink_640" tooltip="Download" display="Download"/>
    <hyperlink ref="BP644" r:id="rId_hyperlink_641" tooltip="Download" display="Download"/>
    <hyperlink ref="BP645" r:id="rId_hyperlink_642" tooltip="Download" display="Download"/>
    <hyperlink ref="BP646" r:id="rId_hyperlink_643" tooltip="Download" display="Download"/>
    <hyperlink ref="BP647" r:id="rId_hyperlink_644" tooltip="Download" display="Download"/>
    <hyperlink ref="BP648" r:id="rId_hyperlink_645" tooltip="Download" display="Download"/>
    <hyperlink ref="BP649" r:id="rId_hyperlink_646" tooltip="Download" display="Download"/>
    <hyperlink ref="BP650" r:id="rId_hyperlink_647" tooltip="Download" display="Download"/>
    <hyperlink ref="BP651" r:id="rId_hyperlink_648" tooltip="Download" display="Download"/>
    <hyperlink ref="BP652" r:id="rId_hyperlink_649" tooltip="Download" display="Download"/>
    <hyperlink ref="BP653" r:id="rId_hyperlink_650" tooltip="Download" display="Download"/>
    <hyperlink ref="BP654" r:id="rId_hyperlink_651" tooltip="Download" display="Download"/>
    <hyperlink ref="BP655" r:id="rId_hyperlink_652" tooltip="Download" display="Download"/>
    <hyperlink ref="BP656" r:id="rId_hyperlink_653" tooltip="Download" display="Download"/>
    <hyperlink ref="BP657" r:id="rId_hyperlink_654" tooltip="Download" display="Download"/>
    <hyperlink ref="BP658" r:id="rId_hyperlink_655" tooltip="Download" display="Download"/>
    <hyperlink ref="BP659" r:id="rId_hyperlink_656" tooltip="Download" display="Download"/>
    <hyperlink ref="BP660" r:id="rId_hyperlink_657" tooltip="Download" display="Download"/>
    <hyperlink ref="BP661" r:id="rId_hyperlink_658" tooltip="Download" display="Download"/>
    <hyperlink ref="BP662" r:id="rId_hyperlink_659" tooltip="Download" display="Download"/>
    <hyperlink ref="BP663" r:id="rId_hyperlink_660" tooltip="Download" display="Download"/>
    <hyperlink ref="BP664" r:id="rId_hyperlink_661" tooltip="Download" display="Download"/>
    <hyperlink ref="BP665" r:id="rId_hyperlink_662" tooltip="Download" display="Download"/>
    <hyperlink ref="BP666" r:id="rId_hyperlink_663" tooltip="Download" display="Download"/>
    <hyperlink ref="BP667" r:id="rId_hyperlink_664" tooltip="Download" display="Download"/>
    <hyperlink ref="BP668" r:id="rId_hyperlink_665" tooltip="Download" display="Download"/>
    <hyperlink ref="BP669" r:id="rId_hyperlink_666" tooltip="Download" display="Download"/>
    <hyperlink ref="BP670" r:id="rId_hyperlink_667" tooltip="Download" display="Download"/>
    <hyperlink ref="BP671" r:id="rId_hyperlink_668" tooltip="Download" display="Download"/>
    <hyperlink ref="BP672" r:id="rId_hyperlink_669" tooltip="Download" display="Download"/>
    <hyperlink ref="BP673" r:id="rId_hyperlink_670" tooltip="Download" display="Download"/>
    <hyperlink ref="BP674" r:id="rId_hyperlink_671" tooltip="Download" display="Download"/>
    <hyperlink ref="BP675" r:id="rId_hyperlink_672" tooltip="Download" display="Download"/>
    <hyperlink ref="BP676" r:id="rId_hyperlink_673" tooltip="Download" display="Download"/>
    <hyperlink ref="BP677" r:id="rId_hyperlink_674" tooltip="Download" display="Download"/>
    <hyperlink ref="BP678" r:id="rId_hyperlink_675" tooltip="Download" display="Download"/>
    <hyperlink ref="BP679" r:id="rId_hyperlink_676" tooltip="Download" display="Download"/>
    <hyperlink ref="BP680" r:id="rId_hyperlink_677" tooltip="Download" display="Download"/>
    <hyperlink ref="BP681" r:id="rId_hyperlink_678" tooltip="Download" display="Download"/>
    <hyperlink ref="BP682" r:id="rId_hyperlink_679" tooltip="Download" display="Download"/>
    <hyperlink ref="BP683" r:id="rId_hyperlink_680" tooltip="Download" display="Download"/>
    <hyperlink ref="BP684" r:id="rId_hyperlink_681" tooltip="Download" display="Download"/>
    <hyperlink ref="BP685" r:id="rId_hyperlink_682" tooltip="Download" display="Download"/>
    <hyperlink ref="BP686" r:id="rId_hyperlink_683" tooltip="Download" display="Download"/>
    <hyperlink ref="BP687" r:id="rId_hyperlink_684" tooltip="Download" display="Download"/>
    <hyperlink ref="BP688" r:id="rId_hyperlink_685" tooltip="Download" display="Download"/>
    <hyperlink ref="BP689" r:id="rId_hyperlink_686" tooltip="Download" display="Download"/>
    <hyperlink ref="BP690" r:id="rId_hyperlink_687" tooltip="Download" display="Download"/>
    <hyperlink ref="BP691" r:id="rId_hyperlink_688" tooltip="Download" display="Download"/>
    <hyperlink ref="BP692" r:id="rId_hyperlink_689" tooltip="Download" display="Download"/>
    <hyperlink ref="BP693" r:id="rId_hyperlink_690" tooltip="Download" display="Download"/>
    <hyperlink ref="BP694" r:id="rId_hyperlink_691" tooltip="Download" display="Download"/>
    <hyperlink ref="BP695" r:id="rId_hyperlink_692" tooltip="Download" display="Download"/>
    <hyperlink ref="BP696" r:id="rId_hyperlink_693" tooltip="Download" display="Download"/>
    <hyperlink ref="BP697" r:id="rId_hyperlink_694" tooltip="Download" display="Download"/>
    <hyperlink ref="BP698" r:id="rId_hyperlink_695" tooltip="Download" display="Download"/>
    <hyperlink ref="BP699" r:id="rId_hyperlink_696" tooltip="Download" display="Download"/>
    <hyperlink ref="BP700" r:id="rId_hyperlink_697" tooltip="Download" display="Download"/>
    <hyperlink ref="BP701" r:id="rId_hyperlink_698" tooltip="Download" display="Download"/>
    <hyperlink ref="BP702" r:id="rId_hyperlink_699" tooltip="Download" display="Download"/>
    <hyperlink ref="BP703" r:id="rId_hyperlink_700" tooltip="Download" display="Download"/>
    <hyperlink ref="BP704" r:id="rId_hyperlink_701" tooltip="Download" display="Download"/>
    <hyperlink ref="BP705" r:id="rId_hyperlink_702" tooltip="Download" display="Download"/>
    <hyperlink ref="BP706" r:id="rId_hyperlink_703" tooltip="Download" display="Download"/>
    <hyperlink ref="BP707" r:id="rId_hyperlink_704" tooltip="Download" display="Download"/>
    <hyperlink ref="BP708" r:id="rId_hyperlink_705" tooltip="Download" display="Download"/>
    <hyperlink ref="BP709" r:id="rId_hyperlink_706" tooltip="Download" display="Download"/>
    <hyperlink ref="BP710" r:id="rId_hyperlink_707" tooltip="Download" display="Download"/>
    <hyperlink ref="BP711" r:id="rId_hyperlink_708" tooltip="Download" display="Download"/>
    <hyperlink ref="BP712" r:id="rId_hyperlink_709" tooltip="Download" display="Download"/>
    <hyperlink ref="BP713" r:id="rId_hyperlink_710" tooltip="Download" display="Download"/>
    <hyperlink ref="BP714" r:id="rId_hyperlink_711" tooltip="Download" display="Download"/>
    <hyperlink ref="BP715" r:id="rId_hyperlink_712" tooltip="Download" display="Download"/>
    <hyperlink ref="BP716" r:id="rId_hyperlink_713" tooltip="Download" display="Download"/>
    <hyperlink ref="BP717" r:id="rId_hyperlink_714" tooltip="Download" display="Download"/>
    <hyperlink ref="BP718" r:id="rId_hyperlink_715" tooltip="Download" display="Download"/>
    <hyperlink ref="BP719" r:id="rId_hyperlink_716" tooltip="Download" display="Download"/>
    <hyperlink ref="BP720" r:id="rId_hyperlink_717" tooltip="Download" display="Download"/>
    <hyperlink ref="BP721" r:id="rId_hyperlink_718" tooltip="Download" display="Download"/>
    <hyperlink ref="BP722" r:id="rId_hyperlink_719" tooltip="Download" display="Download"/>
    <hyperlink ref="BP723" r:id="rId_hyperlink_720" tooltip="Download" display="Download"/>
    <hyperlink ref="BP724" r:id="rId_hyperlink_721" tooltip="Download" display="Download"/>
    <hyperlink ref="BP725" r:id="rId_hyperlink_722" tooltip="Download" display="Download"/>
    <hyperlink ref="BP726" r:id="rId_hyperlink_723" tooltip="Download" display="Download"/>
    <hyperlink ref="BP727" r:id="rId_hyperlink_724" tooltip="Download" display="Download"/>
    <hyperlink ref="BP728" r:id="rId_hyperlink_725" tooltip="Download" display="Download"/>
    <hyperlink ref="BP729" r:id="rId_hyperlink_726" tooltip="Download" display="Download"/>
    <hyperlink ref="BP730" r:id="rId_hyperlink_727" tooltip="Download" display="Download"/>
    <hyperlink ref="BP731" r:id="rId_hyperlink_728" tooltip="Download" display="Download"/>
    <hyperlink ref="BP732" r:id="rId_hyperlink_729" tooltip="Download" display="Download"/>
    <hyperlink ref="BP733" r:id="rId_hyperlink_730" tooltip="Download" display="Download"/>
    <hyperlink ref="BP734" r:id="rId_hyperlink_731" tooltip="Download" display="Download"/>
    <hyperlink ref="BP735" r:id="rId_hyperlink_732" tooltip="Download" display="Download"/>
    <hyperlink ref="BP736" r:id="rId_hyperlink_733" tooltip="Download" display="Download"/>
    <hyperlink ref="BP737" r:id="rId_hyperlink_734" tooltip="Download" display="Download"/>
    <hyperlink ref="BP738" r:id="rId_hyperlink_735" tooltip="Download" display="Download"/>
    <hyperlink ref="BP739" r:id="rId_hyperlink_736" tooltip="Download" display="Download"/>
    <hyperlink ref="BP740" r:id="rId_hyperlink_737" tooltip="Download" display="Download"/>
    <hyperlink ref="BP741" r:id="rId_hyperlink_738" tooltip="Download" display="Download"/>
    <hyperlink ref="BP742" r:id="rId_hyperlink_739" tooltip="Download" display="Download"/>
    <hyperlink ref="BP743" r:id="rId_hyperlink_740" tooltip="Download" display="Download"/>
    <hyperlink ref="BP744" r:id="rId_hyperlink_741" tooltip="Download" display="Download"/>
    <hyperlink ref="BP745" r:id="rId_hyperlink_742" tooltip="Download" display="Download"/>
    <hyperlink ref="BP746" r:id="rId_hyperlink_743" tooltip="Download" display="Download"/>
    <hyperlink ref="BP747" r:id="rId_hyperlink_744" tooltip="Download" display="Download"/>
    <hyperlink ref="BP748" r:id="rId_hyperlink_745" tooltip="Download" display="Download"/>
    <hyperlink ref="BP749" r:id="rId_hyperlink_746" tooltip="Download" display="Download"/>
    <hyperlink ref="BP750" r:id="rId_hyperlink_747" tooltip="Download" display="Download"/>
    <hyperlink ref="BP751" r:id="rId_hyperlink_748" tooltip="Download" display="Download"/>
    <hyperlink ref="BP752" r:id="rId_hyperlink_749" tooltip="Download" display="Download"/>
    <hyperlink ref="BP753" r:id="rId_hyperlink_750" tooltip="Download" display="Download"/>
    <hyperlink ref="BP754" r:id="rId_hyperlink_751" tooltip="Download" display="Download"/>
    <hyperlink ref="BP755" r:id="rId_hyperlink_752" tooltip="Download" display="Download"/>
    <hyperlink ref="BP756" r:id="rId_hyperlink_753" tooltip="Download" display="Download"/>
    <hyperlink ref="BP757" r:id="rId_hyperlink_754" tooltip="Download" display="Download"/>
    <hyperlink ref="BP758" r:id="rId_hyperlink_755" tooltip="Download" display="Download"/>
    <hyperlink ref="BP759" r:id="rId_hyperlink_756" tooltip="Download" display="Download"/>
    <hyperlink ref="BP760" r:id="rId_hyperlink_757" tooltip="Download" display="Download"/>
    <hyperlink ref="BP761" r:id="rId_hyperlink_758" tooltip="Download" display="Download"/>
    <hyperlink ref="BP762" r:id="rId_hyperlink_759" tooltip="Download" display="Download"/>
    <hyperlink ref="BP763" r:id="rId_hyperlink_760" tooltip="Download" display="Download"/>
    <hyperlink ref="BP764" r:id="rId_hyperlink_761" tooltip="Download" display="Download"/>
    <hyperlink ref="BP765" r:id="rId_hyperlink_762" tooltip="Download" display="Download"/>
    <hyperlink ref="BP766" r:id="rId_hyperlink_763" tooltip="Download" display="Download"/>
    <hyperlink ref="BP767" r:id="rId_hyperlink_764" tooltip="Download" display="Download"/>
    <hyperlink ref="BP768" r:id="rId_hyperlink_765" tooltip="Download" display="Download"/>
    <hyperlink ref="BP769" r:id="rId_hyperlink_766" tooltip="Download" display="Download"/>
    <hyperlink ref="BP770" r:id="rId_hyperlink_767" tooltip="Download" display="Download"/>
    <hyperlink ref="BP771" r:id="rId_hyperlink_768" tooltip="Download" display="Download"/>
    <hyperlink ref="BP772" r:id="rId_hyperlink_769" tooltip="Download" display="Download"/>
    <hyperlink ref="BP773" r:id="rId_hyperlink_770" tooltip="Download" display="Download"/>
    <hyperlink ref="BP774" r:id="rId_hyperlink_771" tooltip="Download" display="Download"/>
    <hyperlink ref="BP775" r:id="rId_hyperlink_772" tooltip="Download" display="Download"/>
    <hyperlink ref="BP776" r:id="rId_hyperlink_773" tooltip="Download" display="Download"/>
    <hyperlink ref="BP777" r:id="rId_hyperlink_774" tooltip="Download" display="Download"/>
    <hyperlink ref="BP778" r:id="rId_hyperlink_775" tooltip="Download" display="Download"/>
    <hyperlink ref="BP779" r:id="rId_hyperlink_776" tooltip="Download" display="Download"/>
    <hyperlink ref="BP780" r:id="rId_hyperlink_777" tooltip="Download" display="Download"/>
    <hyperlink ref="BP781" r:id="rId_hyperlink_778" tooltip="Download" display="Download"/>
    <hyperlink ref="BP782" r:id="rId_hyperlink_779" tooltip="Download" display="Download"/>
    <hyperlink ref="BP783" r:id="rId_hyperlink_780" tooltip="Download" display="Download"/>
    <hyperlink ref="BP784" r:id="rId_hyperlink_781" tooltip="Download" display="Download"/>
    <hyperlink ref="BP785" r:id="rId_hyperlink_782" tooltip="Download" display="Download"/>
    <hyperlink ref="BP786" r:id="rId_hyperlink_783" tooltip="Download" display="Download"/>
    <hyperlink ref="BP787" r:id="rId_hyperlink_784" tooltip="Download" display="Download"/>
    <hyperlink ref="BP788" r:id="rId_hyperlink_785" tooltip="Download" display="Download"/>
    <hyperlink ref="BP789" r:id="rId_hyperlink_786" tooltip="Download" display="Download"/>
    <hyperlink ref="BP790" r:id="rId_hyperlink_787" tooltip="Download" display="Download"/>
    <hyperlink ref="BP791" r:id="rId_hyperlink_788" tooltip="Download" display="Download"/>
    <hyperlink ref="BP792" r:id="rId_hyperlink_789" tooltip="Download" display="Download"/>
    <hyperlink ref="BP793" r:id="rId_hyperlink_790" tooltip="Download" display="Download"/>
    <hyperlink ref="BP794" r:id="rId_hyperlink_791" tooltip="Download" display="Download"/>
    <hyperlink ref="BP795" r:id="rId_hyperlink_792" tooltip="Download" display="Download"/>
    <hyperlink ref="BP796" r:id="rId_hyperlink_793" tooltip="Download" display="Download"/>
    <hyperlink ref="BP797" r:id="rId_hyperlink_794" tooltip="Download" display="Download"/>
    <hyperlink ref="BP798" r:id="rId_hyperlink_795" tooltip="Download" display="Download"/>
    <hyperlink ref="BP799" r:id="rId_hyperlink_796" tooltip="Download" display="Download"/>
    <hyperlink ref="BP800" r:id="rId_hyperlink_797" tooltip="Download" display="Download"/>
    <hyperlink ref="BP801" r:id="rId_hyperlink_798" tooltip="Download" display="Download"/>
    <hyperlink ref="BP802" r:id="rId_hyperlink_799" tooltip="Download" display="Download"/>
    <hyperlink ref="BP803" r:id="rId_hyperlink_800" tooltip="Download" display="Download"/>
    <hyperlink ref="BP804" r:id="rId_hyperlink_801" tooltip="Download" display="Download"/>
    <hyperlink ref="BP805" r:id="rId_hyperlink_802" tooltip="Download" display="Download"/>
    <hyperlink ref="BP806" r:id="rId_hyperlink_803" tooltip="Download" display="Download"/>
    <hyperlink ref="BP807" r:id="rId_hyperlink_804" tooltip="Download" display="Download"/>
    <hyperlink ref="BP808" r:id="rId_hyperlink_805" tooltip="Download" display="Download"/>
    <hyperlink ref="BP809" r:id="rId_hyperlink_806" tooltip="Download" display="Download"/>
    <hyperlink ref="BP810" r:id="rId_hyperlink_807" tooltip="Download" display="Download"/>
    <hyperlink ref="BP811" r:id="rId_hyperlink_808" tooltip="Download" display="Download"/>
    <hyperlink ref="BP812" r:id="rId_hyperlink_809" tooltip="Download" display="Download"/>
    <hyperlink ref="BP813" r:id="rId_hyperlink_810" tooltip="Download" display="Download"/>
    <hyperlink ref="BP814" r:id="rId_hyperlink_811" tooltip="Download" display="Download"/>
    <hyperlink ref="BP815" r:id="rId_hyperlink_812" tooltip="Download" display="Download"/>
    <hyperlink ref="BP816" r:id="rId_hyperlink_813" tooltip="Download" display="Download"/>
    <hyperlink ref="BP817" r:id="rId_hyperlink_814" tooltip="Download" display="Download"/>
    <hyperlink ref="BP818" r:id="rId_hyperlink_815" tooltip="Download" display="Download"/>
    <hyperlink ref="BP819" r:id="rId_hyperlink_816" tooltip="Download" display="Download"/>
    <hyperlink ref="BP820" r:id="rId_hyperlink_817" tooltip="Download" display="Download"/>
    <hyperlink ref="BP821" r:id="rId_hyperlink_818" tooltip="Download" display="Download"/>
    <hyperlink ref="BP822" r:id="rId_hyperlink_819" tooltip="Download" display="Download"/>
    <hyperlink ref="BP823" r:id="rId_hyperlink_820" tooltip="Download" display="Download"/>
    <hyperlink ref="BP824" r:id="rId_hyperlink_821" tooltip="Download" display="Download"/>
    <hyperlink ref="BP825" r:id="rId_hyperlink_822" tooltip="Download" display="Download"/>
    <hyperlink ref="BP826" r:id="rId_hyperlink_823" tooltip="Download" display="Download"/>
    <hyperlink ref="BP827" r:id="rId_hyperlink_824" tooltip="Download" display="Download"/>
    <hyperlink ref="BP828" r:id="rId_hyperlink_825" tooltip="Download" display="Download"/>
    <hyperlink ref="BP829" r:id="rId_hyperlink_826" tooltip="Download" display="Download"/>
    <hyperlink ref="BP830" r:id="rId_hyperlink_827" tooltip="Download" display="Download"/>
    <hyperlink ref="BP831" r:id="rId_hyperlink_828" tooltip="Download" display="Download"/>
    <hyperlink ref="BP832" r:id="rId_hyperlink_829" tooltip="Download" display="Download"/>
    <hyperlink ref="BP833" r:id="rId_hyperlink_830" tooltip="Download" display="Download"/>
    <hyperlink ref="BP834" r:id="rId_hyperlink_831" tooltip="Download" display="Download"/>
    <hyperlink ref="BP835" r:id="rId_hyperlink_832" tooltip="Download" display="Download"/>
    <hyperlink ref="BP836" r:id="rId_hyperlink_833" tooltip="Download" display="Download"/>
    <hyperlink ref="BP837" r:id="rId_hyperlink_834" tooltip="Download" display="Download"/>
    <hyperlink ref="BP838" r:id="rId_hyperlink_835" tooltip="Download" display="Download"/>
    <hyperlink ref="BP839" r:id="rId_hyperlink_836" tooltip="Download" display="Download"/>
    <hyperlink ref="BP840" r:id="rId_hyperlink_837" tooltip="Download" display="Download"/>
    <hyperlink ref="BP841" r:id="rId_hyperlink_838" tooltip="Download" display="Download"/>
    <hyperlink ref="BP842" r:id="rId_hyperlink_839" tooltip="Download" display="Download"/>
    <hyperlink ref="BP843" r:id="rId_hyperlink_840" tooltip="Download" display="Download"/>
    <hyperlink ref="BP844" r:id="rId_hyperlink_841" tooltip="Download" display="Download"/>
    <hyperlink ref="BP845" r:id="rId_hyperlink_842" tooltip="Download" display="Download"/>
    <hyperlink ref="BP846" r:id="rId_hyperlink_843" tooltip="Download" display="Download"/>
    <hyperlink ref="BP847" r:id="rId_hyperlink_844" tooltip="Download" display="Download"/>
    <hyperlink ref="BP848" r:id="rId_hyperlink_845" tooltip="Download" display="Download"/>
    <hyperlink ref="BP849" r:id="rId_hyperlink_846" tooltip="Download" display="Download"/>
    <hyperlink ref="BP850" r:id="rId_hyperlink_847" tooltip="Download" display="Download"/>
    <hyperlink ref="BP851" r:id="rId_hyperlink_848" tooltip="Download" display="Download"/>
    <hyperlink ref="BP852" r:id="rId_hyperlink_849" tooltip="Download" display="Download"/>
    <hyperlink ref="BP853" r:id="rId_hyperlink_850" tooltip="Download" display="Download"/>
    <hyperlink ref="BP854" r:id="rId_hyperlink_851" tooltip="Download" display="Download"/>
    <hyperlink ref="BP855" r:id="rId_hyperlink_852" tooltip="Download" display="Download"/>
    <hyperlink ref="BP856" r:id="rId_hyperlink_853" tooltip="Download" display="Download"/>
    <hyperlink ref="BP857" r:id="rId_hyperlink_854" tooltip="Download" display="Download"/>
    <hyperlink ref="BP858" r:id="rId_hyperlink_855" tooltip="Download" display="Download"/>
    <hyperlink ref="BP859" r:id="rId_hyperlink_856" tooltip="Download" display="Download"/>
    <hyperlink ref="BP860" r:id="rId_hyperlink_857" tooltip="Download" display="Download"/>
    <hyperlink ref="BP861" r:id="rId_hyperlink_858" tooltip="Download" display="Download"/>
    <hyperlink ref="BP862" r:id="rId_hyperlink_859" tooltip="Download" display="Download"/>
    <hyperlink ref="BP863" r:id="rId_hyperlink_860" tooltip="Download" display="Download"/>
    <hyperlink ref="BP864" r:id="rId_hyperlink_861" tooltip="Download" display="Download"/>
    <hyperlink ref="BP865" r:id="rId_hyperlink_862" tooltip="Download" display="Download"/>
    <hyperlink ref="BP866" r:id="rId_hyperlink_863" tooltip="Download" display="Download"/>
    <hyperlink ref="BP867" r:id="rId_hyperlink_864" tooltip="Download" display="Download"/>
    <hyperlink ref="BP868" r:id="rId_hyperlink_865" tooltip="Download" display="Download"/>
    <hyperlink ref="BP869" r:id="rId_hyperlink_866" tooltip="Download" display="Download"/>
    <hyperlink ref="BP870" r:id="rId_hyperlink_867" tooltip="Download" display="Download"/>
    <hyperlink ref="BP871" r:id="rId_hyperlink_868" tooltip="Download" display="Download"/>
    <hyperlink ref="BP872" r:id="rId_hyperlink_869" tooltip="Download" display="Download"/>
    <hyperlink ref="BP873" r:id="rId_hyperlink_870" tooltip="Download" display="Download"/>
    <hyperlink ref="BP874" r:id="rId_hyperlink_871" tooltip="Download" display="Download"/>
    <hyperlink ref="BP875" r:id="rId_hyperlink_872" tooltip="Download" display="Download"/>
    <hyperlink ref="BP877" r:id="rId_hyperlink_873" tooltip="Download" display="Download"/>
    <hyperlink ref="BP878" r:id="rId_hyperlink_874" tooltip="Download" display="Download"/>
    <hyperlink ref="BP879" r:id="rId_hyperlink_875" tooltip="Download" display="Download"/>
    <hyperlink ref="BP880" r:id="rId_hyperlink_876" tooltip="Download" display="Download"/>
    <hyperlink ref="BP881" r:id="rId_hyperlink_877" tooltip="Download" display="Download"/>
    <hyperlink ref="BP882" r:id="rId_hyperlink_878" tooltip="Download" display="Download"/>
    <hyperlink ref="BP883" r:id="rId_hyperlink_879" tooltip="Download" display="Download"/>
    <hyperlink ref="BP884" r:id="rId_hyperlink_880" tooltip="Download" display="Download"/>
    <hyperlink ref="BP885" r:id="rId_hyperlink_881" tooltip="Download" display="Download"/>
    <hyperlink ref="BP886" r:id="rId_hyperlink_882" tooltip="Download" display="Download"/>
    <hyperlink ref="BP887" r:id="rId_hyperlink_883" tooltip="Download" display="Download"/>
    <hyperlink ref="BP888" r:id="rId_hyperlink_884" tooltip="Download" display="Download"/>
    <hyperlink ref="BP889" r:id="rId_hyperlink_885" tooltip="Download" display="Download"/>
    <hyperlink ref="BP890" r:id="rId_hyperlink_886" tooltip="Download" display="Download"/>
    <hyperlink ref="BP891" r:id="rId_hyperlink_887" tooltip="Download" display="Download"/>
    <hyperlink ref="BP892" r:id="rId_hyperlink_888" tooltip="Download" display="Download"/>
    <hyperlink ref="BP893" r:id="rId_hyperlink_889" tooltip="Download" display="Download"/>
    <hyperlink ref="BP894" r:id="rId_hyperlink_890" tooltip="Download" display="Download"/>
    <hyperlink ref="BP895" r:id="rId_hyperlink_891" tooltip="Download" display="Download"/>
    <hyperlink ref="BP896" r:id="rId_hyperlink_892" tooltip="Download" display="Download"/>
    <hyperlink ref="BP897" r:id="rId_hyperlink_893" tooltip="Download" display="Download"/>
    <hyperlink ref="BP898" r:id="rId_hyperlink_894" tooltip="Download" display="Download"/>
    <hyperlink ref="BP900" r:id="rId_hyperlink_895" tooltip="Download" display="Download"/>
    <hyperlink ref="BP901" r:id="rId_hyperlink_896" tooltip="Download" display="Download"/>
    <hyperlink ref="BP902" r:id="rId_hyperlink_897" tooltip="Download" display="Download"/>
    <hyperlink ref="BP903" r:id="rId_hyperlink_898" tooltip="Download" display="Download"/>
    <hyperlink ref="BP904" r:id="rId_hyperlink_899" tooltip="Download" display="Download"/>
    <hyperlink ref="BP905" r:id="rId_hyperlink_900" tooltip="Download" display="Download"/>
    <hyperlink ref="BP906" r:id="rId_hyperlink_901" tooltip="Download" display="Download"/>
    <hyperlink ref="BP907" r:id="rId_hyperlink_902" tooltip="Download" display="Download"/>
    <hyperlink ref="BP908" r:id="rId_hyperlink_903" tooltip="Download" display="Download"/>
    <hyperlink ref="BP909" r:id="rId_hyperlink_904" tooltip="Download" display="Download"/>
    <hyperlink ref="BP910" r:id="rId_hyperlink_905" tooltip="Download" display="Download"/>
    <hyperlink ref="BP911" r:id="rId_hyperlink_906" tooltip="Download" display="Download"/>
    <hyperlink ref="BP912" r:id="rId_hyperlink_907" tooltip="Download" display="Download"/>
    <hyperlink ref="BP913" r:id="rId_hyperlink_908" tooltip="Download" display="Download"/>
    <hyperlink ref="BP914" r:id="rId_hyperlink_909" tooltip="Download" display="Download"/>
    <hyperlink ref="BP915" r:id="rId_hyperlink_910" tooltip="Download" display="Download"/>
    <hyperlink ref="BP916" r:id="rId_hyperlink_911" tooltip="Download" display="Download"/>
    <hyperlink ref="BP917" r:id="rId_hyperlink_912" tooltip="Download" display="Download"/>
    <hyperlink ref="BP918" r:id="rId_hyperlink_913" tooltip="Download" display="Download"/>
    <hyperlink ref="BP919" r:id="rId_hyperlink_914" tooltip="Download" display="Download"/>
    <hyperlink ref="BP920" r:id="rId_hyperlink_915" tooltip="Download" display="Download"/>
    <hyperlink ref="BP921" r:id="rId_hyperlink_916" tooltip="Download" display="Download"/>
    <hyperlink ref="BP922" r:id="rId_hyperlink_917" tooltip="Download" display="Download"/>
    <hyperlink ref="BP923" r:id="rId_hyperlink_918" tooltip="Download" display="Download"/>
    <hyperlink ref="BP924" r:id="rId_hyperlink_919" tooltip="Download" display="Download"/>
    <hyperlink ref="BP925" r:id="rId_hyperlink_920" tooltip="Download" display="Download"/>
    <hyperlink ref="BP926" r:id="rId_hyperlink_921" tooltip="Download" display="Download"/>
    <hyperlink ref="BP927" r:id="rId_hyperlink_922" tooltip="Download" display="Download"/>
    <hyperlink ref="BP928" r:id="rId_hyperlink_923" tooltip="Download" display="Download"/>
    <hyperlink ref="BP930" r:id="rId_hyperlink_924" tooltip="Download" display="Download"/>
    <hyperlink ref="BP931" r:id="rId_hyperlink_925" tooltip="Download" display="Download"/>
    <hyperlink ref="BP932" r:id="rId_hyperlink_926" tooltip="Download" display="Download"/>
    <hyperlink ref="BP933" r:id="rId_hyperlink_927" tooltip="Download" display="Download"/>
    <hyperlink ref="BP934" r:id="rId_hyperlink_928" tooltip="Download" display="Download"/>
    <hyperlink ref="BP935" r:id="rId_hyperlink_929" tooltip="Download" display="Download"/>
    <hyperlink ref="BP936" r:id="rId_hyperlink_930" tooltip="Download" display="Download"/>
    <hyperlink ref="BP937" r:id="rId_hyperlink_931" tooltip="Download" display="Download"/>
    <hyperlink ref="BP938" r:id="rId_hyperlink_932" tooltip="Download" display="Download"/>
    <hyperlink ref="BP939" r:id="rId_hyperlink_933" tooltip="Download" display="Download"/>
    <hyperlink ref="BP940" r:id="rId_hyperlink_934" tooltip="Download" display="Download"/>
    <hyperlink ref="BP941" r:id="rId_hyperlink_935" tooltip="Download" display="Download"/>
    <hyperlink ref="BP942" r:id="rId_hyperlink_936" tooltip="Download" display="Download"/>
    <hyperlink ref="BP943" r:id="rId_hyperlink_937" tooltip="Download" display="Download"/>
    <hyperlink ref="BP944" r:id="rId_hyperlink_938" tooltip="Download" display="Download"/>
    <hyperlink ref="BP945" r:id="rId_hyperlink_939" tooltip="Download" display="Download"/>
    <hyperlink ref="BP946" r:id="rId_hyperlink_940" tooltip="Download" display="Download"/>
    <hyperlink ref="BP947" r:id="rId_hyperlink_941" tooltip="Download" display="Download"/>
    <hyperlink ref="BP948" r:id="rId_hyperlink_942" tooltip="Download" display="Download"/>
    <hyperlink ref="BP949" r:id="rId_hyperlink_943" tooltip="Download" display="Download"/>
    <hyperlink ref="BP950" r:id="rId_hyperlink_944" tooltip="Download" display="Download"/>
    <hyperlink ref="BP951" r:id="rId_hyperlink_945" tooltip="Download" display="Download"/>
    <hyperlink ref="BP952" r:id="rId_hyperlink_946" tooltip="Download" display="Download"/>
    <hyperlink ref="BP953" r:id="rId_hyperlink_947" tooltip="Download" display="Download"/>
    <hyperlink ref="BP954" r:id="rId_hyperlink_948" tooltip="Download" display="Download"/>
    <hyperlink ref="BP955" r:id="rId_hyperlink_949" tooltip="Download" display="Download"/>
    <hyperlink ref="BP956" r:id="rId_hyperlink_950" tooltip="Download" display="Download"/>
    <hyperlink ref="BP957" r:id="rId_hyperlink_951" tooltip="Download" display="Download"/>
    <hyperlink ref="BP958" r:id="rId_hyperlink_952" tooltip="Download" display="Download"/>
    <hyperlink ref="BP959" r:id="rId_hyperlink_953" tooltip="Download" display="Download"/>
    <hyperlink ref="BP960" r:id="rId_hyperlink_954" tooltip="Download" display="Download"/>
    <hyperlink ref="BP961" r:id="rId_hyperlink_955" tooltip="Download" display="Download"/>
    <hyperlink ref="BP962" r:id="rId_hyperlink_956" tooltip="Download" display="Download"/>
    <hyperlink ref="BP963" r:id="rId_hyperlink_957" tooltip="Download" display="Download"/>
    <hyperlink ref="BP964" r:id="rId_hyperlink_958" tooltip="Download" display="Download"/>
    <hyperlink ref="BP965" r:id="rId_hyperlink_959" tooltip="Download" display="Download"/>
    <hyperlink ref="BP966" r:id="rId_hyperlink_960" tooltip="Download" display="Download"/>
    <hyperlink ref="BP967" r:id="rId_hyperlink_961" tooltip="Download" display="Download"/>
    <hyperlink ref="BP968" r:id="rId_hyperlink_962" tooltip="Download" display="Download"/>
    <hyperlink ref="BP969" r:id="rId_hyperlink_963" tooltip="Download" display="Download"/>
    <hyperlink ref="BP970" r:id="rId_hyperlink_964" tooltip="Download" display="Download"/>
    <hyperlink ref="BP971" r:id="rId_hyperlink_965" tooltip="Download" display="Download"/>
    <hyperlink ref="BP972" r:id="rId_hyperlink_966" tooltip="Download" display="Download"/>
    <hyperlink ref="BP973" r:id="rId_hyperlink_967" tooltip="Download" display="Download"/>
    <hyperlink ref="BP974" r:id="rId_hyperlink_968" tooltip="Download" display="Download"/>
    <hyperlink ref="BP975" r:id="rId_hyperlink_969" tooltip="Download" display="Download"/>
    <hyperlink ref="BP976" r:id="rId_hyperlink_970" tooltip="Download" display="Download"/>
    <hyperlink ref="BP977" r:id="rId_hyperlink_971" tooltip="Download" display="Download"/>
    <hyperlink ref="BP978" r:id="rId_hyperlink_972" tooltip="Download" display="Download"/>
    <hyperlink ref="BP979" r:id="rId_hyperlink_973" tooltip="Download" display="Download"/>
    <hyperlink ref="BP980" r:id="rId_hyperlink_974" tooltip="Download" display="Download"/>
    <hyperlink ref="BP981" r:id="rId_hyperlink_975" tooltip="Download" display="Download"/>
    <hyperlink ref="BP982" r:id="rId_hyperlink_976" tooltip="Download" display="Download"/>
    <hyperlink ref="BP983" r:id="rId_hyperlink_977" tooltip="Download" display="Download"/>
    <hyperlink ref="BP984" r:id="rId_hyperlink_978" tooltip="Download" display="Download"/>
    <hyperlink ref="BP985" r:id="rId_hyperlink_979" tooltip="Download" display="Download"/>
    <hyperlink ref="BP986" r:id="rId_hyperlink_980" tooltip="Download" display="Download"/>
    <hyperlink ref="BP987" r:id="rId_hyperlink_981" tooltip="Download" display="Download"/>
    <hyperlink ref="BP988" r:id="rId_hyperlink_982" tooltip="Download" display="Download"/>
    <hyperlink ref="BP989" r:id="rId_hyperlink_983" tooltip="Download" display="Download"/>
    <hyperlink ref="BP990" r:id="rId_hyperlink_984" tooltip="Download" display="Download"/>
    <hyperlink ref="BP991" r:id="rId_hyperlink_985" tooltip="Download" display="Download"/>
    <hyperlink ref="BP992" r:id="rId_hyperlink_986" tooltip="Download" display="Download"/>
    <hyperlink ref="BP993" r:id="rId_hyperlink_987" tooltip="Download" display="Download"/>
    <hyperlink ref="BP994" r:id="rId_hyperlink_988" tooltip="Download" display="Download"/>
    <hyperlink ref="BP995" r:id="rId_hyperlink_989" tooltip="Download" display="Download"/>
    <hyperlink ref="BP996" r:id="rId_hyperlink_990" tooltip="Download" display="Download"/>
    <hyperlink ref="BP997" r:id="rId_hyperlink_991" tooltip="Download" display="Download"/>
    <hyperlink ref="BP998" r:id="rId_hyperlink_992" tooltip="Download" display="Download"/>
    <hyperlink ref="BP999" r:id="rId_hyperlink_993" tooltip="Download" display="Download"/>
    <hyperlink ref="BP1000" r:id="rId_hyperlink_994" tooltip="Download" display="Download"/>
    <hyperlink ref="BP1001" r:id="rId_hyperlink_995" tooltip="Download" display="Download"/>
    <hyperlink ref="BP1002" r:id="rId_hyperlink_996" tooltip="Download" display="Download"/>
    <hyperlink ref="BP1003" r:id="rId_hyperlink_997" tooltip="Download" display="Download"/>
    <hyperlink ref="BP1004" r:id="rId_hyperlink_998" tooltip="Download" display="Download"/>
    <hyperlink ref="BP1005" r:id="rId_hyperlink_999" tooltip="Download" display="Download"/>
    <hyperlink ref="BP1006" r:id="rId_hyperlink_1000" tooltip="Download" display="Download"/>
    <hyperlink ref="BP1007" r:id="rId_hyperlink_1001" tooltip="Download" display="Download"/>
    <hyperlink ref="BP1008" r:id="rId_hyperlink_1002" tooltip="Download" display="Download"/>
    <hyperlink ref="BP1009" r:id="rId_hyperlink_1003" tooltip="Download" display="Download"/>
    <hyperlink ref="BP1010" r:id="rId_hyperlink_1004" tooltip="Download" display="Download"/>
    <hyperlink ref="BP1011" r:id="rId_hyperlink_1005" tooltip="Download" display="Download"/>
    <hyperlink ref="BP1012" r:id="rId_hyperlink_1006" tooltip="Download" display="Download"/>
    <hyperlink ref="BP1013" r:id="rId_hyperlink_1007" tooltip="Download" display="Download"/>
    <hyperlink ref="BP1014" r:id="rId_hyperlink_1008" tooltip="Download" display="Download"/>
    <hyperlink ref="BP1015" r:id="rId_hyperlink_1009" tooltip="Download" display="Download"/>
    <hyperlink ref="BP1016" r:id="rId_hyperlink_1010" tooltip="Download" display="Download"/>
    <hyperlink ref="BP1017" r:id="rId_hyperlink_1011" tooltip="Download" display="Download"/>
    <hyperlink ref="BP1018" r:id="rId_hyperlink_1012" tooltip="Download" display="Download"/>
    <hyperlink ref="BP1019" r:id="rId_hyperlink_1013" tooltip="Download" display="Download"/>
    <hyperlink ref="BP1020" r:id="rId_hyperlink_1014" tooltip="Download" display="Download"/>
    <hyperlink ref="BP1021" r:id="rId_hyperlink_1015" tooltip="Download" display="Download"/>
    <hyperlink ref="BP1022" r:id="rId_hyperlink_1016" tooltip="Download" display="Download"/>
    <hyperlink ref="BP1023" r:id="rId_hyperlink_1017" tooltip="Download" display="Download"/>
    <hyperlink ref="BP1024" r:id="rId_hyperlink_1018" tooltip="Download" display="Download"/>
    <hyperlink ref="BP1025" r:id="rId_hyperlink_1019" tooltip="Download" display="Download"/>
    <hyperlink ref="BP1026" r:id="rId_hyperlink_1020" tooltip="Download" display="Download"/>
    <hyperlink ref="BP1027" r:id="rId_hyperlink_1021" tooltip="Download" display="Download"/>
    <hyperlink ref="BP1028" r:id="rId_hyperlink_1022" tooltip="Download" display="Download"/>
    <hyperlink ref="BP1029" r:id="rId_hyperlink_1023" tooltip="Download" display="Download"/>
    <hyperlink ref="BP1030" r:id="rId_hyperlink_1024" tooltip="Download" display="Download"/>
    <hyperlink ref="BP1031" r:id="rId_hyperlink_1025" tooltip="Download" display="Download"/>
    <hyperlink ref="BP1032" r:id="rId_hyperlink_1026" tooltip="Download" display="Download"/>
    <hyperlink ref="BP1033" r:id="rId_hyperlink_1027" tooltip="Download" display="Download"/>
    <hyperlink ref="BP1034" r:id="rId_hyperlink_1028" tooltip="Download" display="Download"/>
    <hyperlink ref="BP1035" r:id="rId_hyperlink_1029" tooltip="Download" display="Download"/>
    <hyperlink ref="BP1036" r:id="rId_hyperlink_1030" tooltip="Download" display="Download"/>
    <hyperlink ref="BP1037" r:id="rId_hyperlink_1031" tooltip="Download" display="Download"/>
    <hyperlink ref="BP1038" r:id="rId_hyperlink_1032" tooltip="Download" display="Download"/>
    <hyperlink ref="BP1039" r:id="rId_hyperlink_1033" tooltip="Download" display="Download"/>
    <hyperlink ref="BP1040" r:id="rId_hyperlink_1034" tooltip="Download" display="Download"/>
    <hyperlink ref="BP1041" r:id="rId_hyperlink_1035" tooltip="Download" display="Download"/>
    <hyperlink ref="BP1042" r:id="rId_hyperlink_1036" tooltip="Download" display="Download"/>
    <hyperlink ref="BP1043" r:id="rId_hyperlink_1037" tooltip="Download" display="Download"/>
    <hyperlink ref="BP1044" r:id="rId_hyperlink_1038" tooltip="Download" display="Download"/>
    <hyperlink ref="BP1045" r:id="rId_hyperlink_1039" tooltip="Download" display="Download"/>
    <hyperlink ref="BP1046" r:id="rId_hyperlink_1040" tooltip="Download" display="Download"/>
    <hyperlink ref="BP1047" r:id="rId_hyperlink_1041" tooltip="Download" display="Download"/>
    <hyperlink ref="BP1048" r:id="rId_hyperlink_1042" tooltip="Download" display="Download"/>
    <hyperlink ref="BP1049" r:id="rId_hyperlink_1043" tooltip="Download" display="Download"/>
    <hyperlink ref="BP1050" r:id="rId_hyperlink_1044" tooltip="Download" display="Download"/>
    <hyperlink ref="BP1051" r:id="rId_hyperlink_1045" tooltip="Download" display="Download"/>
    <hyperlink ref="BP1052" r:id="rId_hyperlink_1046" tooltip="Download" display="Download"/>
    <hyperlink ref="BP1053" r:id="rId_hyperlink_1047" tooltip="Download" display="Download"/>
    <hyperlink ref="BP1054" r:id="rId_hyperlink_1048" tooltip="Download" display="Download"/>
    <hyperlink ref="BP1055" r:id="rId_hyperlink_1049" tooltip="Download" display="Download"/>
    <hyperlink ref="BP1056" r:id="rId_hyperlink_1050" tooltip="Download" display="Download"/>
    <hyperlink ref="BP1057" r:id="rId_hyperlink_1051" tooltip="Download" display="Download"/>
    <hyperlink ref="BP1058" r:id="rId_hyperlink_1052" tooltip="Download" display="Download"/>
    <hyperlink ref="BP1059" r:id="rId_hyperlink_1053" tooltip="Download" display="Download"/>
    <hyperlink ref="BP1060" r:id="rId_hyperlink_1054" tooltip="Download" display="Download"/>
    <hyperlink ref="BP1061" r:id="rId_hyperlink_1055" tooltip="Download" display="Download"/>
    <hyperlink ref="BP1062" r:id="rId_hyperlink_1056" tooltip="Download" display="Download"/>
    <hyperlink ref="BP1063" r:id="rId_hyperlink_1057" tooltip="Download" display="Download"/>
    <hyperlink ref="BP1064" r:id="rId_hyperlink_1058" tooltip="Download" display="Download"/>
    <hyperlink ref="BP1065" r:id="rId_hyperlink_1059" tooltip="Download" display="Download"/>
    <hyperlink ref="BP1066" r:id="rId_hyperlink_1060" tooltip="Download" display="Download"/>
    <hyperlink ref="BP1067" r:id="rId_hyperlink_1061" tooltip="Download" display="Download"/>
    <hyperlink ref="BP1068" r:id="rId_hyperlink_1062" tooltip="Download" display="Download"/>
    <hyperlink ref="BP1069" r:id="rId_hyperlink_1063" tooltip="Download" display="Download"/>
    <hyperlink ref="BP1070" r:id="rId_hyperlink_1064" tooltip="Download" display="Download"/>
    <hyperlink ref="BP1071" r:id="rId_hyperlink_1065" tooltip="Download" display="Download"/>
    <hyperlink ref="BP1072" r:id="rId_hyperlink_1066" tooltip="Download" display="Download"/>
    <hyperlink ref="BP1073" r:id="rId_hyperlink_1067" tooltip="Download" display="Download"/>
    <hyperlink ref="BP1074" r:id="rId_hyperlink_1068" tooltip="Download" display="Download"/>
    <hyperlink ref="BP1075" r:id="rId_hyperlink_1069" tooltip="Download" display="Download"/>
    <hyperlink ref="BP1076" r:id="rId_hyperlink_1070" tooltip="Download" display="Download"/>
    <hyperlink ref="BP1077" r:id="rId_hyperlink_1071" tooltip="Download" display="Download"/>
    <hyperlink ref="BP1078" r:id="rId_hyperlink_1072" tooltip="Download" display="Download"/>
    <hyperlink ref="BP1079" r:id="rId_hyperlink_1073" tooltip="Download" display="Download"/>
    <hyperlink ref="BP1080" r:id="rId_hyperlink_1074" tooltip="Download" display="Download"/>
    <hyperlink ref="BP1081" r:id="rId_hyperlink_1075" tooltip="Download" display="Download"/>
    <hyperlink ref="BP1082" r:id="rId_hyperlink_1076" tooltip="Download" display="Download"/>
    <hyperlink ref="BP1083" r:id="rId_hyperlink_1077" tooltip="Download" display="Download"/>
    <hyperlink ref="BP1084" r:id="rId_hyperlink_1078" tooltip="Download" display="Download"/>
    <hyperlink ref="BP1085" r:id="rId_hyperlink_1079" tooltip="Download" display="Download"/>
    <hyperlink ref="BP1086" r:id="rId_hyperlink_1080" tooltip="Download" display="Download"/>
    <hyperlink ref="BP1087" r:id="rId_hyperlink_1081" tooltip="Download" display="Download"/>
    <hyperlink ref="BP1088" r:id="rId_hyperlink_1082" tooltip="Download" display="Download"/>
    <hyperlink ref="BP1089" r:id="rId_hyperlink_1083" tooltip="Download" display="Download"/>
    <hyperlink ref="BP1090" r:id="rId_hyperlink_1084" tooltip="Download" display="Download"/>
    <hyperlink ref="BP1091" r:id="rId_hyperlink_1085" tooltip="Download" display="Download"/>
    <hyperlink ref="BP1092" r:id="rId_hyperlink_1086" tooltip="Download" display="Download"/>
    <hyperlink ref="BP1093" r:id="rId_hyperlink_1087" tooltip="Download" display="Download"/>
    <hyperlink ref="BP1094" r:id="rId_hyperlink_1088" tooltip="Download" display="Download"/>
    <hyperlink ref="BP1095" r:id="rId_hyperlink_1089" tooltip="Download" display="Download"/>
    <hyperlink ref="BP1096" r:id="rId_hyperlink_1090" tooltip="Download" display="Download"/>
    <hyperlink ref="BP1097" r:id="rId_hyperlink_1091" tooltip="Download" display="Download"/>
    <hyperlink ref="BP1098" r:id="rId_hyperlink_1092" tooltip="Download" display="Download"/>
    <hyperlink ref="BP1099" r:id="rId_hyperlink_1093" tooltip="Download" display="Download"/>
    <hyperlink ref="BP1100" r:id="rId_hyperlink_1094" tooltip="Download" display="Download"/>
    <hyperlink ref="BP1101" r:id="rId_hyperlink_1095" tooltip="Download" display="Download"/>
    <hyperlink ref="BP1102" r:id="rId_hyperlink_1096" tooltip="Download" display="Download"/>
    <hyperlink ref="BP1103" r:id="rId_hyperlink_1097" tooltip="Download" display="Download"/>
    <hyperlink ref="BP1104" r:id="rId_hyperlink_1098" tooltip="Download" display="Download"/>
    <hyperlink ref="BP1105" r:id="rId_hyperlink_1099" tooltip="Download" display="Download"/>
    <hyperlink ref="BP1106" r:id="rId_hyperlink_1100" tooltip="Download" display="Download"/>
    <hyperlink ref="BP1107" r:id="rId_hyperlink_1101" tooltip="Download" display="Download"/>
    <hyperlink ref="BP1108" r:id="rId_hyperlink_1102" tooltip="Download" display="Download"/>
    <hyperlink ref="BP1109" r:id="rId_hyperlink_1103" tooltip="Download" display="Download"/>
    <hyperlink ref="BP1110" r:id="rId_hyperlink_1104" tooltip="Download" display="Download"/>
    <hyperlink ref="BP1111" r:id="rId_hyperlink_1105" tooltip="Download" display="Download"/>
    <hyperlink ref="BP1112" r:id="rId_hyperlink_1106" tooltip="Download" display="Download"/>
    <hyperlink ref="BP1113" r:id="rId_hyperlink_1107" tooltip="Download" display="Download"/>
    <hyperlink ref="BP1114" r:id="rId_hyperlink_1108" tooltip="Download" display="Download"/>
    <hyperlink ref="BP1115" r:id="rId_hyperlink_1109" tooltip="Download" display="Download"/>
    <hyperlink ref="BP1116" r:id="rId_hyperlink_1110" tooltip="Download" display="Download"/>
    <hyperlink ref="BP1117" r:id="rId_hyperlink_1111" tooltip="Download" display="Download"/>
    <hyperlink ref="BP1118" r:id="rId_hyperlink_1112" tooltip="Download" display="Download"/>
    <hyperlink ref="BP1119" r:id="rId_hyperlink_1113" tooltip="Download" display="Download"/>
    <hyperlink ref="BP1120" r:id="rId_hyperlink_1114" tooltip="Download" display="Download"/>
    <hyperlink ref="BP1121" r:id="rId_hyperlink_1115" tooltip="Download" display="Download"/>
    <hyperlink ref="BP1122" r:id="rId_hyperlink_1116" tooltip="Download" display="Download"/>
    <hyperlink ref="BP1123" r:id="rId_hyperlink_1117" tooltip="Download" display="Download"/>
    <hyperlink ref="BP1124" r:id="rId_hyperlink_1118" tooltip="Download" display="Download"/>
    <hyperlink ref="BP1125" r:id="rId_hyperlink_1119" tooltip="Download" display="Download"/>
    <hyperlink ref="BP1126" r:id="rId_hyperlink_1120" tooltip="Download" display="Download"/>
    <hyperlink ref="BP1127" r:id="rId_hyperlink_1121" tooltip="Download" display="Download"/>
    <hyperlink ref="BP1128" r:id="rId_hyperlink_1122" tooltip="Download" display="Download"/>
    <hyperlink ref="BP1129" r:id="rId_hyperlink_1123" tooltip="Download" display="Download"/>
    <hyperlink ref="BP1130" r:id="rId_hyperlink_1124" tooltip="Download" display="Download"/>
    <hyperlink ref="BP1131" r:id="rId_hyperlink_1125" tooltip="Download" display="Download"/>
    <hyperlink ref="BP1132" r:id="rId_hyperlink_1126" tooltip="Download" display="Download"/>
    <hyperlink ref="BP1133" r:id="rId_hyperlink_1127" tooltip="Download" display="Download"/>
    <hyperlink ref="BP1134" r:id="rId_hyperlink_1128" tooltip="Download" display="Download"/>
    <hyperlink ref="BP1135" r:id="rId_hyperlink_1129" tooltip="Download" display="Download"/>
    <hyperlink ref="BP1136" r:id="rId_hyperlink_1130" tooltip="Download" display="Download"/>
    <hyperlink ref="BP1137" r:id="rId_hyperlink_1131" tooltip="Download" display="Download"/>
    <hyperlink ref="BP1138" r:id="rId_hyperlink_1132" tooltip="Download" display="Download"/>
    <hyperlink ref="BP1139" r:id="rId_hyperlink_1133" tooltip="Download" display="Download"/>
    <hyperlink ref="BP1140" r:id="rId_hyperlink_1134" tooltip="Download" display="Download"/>
    <hyperlink ref="BP1141" r:id="rId_hyperlink_1135" tooltip="Download" display="Download"/>
    <hyperlink ref="BP1142" r:id="rId_hyperlink_1136" tooltip="Download" display="Download"/>
    <hyperlink ref="BP1143" r:id="rId_hyperlink_1137" tooltip="Download" display="Download"/>
    <hyperlink ref="BP1144" r:id="rId_hyperlink_1138" tooltip="Download" display="Download"/>
    <hyperlink ref="BP1145" r:id="rId_hyperlink_1139" tooltip="Download" display="Download"/>
    <hyperlink ref="BP1146" r:id="rId_hyperlink_1140" tooltip="Download" display="Download"/>
    <hyperlink ref="BP1147" r:id="rId_hyperlink_1141" tooltip="Download" display="Download"/>
    <hyperlink ref="BP1148" r:id="rId_hyperlink_1142" tooltip="Download" display="Download"/>
    <hyperlink ref="BP1149" r:id="rId_hyperlink_1143" tooltip="Download" display="Download"/>
    <hyperlink ref="BP1150" r:id="rId_hyperlink_1144" tooltip="Download" display="Download"/>
    <hyperlink ref="BP1151" r:id="rId_hyperlink_1145" tooltip="Download" display="Download"/>
    <hyperlink ref="BP1152" r:id="rId_hyperlink_1146" tooltip="Download" display="Download"/>
    <hyperlink ref="BP1153" r:id="rId_hyperlink_1147" tooltip="Download" display="Download"/>
    <hyperlink ref="BP1154" r:id="rId_hyperlink_1148" tooltip="Download" display="Download"/>
    <hyperlink ref="BP1155" r:id="rId_hyperlink_1149" tooltip="Download" display="Download"/>
    <hyperlink ref="BP1156" r:id="rId_hyperlink_1150" tooltip="Download" display="Download"/>
    <hyperlink ref="BP1157" r:id="rId_hyperlink_1151" tooltip="Download" display="Download"/>
    <hyperlink ref="BP1158" r:id="rId_hyperlink_1152" tooltip="Download" display="Download"/>
    <hyperlink ref="BP1159" r:id="rId_hyperlink_1153" tooltip="Download" display="Download"/>
    <hyperlink ref="BP1160" r:id="rId_hyperlink_1154" tooltip="Download" display="Download"/>
    <hyperlink ref="BP1161" r:id="rId_hyperlink_1155" tooltip="Download" display="Download"/>
    <hyperlink ref="BP1162" r:id="rId_hyperlink_1156" tooltip="Download" display="Download"/>
    <hyperlink ref="BP1163" r:id="rId_hyperlink_1157" tooltip="Download" display="Download"/>
    <hyperlink ref="BP1164" r:id="rId_hyperlink_1158" tooltip="Download" display="Download"/>
    <hyperlink ref="BP1165" r:id="rId_hyperlink_1159" tooltip="Download" display="Download"/>
    <hyperlink ref="BP1166" r:id="rId_hyperlink_1160" tooltip="Download" display="Download"/>
    <hyperlink ref="BP1167" r:id="rId_hyperlink_1161" tooltip="Download" display="Download"/>
    <hyperlink ref="BP1168" r:id="rId_hyperlink_1162" tooltip="Download" display="Download"/>
    <hyperlink ref="BP1169" r:id="rId_hyperlink_1163" tooltip="Download" display="Download"/>
    <hyperlink ref="BP1170" r:id="rId_hyperlink_1164" tooltip="Download" display="Download"/>
    <hyperlink ref="BP1171" r:id="rId_hyperlink_1165" tooltip="Download" display="Download"/>
    <hyperlink ref="BP1172" r:id="rId_hyperlink_1166" tooltip="Download" display="Download"/>
    <hyperlink ref="BP1173" r:id="rId_hyperlink_1167" tooltip="Download" display="Download"/>
    <hyperlink ref="BP1174" r:id="rId_hyperlink_1168" tooltip="Download" display="Download"/>
    <hyperlink ref="BP1175" r:id="rId_hyperlink_1169" tooltip="Download" display="Download"/>
    <hyperlink ref="BP1176" r:id="rId_hyperlink_1170" tooltip="Download" display="Download"/>
    <hyperlink ref="BP1177" r:id="rId_hyperlink_1171" tooltip="Download" display="Download"/>
    <hyperlink ref="BP1178" r:id="rId_hyperlink_1172" tooltip="Download" display="Download"/>
    <hyperlink ref="BP1179" r:id="rId_hyperlink_1173" tooltip="Download" display="Download"/>
    <hyperlink ref="BP1180" r:id="rId_hyperlink_1174" tooltip="Download" display="Download"/>
    <hyperlink ref="BP1181" r:id="rId_hyperlink_1175" tooltip="Download" display="Download"/>
    <hyperlink ref="BP1182" r:id="rId_hyperlink_1176" tooltip="Download" display="Download"/>
    <hyperlink ref="BP1183" r:id="rId_hyperlink_1177" tooltip="Download" display="Download"/>
    <hyperlink ref="BP1184" r:id="rId_hyperlink_1178" tooltip="Download" display="Download"/>
    <hyperlink ref="BP1185" r:id="rId_hyperlink_1179" tooltip="Download" display="Download"/>
    <hyperlink ref="BP1186" r:id="rId_hyperlink_1180" tooltip="Download" display="Download"/>
    <hyperlink ref="BP1187" r:id="rId_hyperlink_1181" tooltip="Download" display="Download"/>
    <hyperlink ref="BP1188" r:id="rId_hyperlink_1182" tooltip="Download" display="Download"/>
    <hyperlink ref="BP1189" r:id="rId_hyperlink_1183" tooltip="Download" display="Download"/>
    <hyperlink ref="BP1190" r:id="rId_hyperlink_1184" tooltip="Download" display="Download"/>
    <hyperlink ref="BP1191" r:id="rId_hyperlink_1185" tooltip="Download" display="Download"/>
    <hyperlink ref="BP1192" r:id="rId_hyperlink_1186" tooltip="Download" display="Download"/>
    <hyperlink ref="BP1193" r:id="rId_hyperlink_1187" tooltip="Download" display="Download"/>
    <hyperlink ref="BP1194" r:id="rId_hyperlink_1188" tooltip="Download" display="Download"/>
    <hyperlink ref="BP1195" r:id="rId_hyperlink_1189" tooltip="Download" display="Download"/>
    <hyperlink ref="BP1196" r:id="rId_hyperlink_1190" tooltip="Download" display="Download"/>
    <hyperlink ref="BP1197" r:id="rId_hyperlink_1191" tooltip="Download" display="Download"/>
    <hyperlink ref="BP1198" r:id="rId_hyperlink_1192" tooltip="Download" display="Download"/>
    <hyperlink ref="BP1199" r:id="rId_hyperlink_1193" tooltip="Download" display="Download"/>
    <hyperlink ref="BP1200" r:id="rId_hyperlink_1194" tooltip="Download" display="Download"/>
    <hyperlink ref="BP1201" r:id="rId_hyperlink_1195" tooltip="Download" display="Download"/>
    <hyperlink ref="BP1202" r:id="rId_hyperlink_1196" tooltip="Download" display="Download"/>
    <hyperlink ref="BP1203" r:id="rId_hyperlink_1197" tooltip="Download" display="Download"/>
    <hyperlink ref="BP1204" r:id="rId_hyperlink_1198" tooltip="Download" display="Download"/>
    <hyperlink ref="BP1205" r:id="rId_hyperlink_1199" tooltip="Download" display="Download"/>
    <hyperlink ref="BP1206" r:id="rId_hyperlink_1200" tooltip="Download" display="Download"/>
    <hyperlink ref="BP1207" r:id="rId_hyperlink_1201" tooltip="Download" display="Download"/>
    <hyperlink ref="BP1208" r:id="rId_hyperlink_1202" tooltip="Download" display="Download"/>
    <hyperlink ref="BP1209" r:id="rId_hyperlink_1203" tooltip="Download" display="Download"/>
    <hyperlink ref="BP1210" r:id="rId_hyperlink_1204" tooltip="Download" display="Download"/>
    <hyperlink ref="BP1211" r:id="rId_hyperlink_1205" tooltip="Download" display="Download"/>
    <hyperlink ref="BP1212" r:id="rId_hyperlink_1206" tooltip="Download" display="Download"/>
    <hyperlink ref="BP1213" r:id="rId_hyperlink_1207" tooltip="Download" display="Download"/>
    <hyperlink ref="BP1214" r:id="rId_hyperlink_1208" tooltip="Download" display="Download"/>
    <hyperlink ref="BP1215" r:id="rId_hyperlink_1209" tooltip="Download" display="Download"/>
    <hyperlink ref="BP1216" r:id="rId_hyperlink_1210" tooltip="Download" display="Download"/>
    <hyperlink ref="BP1217" r:id="rId_hyperlink_1211" tooltip="Download" display="Download"/>
    <hyperlink ref="BP1218" r:id="rId_hyperlink_1212" tooltip="Download" display="Download"/>
    <hyperlink ref="BP1219" r:id="rId_hyperlink_1213" tooltip="Download" display="Download"/>
    <hyperlink ref="BP1220" r:id="rId_hyperlink_1214" tooltip="Download" display="Download"/>
    <hyperlink ref="BP1221" r:id="rId_hyperlink_1215" tooltip="Download" display="Download"/>
    <hyperlink ref="BP1222" r:id="rId_hyperlink_1216" tooltip="Download" display="Download"/>
    <hyperlink ref="BP1223" r:id="rId_hyperlink_1217" tooltip="Download" display="Download"/>
    <hyperlink ref="BP1224" r:id="rId_hyperlink_1218" tooltip="Download" display="Download"/>
    <hyperlink ref="BP1225" r:id="rId_hyperlink_1219" tooltip="Download" display="Download"/>
    <hyperlink ref="BP1226" r:id="rId_hyperlink_1220" tooltip="Download" display="Download"/>
    <hyperlink ref="BP1227" r:id="rId_hyperlink_1221" tooltip="Download" display="Download"/>
    <hyperlink ref="BP1228" r:id="rId_hyperlink_1222" tooltip="Download" display="Download"/>
    <hyperlink ref="BP1229" r:id="rId_hyperlink_1223" tooltip="Download" display="Download"/>
    <hyperlink ref="BP1230" r:id="rId_hyperlink_1224" tooltip="Download" display="Download"/>
    <hyperlink ref="BP1231" r:id="rId_hyperlink_1225" tooltip="Download" display="Download"/>
    <hyperlink ref="BP1232" r:id="rId_hyperlink_1226" tooltip="Download" display="Download"/>
    <hyperlink ref="BP1233" r:id="rId_hyperlink_1227" tooltip="Download" display="Download"/>
    <hyperlink ref="BP1234" r:id="rId_hyperlink_1228" tooltip="Download" display="Download"/>
    <hyperlink ref="BP1235" r:id="rId_hyperlink_1229" tooltip="Download" display="Download"/>
    <hyperlink ref="BP1236" r:id="rId_hyperlink_1230" tooltip="Download" display="Download"/>
    <hyperlink ref="BP1237" r:id="rId_hyperlink_1231" tooltip="Download" display="Download"/>
    <hyperlink ref="BP1238" r:id="rId_hyperlink_1232" tooltip="Download" display="Download"/>
    <hyperlink ref="BP1239" r:id="rId_hyperlink_1233" tooltip="Download" display="Download"/>
    <hyperlink ref="BP1240" r:id="rId_hyperlink_1234" tooltip="Download" display="Download"/>
    <hyperlink ref="BP1241" r:id="rId_hyperlink_1235" tooltip="Download" display="Download"/>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2026-07-28T14:37:36+05:30</dcterms:created>
  <dcterms:modified xsi:type="dcterms:W3CDTF">2026-07-28T14:37:36+05:30</dcterms:modified>
  <dc:title>Untitled Spreadsheet</dc:title>
  <dc:description/>
  <dc:subject/>
  <cp:keywords/>
  <cp:category/>
</cp:coreProperties>
</file>